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fhsvphanas\home\takahara\61.CDISC\"/>
    </mc:Choice>
  </mc:AlternateContent>
  <xr:revisionPtr revIDLastSave="0" documentId="13_ncr:1_{6985B9F9-3A53-4605-AE0E-49C046F269B8}" xr6:coauthVersionLast="47" xr6:coauthVersionMax="47" xr10:uidLastSave="{00000000-0000-0000-0000-000000000000}"/>
  <bookViews>
    <workbookView xWindow="-120" yWindow="-120" windowWidth="29040" windowHeight="15720" xr2:uid="{00000000-000D-0000-FFFF-FFFF00000000}"/>
  </bookViews>
  <sheets>
    <sheet name="_20_MergeAll" sheetId="1" r:id="rId1"/>
  </sheets>
  <definedNames>
    <definedName name="_20_MergeAll">_20_MergeAll!$A$2:$F$5439</definedName>
    <definedName name="_xlnm._FilterDatabase" localSheetId="0" hidden="1">_20_MergeAll!$A$1:$I$5440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b4UUvGDuAYsrNjGqX8I655sztEGYr1J40ugkrZNHvV4="/>
    </ext>
  </extLst>
</workbook>
</file>

<file path=xl/calcChain.xml><?xml version="1.0" encoding="utf-8"?>
<calcChain xmlns="http://schemas.openxmlformats.org/spreadsheetml/2006/main">
  <c r="I5440" i="1" l="1"/>
  <c r="H5440" i="1"/>
  <c r="G5440" i="1"/>
  <c r="I5439" i="1"/>
  <c r="H5439" i="1"/>
  <c r="G5439" i="1"/>
  <c r="I5438" i="1"/>
  <c r="H5438" i="1"/>
  <c r="G5438" i="1"/>
  <c r="I5437" i="1"/>
  <c r="H5437" i="1"/>
  <c r="G5437" i="1"/>
  <c r="I5436" i="1"/>
  <c r="H5436" i="1"/>
  <c r="G5436" i="1"/>
  <c r="I5435" i="1"/>
  <c r="H5435" i="1"/>
  <c r="G5435" i="1"/>
  <c r="I5434" i="1"/>
  <c r="H5434" i="1"/>
  <c r="G5434" i="1"/>
  <c r="I5433" i="1"/>
  <c r="H5433" i="1"/>
  <c r="G5433" i="1"/>
  <c r="I5432" i="1"/>
  <c r="H5432" i="1"/>
  <c r="G5432" i="1"/>
  <c r="I5431" i="1"/>
  <c r="H5431" i="1"/>
  <c r="G5431" i="1"/>
  <c r="I5430" i="1"/>
  <c r="H5430" i="1"/>
  <c r="G5430" i="1"/>
  <c r="I5429" i="1"/>
  <c r="H5429" i="1"/>
  <c r="G5429" i="1"/>
  <c r="I5428" i="1"/>
  <c r="H5428" i="1"/>
  <c r="G5428" i="1"/>
  <c r="I5427" i="1"/>
  <c r="H5427" i="1"/>
  <c r="G5427" i="1"/>
  <c r="I5426" i="1"/>
  <c r="H5426" i="1"/>
  <c r="G5426" i="1"/>
  <c r="I5425" i="1"/>
  <c r="H5425" i="1"/>
  <c r="G5425" i="1"/>
  <c r="I5424" i="1"/>
  <c r="H5424" i="1"/>
  <c r="G5424" i="1"/>
  <c r="I5423" i="1"/>
  <c r="H5423" i="1"/>
  <c r="G5423" i="1"/>
  <c r="I5422" i="1"/>
  <c r="H5422" i="1"/>
  <c r="G5422" i="1"/>
  <c r="I5421" i="1"/>
  <c r="H5421" i="1"/>
  <c r="G5421" i="1"/>
  <c r="I5420" i="1"/>
  <c r="H5420" i="1"/>
  <c r="G5420" i="1"/>
  <c r="I5419" i="1"/>
  <c r="H5419" i="1"/>
  <c r="G5419" i="1"/>
  <c r="I5418" i="1"/>
  <c r="H5418" i="1"/>
  <c r="G5418" i="1"/>
  <c r="I5417" i="1"/>
  <c r="H5417" i="1"/>
  <c r="G5417" i="1"/>
  <c r="I5416" i="1"/>
  <c r="H5416" i="1"/>
  <c r="G5416" i="1"/>
  <c r="I5415" i="1"/>
  <c r="H5415" i="1"/>
  <c r="G5415" i="1"/>
  <c r="I5414" i="1"/>
  <c r="H5414" i="1"/>
  <c r="G5414" i="1"/>
  <c r="I5413" i="1"/>
  <c r="H5413" i="1"/>
  <c r="G5413" i="1"/>
  <c r="I5412" i="1"/>
  <c r="H5412" i="1"/>
  <c r="G5412" i="1"/>
  <c r="I5411" i="1"/>
  <c r="H5411" i="1"/>
  <c r="G5411" i="1"/>
  <c r="I5410" i="1"/>
  <c r="H5410" i="1"/>
  <c r="G5410" i="1"/>
  <c r="I5409" i="1"/>
  <c r="H5409" i="1"/>
  <c r="G5409" i="1"/>
  <c r="I5408" i="1"/>
  <c r="H5408" i="1"/>
  <c r="G5408" i="1"/>
  <c r="I5407" i="1"/>
  <c r="H5407" i="1"/>
  <c r="G5407" i="1"/>
  <c r="I5406" i="1"/>
  <c r="H5406" i="1"/>
  <c r="G5406" i="1"/>
  <c r="I5405" i="1"/>
  <c r="H5405" i="1"/>
  <c r="G5405" i="1"/>
  <c r="I5404" i="1"/>
  <c r="H5404" i="1"/>
  <c r="G5404" i="1"/>
  <c r="I5403" i="1"/>
  <c r="H5403" i="1"/>
  <c r="G5403" i="1"/>
  <c r="I5402" i="1"/>
  <c r="H5402" i="1"/>
  <c r="G5402" i="1"/>
  <c r="I5401" i="1"/>
  <c r="H5401" i="1"/>
  <c r="G5401" i="1"/>
  <c r="I5400" i="1"/>
  <c r="H5400" i="1"/>
  <c r="G5400" i="1"/>
  <c r="I5399" i="1"/>
  <c r="H5399" i="1"/>
  <c r="G5399" i="1"/>
  <c r="I5398" i="1"/>
  <c r="H5398" i="1"/>
  <c r="G5398" i="1"/>
  <c r="I5397" i="1"/>
  <c r="H5397" i="1"/>
  <c r="G5397" i="1"/>
  <c r="I5396" i="1"/>
  <c r="H5396" i="1"/>
  <c r="G5396" i="1"/>
  <c r="I5395" i="1"/>
  <c r="H5395" i="1"/>
  <c r="G5395" i="1"/>
  <c r="I5394" i="1"/>
  <c r="H5394" i="1"/>
  <c r="G5394" i="1"/>
  <c r="I5393" i="1"/>
  <c r="H5393" i="1"/>
  <c r="G5393" i="1"/>
  <c r="I5392" i="1"/>
  <c r="H5392" i="1"/>
  <c r="G5392" i="1"/>
  <c r="I5391" i="1"/>
  <c r="H5391" i="1"/>
  <c r="G5391" i="1"/>
  <c r="I5390" i="1"/>
  <c r="H5390" i="1"/>
  <c r="G5390" i="1"/>
  <c r="I5389" i="1"/>
  <c r="H5389" i="1"/>
  <c r="G5389" i="1"/>
  <c r="I5388" i="1"/>
  <c r="H5388" i="1"/>
  <c r="G5388" i="1"/>
  <c r="I5387" i="1"/>
  <c r="H5387" i="1"/>
  <c r="G5387" i="1"/>
  <c r="I5386" i="1"/>
  <c r="H5386" i="1"/>
  <c r="G5386" i="1"/>
  <c r="I5385" i="1"/>
  <c r="H5385" i="1"/>
  <c r="G5385" i="1"/>
  <c r="I5384" i="1"/>
  <c r="H5384" i="1"/>
  <c r="G5384" i="1"/>
  <c r="I5383" i="1"/>
  <c r="H5383" i="1"/>
  <c r="G5383" i="1"/>
  <c r="I5382" i="1"/>
  <c r="H5382" i="1"/>
  <c r="G5382" i="1"/>
  <c r="I5381" i="1"/>
  <c r="H5381" i="1"/>
  <c r="G5381" i="1"/>
  <c r="I5380" i="1"/>
  <c r="H5380" i="1"/>
  <c r="G5380" i="1"/>
  <c r="I5379" i="1"/>
  <c r="H5379" i="1"/>
  <c r="G5379" i="1"/>
  <c r="I5378" i="1"/>
  <c r="H5378" i="1"/>
  <c r="G5378" i="1"/>
  <c r="I5377" i="1"/>
  <c r="H5377" i="1"/>
  <c r="G5377" i="1"/>
  <c r="I5376" i="1"/>
  <c r="H5376" i="1"/>
  <c r="G5376" i="1"/>
  <c r="I5375" i="1"/>
  <c r="H5375" i="1"/>
  <c r="G5375" i="1"/>
  <c r="I5374" i="1"/>
  <c r="H5374" i="1"/>
  <c r="G5374" i="1"/>
  <c r="I5373" i="1"/>
  <c r="H5373" i="1"/>
  <c r="G5373" i="1"/>
  <c r="I5372" i="1"/>
  <c r="H5372" i="1"/>
  <c r="G5372" i="1"/>
  <c r="I5371" i="1"/>
  <c r="H5371" i="1"/>
  <c r="G5371" i="1"/>
  <c r="I5370" i="1"/>
  <c r="H5370" i="1"/>
  <c r="G5370" i="1"/>
  <c r="I5369" i="1"/>
  <c r="H5369" i="1"/>
  <c r="G5369" i="1"/>
  <c r="I5368" i="1"/>
  <c r="H5368" i="1"/>
  <c r="G5368" i="1"/>
  <c r="I5367" i="1"/>
  <c r="H5367" i="1"/>
  <c r="G5367" i="1"/>
  <c r="I5366" i="1"/>
  <c r="H5366" i="1"/>
  <c r="G5366" i="1"/>
  <c r="I5365" i="1"/>
  <c r="H5365" i="1"/>
  <c r="G5365" i="1"/>
  <c r="I5364" i="1"/>
  <c r="H5364" i="1"/>
  <c r="G5364" i="1"/>
  <c r="I5363" i="1"/>
  <c r="H5363" i="1"/>
  <c r="G5363" i="1"/>
  <c r="I5362" i="1"/>
  <c r="H5362" i="1"/>
  <c r="G5362" i="1"/>
  <c r="I5361" i="1"/>
  <c r="H5361" i="1"/>
  <c r="G5361" i="1"/>
  <c r="I5360" i="1"/>
  <c r="H5360" i="1"/>
  <c r="G5360" i="1"/>
  <c r="I5359" i="1"/>
  <c r="H5359" i="1"/>
  <c r="G5359" i="1"/>
  <c r="I5358" i="1"/>
  <c r="H5358" i="1"/>
  <c r="G5358" i="1"/>
  <c r="I5357" i="1"/>
  <c r="H5357" i="1"/>
  <c r="G5357" i="1"/>
  <c r="I5356" i="1"/>
  <c r="H5356" i="1"/>
  <c r="G5356" i="1"/>
  <c r="I5355" i="1"/>
  <c r="H5355" i="1"/>
  <c r="G5355" i="1"/>
  <c r="I5354" i="1"/>
  <c r="H5354" i="1"/>
  <c r="G5354" i="1"/>
  <c r="I5353" i="1"/>
  <c r="H5353" i="1"/>
  <c r="G5353" i="1"/>
  <c r="I5352" i="1"/>
  <c r="H5352" i="1"/>
  <c r="G5352" i="1"/>
  <c r="I5351" i="1"/>
  <c r="H5351" i="1"/>
  <c r="G5351" i="1"/>
  <c r="I5350" i="1"/>
  <c r="H5350" i="1"/>
  <c r="G5350" i="1"/>
  <c r="I5349" i="1"/>
  <c r="H5349" i="1"/>
  <c r="G5349" i="1"/>
  <c r="I5348" i="1"/>
  <c r="H5348" i="1"/>
  <c r="G5348" i="1"/>
  <c r="I5347" i="1"/>
  <c r="H5347" i="1"/>
  <c r="G5347" i="1"/>
  <c r="I5346" i="1"/>
  <c r="H5346" i="1"/>
  <c r="G5346" i="1"/>
  <c r="I5345" i="1"/>
  <c r="H5345" i="1"/>
  <c r="G5345" i="1"/>
  <c r="I5344" i="1"/>
  <c r="H5344" i="1"/>
  <c r="G5344" i="1"/>
  <c r="I5343" i="1"/>
  <c r="H5343" i="1"/>
  <c r="G5343" i="1"/>
  <c r="I5342" i="1"/>
  <c r="H5342" i="1"/>
  <c r="G5342" i="1"/>
  <c r="I5341" i="1"/>
  <c r="H5341" i="1"/>
  <c r="G5341" i="1"/>
  <c r="I5340" i="1"/>
  <c r="H5340" i="1"/>
  <c r="G5340" i="1"/>
  <c r="I5339" i="1"/>
  <c r="H5339" i="1"/>
  <c r="G5339" i="1"/>
  <c r="I5338" i="1"/>
  <c r="H5338" i="1"/>
  <c r="G5338" i="1"/>
  <c r="I5337" i="1"/>
  <c r="H5337" i="1"/>
  <c r="G5337" i="1"/>
  <c r="I5336" i="1"/>
  <c r="H5336" i="1"/>
  <c r="G5336" i="1"/>
  <c r="I5335" i="1"/>
  <c r="H5335" i="1"/>
  <c r="G5335" i="1"/>
  <c r="I5334" i="1"/>
  <c r="H5334" i="1"/>
  <c r="G5334" i="1"/>
  <c r="I5333" i="1"/>
  <c r="H5333" i="1"/>
  <c r="G5333" i="1"/>
  <c r="I5332" i="1"/>
  <c r="H5332" i="1"/>
  <c r="G5332" i="1"/>
  <c r="I5331" i="1"/>
  <c r="H5331" i="1"/>
  <c r="G5331" i="1"/>
  <c r="I5330" i="1"/>
  <c r="H5330" i="1"/>
  <c r="G5330" i="1"/>
  <c r="I5329" i="1"/>
  <c r="H5329" i="1"/>
  <c r="G5329" i="1"/>
  <c r="I5328" i="1"/>
  <c r="H5328" i="1"/>
  <c r="G5328" i="1"/>
  <c r="I5327" i="1"/>
  <c r="H5327" i="1"/>
  <c r="G5327" i="1"/>
  <c r="I5326" i="1"/>
  <c r="H5326" i="1"/>
  <c r="G5326" i="1"/>
  <c r="I5325" i="1"/>
  <c r="H5325" i="1"/>
  <c r="G5325" i="1"/>
  <c r="I5324" i="1"/>
  <c r="H5324" i="1"/>
  <c r="G5324" i="1"/>
  <c r="I5323" i="1"/>
  <c r="H5323" i="1"/>
  <c r="G5323" i="1"/>
  <c r="I5322" i="1"/>
  <c r="H5322" i="1"/>
  <c r="G5322" i="1"/>
  <c r="I5321" i="1"/>
  <c r="H5321" i="1"/>
  <c r="G5321" i="1"/>
  <c r="I5320" i="1"/>
  <c r="H5320" i="1"/>
  <c r="G5320" i="1"/>
  <c r="I5319" i="1"/>
  <c r="H5319" i="1"/>
  <c r="G5319" i="1"/>
  <c r="I5318" i="1"/>
  <c r="H5318" i="1"/>
  <c r="G5318" i="1"/>
  <c r="I5317" i="1"/>
  <c r="H5317" i="1"/>
  <c r="G5317" i="1"/>
  <c r="I5316" i="1"/>
  <c r="H5316" i="1"/>
  <c r="G5316" i="1"/>
  <c r="I5315" i="1"/>
  <c r="H5315" i="1"/>
  <c r="G5315" i="1"/>
  <c r="I5314" i="1"/>
  <c r="H5314" i="1"/>
  <c r="G5314" i="1"/>
  <c r="I5313" i="1"/>
  <c r="H5313" i="1"/>
  <c r="G5313" i="1"/>
  <c r="I5312" i="1"/>
  <c r="H5312" i="1"/>
  <c r="G5312" i="1"/>
  <c r="I5311" i="1"/>
  <c r="H5311" i="1"/>
  <c r="G5311" i="1"/>
  <c r="I5310" i="1"/>
  <c r="H5310" i="1"/>
  <c r="G5310" i="1"/>
  <c r="I5309" i="1"/>
  <c r="H5309" i="1"/>
  <c r="G5309" i="1"/>
  <c r="I5308" i="1"/>
  <c r="H5308" i="1"/>
  <c r="G5308" i="1"/>
  <c r="I5307" i="1"/>
  <c r="H5307" i="1"/>
  <c r="G5307" i="1"/>
  <c r="I5306" i="1"/>
  <c r="H5306" i="1"/>
  <c r="G5306" i="1"/>
  <c r="I5305" i="1"/>
  <c r="H5305" i="1"/>
  <c r="G5305" i="1"/>
  <c r="I5304" i="1"/>
  <c r="H5304" i="1"/>
  <c r="G5304" i="1"/>
  <c r="I5303" i="1"/>
  <c r="H5303" i="1"/>
  <c r="G5303" i="1"/>
  <c r="I5302" i="1"/>
  <c r="H5302" i="1"/>
  <c r="G5302" i="1"/>
  <c r="I5301" i="1"/>
  <c r="H5301" i="1"/>
  <c r="G5301" i="1"/>
  <c r="I5300" i="1"/>
  <c r="H5300" i="1"/>
  <c r="G5300" i="1"/>
  <c r="I5299" i="1"/>
  <c r="H5299" i="1"/>
  <c r="G5299" i="1"/>
  <c r="I5298" i="1"/>
  <c r="H5298" i="1"/>
  <c r="G5298" i="1"/>
  <c r="I5297" i="1"/>
  <c r="H5297" i="1"/>
  <c r="G5297" i="1"/>
  <c r="I5296" i="1"/>
  <c r="H5296" i="1"/>
  <c r="G5296" i="1"/>
  <c r="I5295" i="1"/>
  <c r="H5295" i="1"/>
  <c r="G5295" i="1"/>
  <c r="I5294" i="1"/>
  <c r="H5294" i="1"/>
  <c r="G5294" i="1"/>
  <c r="I5293" i="1"/>
  <c r="H5293" i="1"/>
  <c r="G5293" i="1"/>
  <c r="I5292" i="1"/>
  <c r="H5292" i="1"/>
  <c r="G5292" i="1"/>
  <c r="I5291" i="1"/>
  <c r="H5291" i="1"/>
  <c r="G5291" i="1"/>
  <c r="I5290" i="1"/>
  <c r="H5290" i="1"/>
  <c r="G5290" i="1"/>
  <c r="I5289" i="1"/>
  <c r="H5289" i="1"/>
  <c r="G5289" i="1"/>
  <c r="I5288" i="1"/>
  <c r="H5288" i="1"/>
  <c r="G5288" i="1"/>
  <c r="I5287" i="1"/>
  <c r="H5287" i="1"/>
  <c r="G5287" i="1"/>
  <c r="I5286" i="1"/>
  <c r="H5286" i="1"/>
  <c r="G5286" i="1"/>
  <c r="I5285" i="1"/>
  <c r="H5285" i="1"/>
  <c r="G5285" i="1"/>
  <c r="I5284" i="1"/>
  <c r="H5284" i="1"/>
  <c r="G5284" i="1"/>
  <c r="I5283" i="1"/>
  <c r="H5283" i="1"/>
  <c r="G5283" i="1"/>
  <c r="I5282" i="1"/>
  <c r="H5282" i="1"/>
  <c r="G5282" i="1"/>
  <c r="I5281" i="1"/>
  <c r="H5281" i="1"/>
  <c r="G5281" i="1"/>
  <c r="I5280" i="1"/>
  <c r="H5280" i="1"/>
  <c r="G5280" i="1"/>
  <c r="I5279" i="1"/>
  <c r="H5279" i="1"/>
  <c r="G5279" i="1"/>
  <c r="I5278" i="1"/>
  <c r="H5278" i="1"/>
  <c r="G5278" i="1"/>
  <c r="I5277" i="1"/>
  <c r="H5277" i="1"/>
  <c r="G5277" i="1"/>
  <c r="I5276" i="1"/>
  <c r="H5276" i="1"/>
  <c r="G5276" i="1"/>
  <c r="I5275" i="1"/>
  <c r="H5275" i="1"/>
  <c r="G5275" i="1"/>
  <c r="I5274" i="1"/>
  <c r="H5274" i="1"/>
  <c r="G5274" i="1"/>
  <c r="I5273" i="1"/>
  <c r="H5273" i="1"/>
  <c r="G5273" i="1"/>
  <c r="I5272" i="1"/>
  <c r="H5272" i="1"/>
  <c r="G5272" i="1"/>
  <c r="I5271" i="1"/>
  <c r="H5271" i="1"/>
  <c r="G5271" i="1"/>
  <c r="I5270" i="1"/>
  <c r="H5270" i="1"/>
  <c r="G5270" i="1"/>
  <c r="I5269" i="1"/>
  <c r="H5269" i="1"/>
  <c r="G5269" i="1"/>
  <c r="I5268" i="1"/>
  <c r="H5268" i="1"/>
  <c r="G5268" i="1"/>
  <c r="I5267" i="1"/>
  <c r="H5267" i="1"/>
  <c r="G5267" i="1"/>
  <c r="I5266" i="1"/>
  <c r="H5266" i="1"/>
  <c r="G5266" i="1"/>
  <c r="I5265" i="1"/>
  <c r="H5265" i="1"/>
  <c r="G5265" i="1"/>
  <c r="I5264" i="1"/>
  <c r="H5264" i="1"/>
  <c r="G5264" i="1"/>
  <c r="I5263" i="1"/>
  <c r="H5263" i="1"/>
  <c r="G5263" i="1"/>
  <c r="I5262" i="1"/>
  <c r="H5262" i="1"/>
  <c r="G5262" i="1"/>
  <c r="I5261" i="1"/>
  <c r="H5261" i="1"/>
  <c r="G5261" i="1"/>
  <c r="I5260" i="1"/>
  <c r="H5260" i="1"/>
  <c r="G5260" i="1"/>
  <c r="I5259" i="1"/>
  <c r="H5259" i="1"/>
  <c r="G5259" i="1"/>
  <c r="I5258" i="1"/>
  <c r="H5258" i="1"/>
  <c r="G5258" i="1"/>
  <c r="I5257" i="1"/>
  <c r="H5257" i="1"/>
  <c r="G5257" i="1"/>
  <c r="I5256" i="1"/>
  <c r="H5256" i="1"/>
  <c r="G5256" i="1"/>
  <c r="I5255" i="1"/>
  <c r="H5255" i="1"/>
  <c r="G5255" i="1"/>
  <c r="I5254" i="1"/>
  <c r="H5254" i="1"/>
  <c r="G5254" i="1"/>
  <c r="I5253" i="1"/>
  <c r="H5253" i="1"/>
  <c r="G5253" i="1"/>
  <c r="I5252" i="1"/>
  <c r="H5252" i="1"/>
  <c r="G5252" i="1"/>
  <c r="I5251" i="1"/>
  <c r="H5251" i="1"/>
  <c r="G5251" i="1"/>
  <c r="I5250" i="1"/>
  <c r="H5250" i="1"/>
  <c r="G5250" i="1"/>
  <c r="I5249" i="1"/>
  <c r="H5249" i="1"/>
  <c r="G5249" i="1"/>
  <c r="I5248" i="1"/>
  <c r="H5248" i="1"/>
  <c r="G5248" i="1"/>
  <c r="I5247" i="1"/>
  <c r="H5247" i="1"/>
  <c r="G5247" i="1"/>
  <c r="I5246" i="1"/>
  <c r="H5246" i="1"/>
  <c r="G5246" i="1"/>
  <c r="I5245" i="1"/>
  <c r="H5245" i="1"/>
  <c r="G5245" i="1"/>
  <c r="I5244" i="1"/>
  <c r="H5244" i="1"/>
  <c r="G5244" i="1"/>
  <c r="I5243" i="1"/>
  <c r="H5243" i="1"/>
  <c r="G5243" i="1"/>
  <c r="I5242" i="1"/>
  <c r="H5242" i="1"/>
  <c r="G5242" i="1"/>
  <c r="I5241" i="1"/>
  <c r="H5241" i="1"/>
  <c r="G5241" i="1"/>
  <c r="I5240" i="1"/>
  <c r="H5240" i="1"/>
  <c r="G5240" i="1"/>
  <c r="I5239" i="1"/>
  <c r="H5239" i="1"/>
  <c r="G5239" i="1"/>
  <c r="I5238" i="1"/>
  <c r="H5238" i="1"/>
  <c r="G5238" i="1"/>
  <c r="I5237" i="1"/>
  <c r="H5237" i="1"/>
  <c r="G5237" i="1"/>
  <c r="I5236" i="1"/>
  <c r="H5236" i="1"/>
  <c r="G5236" i="1"/>
  <c r="I5235" i="1"/>
  <c r="H5235" i="1"/>
  <c r="G5235" i="1"/>
  <c r="I5234" i="1"/>
  <c r="H5234" i="1"/>
  <c r="G5234" i="1"/>
  <c r="I5233" i="1"/>
  <c r="H5233" i="1"/>
  <c r="G5233" i="1"/>
  <c r="I5232" i="1"/>
  <c r="H5232" i="1"/>
  <c r="G5232" i="1"/>
  <c r="I5231" i="1"/>
  <c r="H5231" i="1"/>
  <c r="G5231" i="1"/>
  <c r="I5230" i="1"/>
  <c r="H5230" i="1"/>
  <c r="G5230" i="1"/>
  <c r="I5229" i="1"/>
  <c r="H5229" i="1"/>
  <c r="G5229" i="1"/>
  <c r="I5228" i="1"/>
  <c r="H5228" i="1"/>
  <c r="G5228" i="1"/>
  <c r="I5227" i="1"/>
  <c r="H5227" i="1"/>
  <c r="G5227" i="1"/>
  <c r="I5226" i="1"/>
  <c r="H5226" i="1"/>
  <c r="G5226" i="1"/>
  <c r="I5225" i="1"/>
  <c r="H5225" i="1"/>
  <c r="G5225" i="1"/>
  <c r="I5224" i="1"/>
  <c r="H5224" i="1"/>
  <c r="G5224" i="1"/>
  <c r="I5223" i="1"/>
  <c r="H5223" i="1"/>
  <c r="G5223" i="1"/>
  <c r="I5222" i="1"/>
  <c r="H5222" i="1"/>
  <c r="G5222" i="1"/>
  <c r="I5221" i="1"/>
  <c r="H5221" i="1"/>
  <c r="G5221" i="1"/>
  <c r="I5220" i="1"/>
  <c r="H5220" i="1"/>
  <c r="G5220" i="1"/>
  <c r="I5219" i="1"/>
  <c r="H5219" i="1"/>
  <c r="G5219" i="1"/>
  <c r="I5218" i="1"/>
  <c r="H5218" i="1"/>
  <c r="G5218" i="1"/>
  <c r="I5217" i="1"/>
  <c r="H5217" i="1"/>
  <c r="G5217" i="1"/>
  <c r="I5216" i="1"/>
  <c r="H5216" i="1"/>
  <c r="G5216" i="1"/>
  <c r="I5215" i="1"/>
  <c r="H5215" i="1"/>
  <c r="G5215" i="1"/>
  <c r="I5214" i="1"/>
  <c r="H5214" i="1"/>
  <c r="G5214" i="1"/>
  <c r="I5213" i="1"/>
  <c r="H5213" i="1"/>
  <c r="G5213" i="1"/>
  <c r="I5212" i="1"/>
  <c r="H5212" i="1"/>
  <c r="G5212" i="1"/>
  <c r="I5211" i="1"/>
  <c r="H5211" i="1"/>
  <c r="G5211" i="1"/>
  <c r="I5210" i="1"/>
  <c r="H5210" i="1"/>
  <c r="G5210" i="1"/>
  <c r="I5209" i="1"/>
  <c r="H5209" i="1"/>
  <c r="G5209" i="1"/>
  <c r="I5208" i="1"/>
  <c r="H5208" i="1"/>
  <c r="G5208" i="1"/>
  <c r="I5207" i="1"/>
  <c r="H5207" i="1"/>
  <c r="G5207" i="1"/>
  <c r="I5206" i="1"/>
  <c r="H5206" i="1"/>
  <c r="G5206" i="1"/>
  <c r="I5205" i="1"/>
  <c r="H5205" i="1"/>
  <c r="G5205" i="1"/>
  <c r="I5204" i="1"/>
  <c r="H5204" i="1"/>
  <c r="G5204" i="1"/>
  <c r="I5203" i="1"/>
  <c r="H5203" i="1"/>
  <c r="G5203" i="1"/>
  <c r="I5202" i="1"/>
  <c r="H5202" i="1"/>
  <c r="G5202" i="1"/>
  <c r="I5201" i="1"/>
  <c r="H5201" i="1"/>
  <c r="G5201" i="1"/>
  <c r="I5200" i="1"/>
  <c r="H5200" i="1"/>
  <c r="G5200" i="1"/>
  <c r="I5199" i="1"/>
  <c r="H5199" i="1"/>
  <c r="G5199" i="1"/>
  <c r="I5198" i="1"/>
  <c r="H5198" i="1"/>
  <c r="G5198" i="1"/>
  <c r="I5197" i="1"/>
  <c r="H5197" i="1"/>
  <c r="G5197" i="1"/>
  <c r="I5196" i="1"/>
  <c r="H5196" i="1"/>
  <c r="G5196" i="1"/>
  <c r="I5195" i="1"/>
  <c r="H5195" i="1"/>
  <c r="G5195" i="1"/>
  <c r="I5194" i="1"/>
  <c r="H5194" i="1"/>
  <c r="G5194" i="1"/>
  <c r="I5193" i="1"/>
  <c r="H5193" i="1"/>
  <c r="G5193" i="1"/>
  <c r="I5192" i="1"/>
  <c r="H5192" i="1"/>
  <c r="G5192" i="1"/>
  <c r="I5191" i="1"/>
  <c r="H5191" i="1"/>
  <c r="G5191" i="1"/>
  <c r="I5190" i="1"/>
  <c r="H5190" i="1"/>
  <c r="G5190" i="1"/>
  <c r="I5189" i="1"/>
  <c r="H5189" i="1"/>
  <c r="G5189" i="1"/>
  <c r="I5188" i="1"/>
  <c r="H5188" i="1"/>
  <c r="G5188" i="1"/>
  <c r="I5187" i="1"/>
  <c r="H5187" i="1"/>
  <c r="G5187" i="1"/>
  <c r="I5186" i="1"/>
  <c r="H5186" i="1"/>
  <c r="G5186" i="1"/>
  <c r="I5185" i="1"/>
  <c r="H5185" i="1"/>
  <c r="G5185" i="1"/>
  <c r="I5184" i="1"/>
  <c r="H5184" i="1"/>
  <c r="G5184" i="1"/>
  <c r="I5183" i="1"/>
  <c r="H5183" i="1"/>
  <c r="G5183" i="1"/>
  <c r="I5182" i="1"/>
  <c r="H5182" i="1"/>
  <c r="G5182" i="1"/>
  <c r="I5181" i="1"/>
  <c r="H5181" i="1"/>
  <c r="G5181" i="1"/>
  <c r="I5180" i="1"/>
  <c r="H5180" i="1"/>
  <c r="G5180" i="1"/>
  <c r="I5179" i="1"/>
  <c r="H5179" i="1"/>
  <c r="G5179" i="1"/>
  <c r="I5178" i="1"/>
  <c r="H5178" i="1"/>
  <c r="G5178" i="1"/>
  <c r="I5177" i="1"/>
  <c r="H5177" i="1"/>
  <c r="G5177" i="1"/>
  <c r="I5176" i="1"/>
  <c r="H5176" i="1"/>
  <c r="G5176" i="1"/>
  <c r="I5175" i="1"/>
  <c r="H5175" i="1"/>
  <c r="G5175" i="1"/>
  <c r="I5174" i="1"/>
  <c r="H5174" i="1"/>
  <c r="G5174" i="1"/>
  <c r="I5173" i="1"/>
  <c r="H5173" i="1"/>
  <c r="G5173" i="1"/>
  <c r="I5172" i="1"/>
  <c r="H5172" i="1"/>
  <c r="G5172" i="1"/>
  <c r="I5171" i="1"/>
  <c r="H5171" i="1"/>
  <c r="G5171" i="1"/>
  <c r="I5170" i="1"/>
  <c r="H5170" i="1"/>
  <c r="G5170" i="1"/>
  <c r="I5169" i="1"/>
  <c r="H5169" i="1"/>
  <c r="G5169" i="1"/>
  <c r="I5168" i="1"/>
  <c r="H5168" i="1"/>
  <c r="G5168" i="1"/>
  <c r="I5167" i="1"/>
  <c r="H5167" i="1"/>
  <c r="G5167" i="1"/>
  <c r="I5166" i="1"/>
  <c r="H5166" i="1"/>
  <c r="G5166" i="1"/>
  <c r="I5165" i="1"/>
  <c r="H5165" i="1"/>
  <c r="G5165" i="1"/>
  <c r="I5164" i="1"/>
  <c r="H5164" i="1"/>
  <c r="G5164" i="1"/>
  <c r="I5163" i="1"/>
  <c r="H5163" i="1"/>
  <c r="G5163" i="1"/>
  <c r="I5162" i="1"/>
  <c r="H5162" i="1"/>
  <c r="G5162" i="1"/>
  <c r="I5161" i="1"/>
  <c r="H5161" i="1"/>
  <c r="G5161" i="1"/>
  <c r="I5160" i="1"/>
  <c r="H5160" i="1"/>
  <c r="G5160" i="1"/>
  <c r="I5159" i="1"/>
  <c r="H5159" i="1"/>
  <c r="G5159" i="1"/>
  <c r="I5158" i="1"/>
  <c r="H5158" i="1"/>
  <c r="G5158" i="1"/>
  <c r="I5157" i="1"/>
  <c r="H5157" i="1"/>
  <c r="G5157" i="1"/>
  <c r="I5156" i="1"/>
  <c r="H5156" i="1"/>
  <c r="G5156" i="1"/>
  <c r="I5155" i="1"/>
  <c r="H5155" i="1"/>
  <c r="G5155" i="1"/>
  <c r="I5154" i="1"/>
  <c r="H5154" i="1"/>
  <c r="G5154" i="1"/>
  <c r="I5153" i="1"/>
  <c r="H5153" i="1"/>
  <c r="G5153" i="1"/>
  <c r="I5152" i="1"/>
  <c r="H5152" i="1"/>
  <c r="G5152" i="1"/>
  <c r="I5151" i="1"/>
  <c r="H5151" i="1"/>
  <c r="G5151" i="1"/>
  <c r="I5150" i="1"/>
  <c r="H5150" i="1"/>
  <c r="G5150" i="1"/>
  <c r="I5149" i="1"/>
  <c r="H5149" i="1"/>
  <c r="G5149" i="1"/>
  <c r="I5148" i="1"/>
  <c r="H5148" i="1"/>
  <c r="G5148" i="1"/>
  <c r="I5147" i="1"/>
  <c r="H5147" i="1"/>
  <c r="G5147" i="1"/>
  <c r="I5146" i="1"/>
  <c r="H5146" i="1"/>
  <c r="G5146" i="1"/>
  <c r="I5145" i="1"/>
  <c r="H5145" i="1"/>
  <c r="G5145" i="1"/>
  <c r="I5144" i="1"/>
  <c r="H5144" i="1"/>
  <c r="G5144" i="1"/>
  <c r="I5143" i="1"/>
  <c r="H5143" i="1"/>
  <c r="G5143" i="1"/>
  <c r="I5142" i="1"/>
  <c r="H5142" i="1"/>
  <c r="G5142" i="1"/>
  <c r="I5141" i="1"/>
  <c r="H5141" i="1"/>
  <c r="G5141" i="1"/>
  <c r="I5140" i="1"/>
  <c r="H5140" i="1"/>
  <c r="G5140" i="1"/>
  <c r="I5139" i="1"/>
  <c r="H5139" i="1"/>
  <c r="G5139" i="1"/>
  <c r="I5138" i="1"/>
  <c r="H5138" i="1"/>
  <c r="G5138" i="1"/>
  <c r="I5137" i="1"/>
  <c r="H5137" i="1"/>
  <c r="G5137" i="1"/>
  <c r="I5136" i="1"/>
  <c r="H5136" i="1"/>
  <c r="G5136" i="1"/>
  <c r="I5135" i="1"/>
  <c r="H5135" i="1"/>
  <c r="G5135" i="1"/>
  <c r="I5134" i="1"/>
  <c r="H5134" i="1"/>
  <c r="G5134" i="1"/>
  <c r="I5133" i="1"/>
  <c r="H5133" i="1"/>
  <c r="G5133" i="1"/>
  <c r="I5132" i="1"/>
  <c r="H5132" i="1"/>
  <c r="G5132" i="1"/>
  <c r="I5131" i="1"/>
  <c r="H5131" i="1"/>
  <c r="G5131" i="1"/>
  <c r="I5130" i="1"/>
  <c r="H5130" i="1"/>
  <c r="G5130" i="1"/>
  <c r="I5129" i="1"/>
  <c r="H5129" i="1"/>
  <c r="G5129" i="1"/>
  <c r="I5128" i="1"/>
  <c r="H5128" i="1"/>
  <c r="G5128" i="1"/>
  <c r="I5127" i="1"/>
  <c r="H5127" i="1"/>
  <c r="G5127" i="1"/>
  <c r="I5126" i="1"/>
  <c r="H5126" i="1"/>
  <c r="G5126" i="1"/>
  <c r="I5125" i="1"/>
  <c r="H5125" i="1"/>
  <c r="G5125" i="1"/>
  <c r="I5124" i="1"/>
  <c r="H5124" i="1"/>
  <c r="G5124" i="1"/>
  <c r="I5123" i="1"/>
  <c r="H5123" i="1"/>
  <c r="G5123" i="1"/>
  <c r="I5122" i="1"/>
  <c r="H5122" i="1"/>
  <c r="G5122" i="1"/>
  <c r="I5121" i="1"/>
  <c r="H5121" i="1"/>
  <c r="G5121" i="1"/>
  <c r="I5120" i="1"/>
  <c r="H5120" i="1"/>
  <c r="G5120" i="1"/>
  <c r="I5119" i="1"/>
  <c r="H5119" i="1"/>
  <c r="G5119" i="1"/>
  <c r="I5118" i="1"/>
  <c r="H5118" i="1"/>
  <c r="G5118" i="1"/>
  <c r="I5117" i="1"/>
  <c r="H5117" i="1"/>
  <c r="G5117" i="1"/>
  <c r="I5116" i="1"/>
  <c r="H5116" i="1"/>
  <c r="G5116" i="1"/>
  <c r="I5115" i="1"/>
  <c r="H5115" i="1"/>
  <c r="G5115" i="1"/>
  <c r="I5114" i="1"/>
  <c r="H5114" i="1"/>
  <c r="G5114" i="1"/>
  <c r="I5113" i="1"/>
  <c r="H5113" i="1"/>
  <c r="G5113" i="1"/>
  <c r="I5112" i="1"/>
  <c r="H5112" i="1"/>
  <c r="G5112" i="1"/>
  <c r="I5111" i="1"/>
  <c r="H5111" i="1"/>
  <c r="G5111" i="1"/>
  <c r="I5110" i="1"/>
  <c r="H5110" i="1"/>
  <c r="G5110" i="1"/>
  <c r="I5109" i="1"/>
  <c r="H5109" i="1"/>
  <c r="G5109" i="1"/>
  <c r="I5108" i="1"/>
  <c r="H5108" i="1"/>
  <c r="G5108" i="1"/>
  <c r="I5107" i="1"/>
  <c r="H5107" i="1"/>
  <c r="G5107" i="1"/>
  <c r="I5106" i="1"/>
  <c r="H5106" i="1"/>
  <c r="G5106" i="1"/>
  <c r="I5105" i="1"/>
  <c r="H5105" i="1"/>
  <c r="G5105" i="1"/>
  <c r="I5104" i="1"/>
  <c r="H5104" i="1"/>
  <c r="G5104" i="1"/>
  <c r="I5103" i="1"/>
  <c r="H5103" i="1"/>
  <c r="G5103" i="1"/>
  <c r="I5102" i="1"/>
  <c r="H5102" i="1"/>
  <c r="G5102" i="1"/>
  <c r="I5101" i="1"/>
  <c r="H5101" i="1"/>
  <c r="G5101" i="1"/>
  <c r="I5100" i="1"/>
  <c r="H5100" i="1"/>
  <c r="G5100" i="1"/>
  <c r="I5099" i="1"/>
  <c r="H5099" i="1"/>
  <c r="G5099" i="1"/>
  <c r="I5098" i="1"/>
  <c r="H5098" i="1"/>
  <c r="G5098" i="1"/>
  <c r="I5097" i="1"/>
  <c r="H5097" i="1"/>
  <c r="G5097" i="1"/>
  <c r="I5096" i="1"/>
  <c r="H5096" i="1"/>
  <c r="G5096" i="1"/>
  <c r="I5095" i="1"/>
  <c r="H5095" i="1"/>
  <c r="G5095" i="1"/>
  <c r="I5094" i="1"/>
  <c r="H5094" i="1"/>
  <c r="G5094" i="1"/>
  <c r="I5093" i="1"/>
  <c r="H5093" i="1"/>
  <c r="G5093" i="1"/>
  <c r="I5092" i="1"/>
  <c r="H5092" i="1"/>
  <c r="G5092" i="1"/>
  <c r="I5091" i="1"/>
  <c r="H5091" i="1"/>
  <c r="G5091" i="1"/>
  <c r="I5090" i="1"/>
  <c r="H5090" i="1"/>
  <c r="G5090" i="1"/>
  <c r="I5089" i="1"/>
  <c r="H5089" i="1"/>
  <c r="G5089" i="1"/>
  <c r="I5088" i="1"/>
  <c r="H5088" i="1"/>
  <c r="G5088" i="1"/>
  <c r="I5087" i="1"/>
  <c r="H5087" i="1"/>
  <c r="G5087" i="1"/>
  <c r="I5086" i="1"/>
  <c r="H5086" i="1"/>
  <c r="G5086" i="1"/>
  <c r="I5085" i="1"/>
  <c r="H5085" i="1"/>
  <c r="G5085" i="1"/>
  <c r="I5084" i="1"/>
  <c r="H5084" i="1"/>
  <c r="G5084" i="1"/>
  <c r="I5083" i="1"/>
  <c r="H5083" i="1"/>
  <c r="G5083" i="1"/>
  <c r="I5082" i="1"/>
  <c r="H5082" i="1"/>
  <c r="G5082" i="1"/>
  <c r="I5081" i="1"/>
  <c r="H5081" i="1"/>
  <c r="G5081" i="1"/>
  <c r="I5080" i="1"/>
  <c r="H5080" i="1"/>
  <c r="G5080" i="1"/>
  <c r="I5079" i="1"/>
  <c r="H5079" i="1"/>
  <c r="G5079" i="1"/>
  <c r="I5078" i="1"/>
  <c r="H5078" i="1"/>
  <c r="G5078" i="1"/>
  <c r="I5077" i="1"/>
  <c r="H5077" i="1"/>
  <c r="G5077" i="1"/>
  <c r="I5076" i="1"/>
  <c r="H5076" i="1"/>
  <c r="G5076" i="1"/>
  <c r="I5075" i="1"/>
  <c r="H5075" i="1"/>
  <c r="G5075" i="1"/>
  <c r="I5074" i="1"/>
  <c r="H5074" i="1"/>
  <c r="G5074" i="1"/>
  <c r="I5073" i="1"/>
  <c r="H5073" i="1"/>
  <c r="G5073" i="1"/>
  <c r="I5072" i="1"/>
  <c r="H5072" i="1"/>
  <c r="G5072" i="1"/>
  <c r="I5071" i="1"/>
  <c r="H5071" i="1"/>
  <c r="G5071" i="1"/>
  <c r="I5070" i="1"/>
  <c r="H5070" i="1"/>
  <c r="G5070" i="1"/>
  <c r="I5069" i="1"/>
  <c r="H5069" i="1"/>
  <c r="G5069" i="1"/>
  <c r="I5068" i="1"/>
  <c r="H5068" i="1"/>
  <c r="G5068" i="1"/>
  <c r="I5067" i="1"/>
  <c r="H5067" i="1"/>
  <c r="G5067" i="1"/>
  <c r="I5066" i="1"/>
  <c r="H5066" i="1"/>
  <c r="G5066" i="1"/>
  <c r="I5065" i="1"/>
  <c r="H5065" i="1"/>
  <c r="G5065" i="1"/>
  <c r="I5064" i="1"/>
  <c r="H5064" i="1"/>
  <c r="G5064" i="1"/>
  <c r="I5063" i="1"/>
  <c r="H5063" i="1"/>
  <c r="G5063" i="1"/>
  <c r="I5062" i="1"/>
  <c r="H5062" i="1"/>
  <c r="G5062" i="1"/>
  <c r="I5061" i="1"/>
  <c r="H5061" i="1"/>
  <c r="G5061" i="1"/>
  <c r="I5060" i="1"/>
  <c r="H5060" i="1"/>
  <c r="G5060" i="1"/>
  <c r="I5059" i="1"/>
  <c r="H5059" i="1"/>
  <c r="G5059" i="1"/>
  <c r="I5058" i="1"/>
  <c r="H5058" i="1"/>
  <c r="G5058" i="1"/>
  <c r="I5057" i="1"/>
  <c r="H5057" i="1"/>
  <c r="G5057" i="1"/>
  <c r="I5056" i="1"/>
  <c r="H5056" i="1"/>
  <c r="G5056" i="1"/>
  <c r="I5055" i="1"/>
  <c r="H5055" i="1"/>
  <c r="G5055" i="1"/>
  <c r="I5054" i="1"/>
  <c r="H5054" i="1"/>
  <c r="G5054" i="1"/>
  <c r="I5053" i="1"/>
  <c r="H5053" i="1"/>
  <c r="G5053" i="1"/>
  <c r="I5052" i="1"/>
  <c r="H5052" i="1"/>
  <c r="G5052" i="1"/>
  <c r="I5051" i="1"/>
  <c r="H5051" i="1"/>
  <c r="G5051" i="1"/>
  <c r="I5050" i="1"/>
  <c r="H5050" i="1"/>
  <c r="G5050" i="1"/>
  <c r="I5049" i="1"/>
  <c r="H5049" i="1"/>
  <c r="G5049" i="1"/>
  <c r="I5048" i="1"/>
  <c r="H5048" i="1"/>
  <c r="G5048" i="1"/>
  <c r="I5047" i="1"/>
  <c r="H5047" i="1"/>
  <c r="G5047" i="1"/>
  <c r="I5046" i="1"/>
  <c r="H5046" i="1"/>
  <c r="G5046" i="1"/>
  <c r="I5045" i="1"/>
  <c r="H5045" i="1"/>
  <c r="G5045" i="1"/>
  <c r="I5044" i="1"/>
  <c r="H5044" i="1"/>
  <c r="G5044" i="1"/>
  <c r="I5043" i="1"/>
  <c r="H5043" i="1"/>
  <c r="G5043" i="1"/>
  <c r="I5042" i="1"/>
  <c r="H5042" i="1"/>
  <c r="G5042" i="1"/>
  <c r="I5041" i="1"/>
  <c r="H5041" i="1"/>
  <c r="G5041" i="1"/>
  <c r="I5040" i="1"/>
  <c r="H5040" i="1"/>
  <c r="G5040" i="1"/>
  <c r="I5039" i="1"/>
  <c r="H5039" i="1"/>
  <c r="G5039" i="1"/>
  <c r="I5038" i="1"/>
  <c r="H5038" i="1"/>
  <c r="G5038" i="1"/>
  <c r="I5037" i="1"/>
  <c r="H5037" i="1"/>
  <c r="G5037" i="1"/>
  <c r="I5036" i="1"/>
  <c r="H5036" i="1"/>
  <c r="G5036" i="1"/>
  <c r="I5035" i="1"/>
  <c r="H5035" i="1"/>
  <c r="G5035" i="1"/>
  <c r="I5034" i="1"/>
  <c r="H5034" i="1"/>
  <c r="G5034" i="1"/>
  <c r="I5033" i="1"/>
  <c r="H5033" i="1"/>
  <c r="G5033" i="1"/>
  <c r="I5032" i="1"/>
  <c r="H5032" i="1"/>
  <c r="G5032" i="1"/>
  <c r="I5031" i="1"/>
  <c r="H5031" i="1"/>
  <c r="G5031" i="1"/>
  <c r="I5030" i="1"/>
  <c r="H5030" i="1"/>
  <c r="G5030" i="1"/>
  <c r="I5029" i="1"/>
  <c r="H5029" i="1"/>
  <c r="G5029" i="1"/>
  <c r="I5028" i="1"/>
  <c r="H5028" i="1"/>
  <c r="G5028" i="1"/>
  <c r="I5027" i="1"/>
  <c r="H5027" i="1"/>
  <c r="G5027" i="1"/>
  <c r="I5026" i="1"/>
  <c r="H5026" i="1"/>
  <c r="G5026" i="1"/>
  <c r="I5025" i="1"/>
  <c r="H5025" i="1"/>
  <c r="G5025" i="1"/>
  <c r="I5024" i="1"/>
  <c r="H5024" i="1"/>
  <c r="G5024" i="1"/>
  <c r="I5023" i="1"/>
  <c r="H5023" i="1"/>
  <c r="G5023" i="1"/>
  <c r="I5022" i="1"/>
  <c r="H5022" i="1"/>
  <c r="G5022" i="1"/>
  <c r="I5021" i="1"/>
  <c r="H5021" i="1"/>
  <c r="G5021" i="1"/>
  <c r="I5020" i="1"/>
  <c r="H5020" i="1"/>
  <c r="G5020" i="1"/>
  <c r="I5019" i="1"/>
  <c r="H5019" i="1"/>
  <c r="G5019" i="1"/>
  <c r="I5018" i="1"/>
  <c r="H5018" i="1"/>
  <c r="G5018" i="1"/>
  <c r="I5017" i="1"/>
  <c r="H5017" i="1"/>
  <c r="G5017" i="1"/>
  <c r="I5016" i="1"/>
  <c r="H5016" i="1"/>
  <c r="G5016" i="1"/>
  <c r="I5015" i="1"/>
  <c r="H5015" i="1"/>
  <c r="G5015" i="1"/>
  <c r="I5014" i="1"/>
  <c r="H5014" i="1"/>
  <c r="G5014" i="1"/>
  <c r="I5013" i="1"/>
  <c r="H5013" i="1"/>
  <c r="G5013" i="1"/>
  <c r="I5012" i="1"/>
  <c r="H5012" i="1"/>
  <c r="G5012" i="1"/>
  <c r="I5011" i="1"/>
  <c r="H5011" i="1"/>
  <c r="G5011" i="1"/>
  <c r="I5010" i="1"/>
  <c r="H5010" i="1"/>
  <c r="G5010" i="1"/>
  <c r="I5009" i="1"/>
  <c r="H5009" i="1"/>
  <c r="G5009" i="1"/>
  <c r="I5008" i="1"/>
  <c r="H5008" i="1"/>
  <c r="G5008" i="1"/>
  <c r="I5007" i="1"/>
  <c r="H5007" i="1"/>
  <c r="G5007" i="1"/>
  <c r="I5006" i="1"/>
  <c r="H5006" i="1"/>
  <c r="G5006" i="1"/>
  <c r="I5005" i="1"/>
  <c r="H5005" i="1"/>
  <c r="G5005" i="1"/>
  <c r="I5004" i="1"/>
  <c r="H5004" i="1"/>
  <c r="G5004" i="1"/>
  <c r="I5003" i="1"/>
  <c r="H5003" i="1"/>
  <c r="G5003" i="1"/>
  <c r="I5002" i="1"/>
  <c r="H5002" i="1"/>
  <c r="G5002" i="1"/>
  <c r="I5001" i="1"/>
  <c r="H5001" i="1"/>
  <c r="G5001" i="1"/>
  <c r="I5000" i="1"/>
  <c r="H5000" i="1"/>
  <c r="G5000" i="1"/>
  <c r="I4999" i="1"/>
  <c r="H4999" i="1"/>
  <c r="G4999" i="1"/>
  <c r="I4998" i="1"/>
  <c r="H4998" i="1"/>
  <c r="G4998" i="1"/>
  <c r="I4997" i="1"/>
  <c r="H4997" i="1"/>
  <c r="G4997" i="1"/>
  <c r="I4996" i="1"/>
  <c r="H4996" i="1"/>
  <c r="G4996" i="1"/>
  <c r="I4995" i="1"/>
  <c r="H4995" i="1"/>
  <c r="G4995" i="1"/>
  <c r="I4994" i="1"/>
  <c r="H4994" i="1"/>
  <c r="G4994" i="1"/>
  <c r="I4993" i="1"/>
  <c r="H4993" i="1"/>
  <c r="G4993" i="1"/>
  <c r="I4992" i="1"/>
  <c r="H4992" i="1"/>
  <c r="G4992" i="1"/>
  <c r="I4991" i="1"/>
  <c r="H4991" i="1"/>
  <c r="G4991" i="1"/>
  <c r="I4990" i="1"/>
  <c r="H4990" i="1"/>
  <c r="G4990" i="1"/>
  <c r="I4989" i="1"/>
  <c r="H4989" i="1"/>
  <c r="G4989" i="1"/>
  <c r="I4988" i="1"/>
  <c r="H4988" i="1"/>
  <c r="G4988" i="1"/>
  <c r="I4987" i="1"/>
  <c r="H4987" i="1"/>
  <c r="G4987" i="1"/>
  <c r="I4986" i="1"/>
  <c r="H4986" i="1"/>
  <c r="G4986" i="1"/>
  <c r="I4985" i="1"/>
  <c r="H4985" i="1"/>
  <c r="G4985" i="1"/>
  <c r="I4984" i="1"/>
  <c r="H4984" i="1"/>
  <c r="G4984" i="1"/>
  <c r="I4983" i="1"/>
  <c r="H4983" i="1"/>
  <c r="G4983" i="1"/>
  <c r="I4982" i="1"/>
  <c r="H4982" i="1"/>
  <c r="G4982" i="1"/>
  <c r="I4981" i="1"/>
  <c r="H4981" i="1"/>
  <c r="G4981" i="1"/>
  <c r="I4980" i="1"/>
  <c r="H4980" i="1"/>
  <c r="G4980" i="1"/>
  <c r="I4979" i="1"/>
  <c r="H4979" i="1"/>
  <c r="G4979" i="1"/>
  <c r="I4978" i="1"/>
  <c r="H4978" i="1"/>
  <c r="G4978" i="1"/>
  <c r="I4977" i="1"/>
  <c r="H4977" i="1"/>
  <c r="G4977" i="1"/>
  <c r="I4976" i="1"/>
  <c r="H4976" i="1"/>
  <c r="G4976" i="1"/>
  <c r="I4975" i="1"/>
  <c r="H4975" i="1"/>
  <c r="G4975" i="1"/>
  <c r="I4974" i="1"/>
  <c r="H4974" i="1"/>
  <c r="G4974" i="1"/>
  <c r="I4973" i="1"/>
  <c r="H4973" i="1"/>
  <c r="G4973" i="1"/>
  <c r="I4972" i="1"/>
  <c r="H4972" i="1"/>
  <c r="G4972" i="1"/>
  <c r="I4971" i="1"/>
  <c r="H4971" i="1"/>
  <c r="G4971" i="1"/>
  <c r="I4970" i="1"/>
  <c r="H4970" i="1"/>
  <c r="G4970" i="1"/>
  <c r="I4969" i="1"/>
  <c r="H4969" i="1"/>
  <c r="G4969" i="1"/>
  <c r="I4968" i="1"/>
  <c r="H4968" i="1"/>
  <c r="G4968" i="1"/>
  <c r="I4967" i="1"/>
  <c r="H4967" i="1"/>
  <c r="G4967" i="1"/>
  <c r="I4966" i="1"/>
  <c r="H4966" i="1"/>
  <c r="G4966" i="1"/>
  <c r="I4965" i="1"/>
  <c r="H4965" i="1"/>
  <c r="G4965" i="1"/>
  <c r="I4964" i="1"/>
  <c r="H4964" i="1"/>
  <c r="G4964" i="1"/>
  <c r="I4963" i="1"/>
  <c r="H4963" i="1"/>
  <c r="G4963" i="1"/>
  <c r="I4962" i="1"/>
  <c r="H4962" i="1"/>
  <c r="G4962" i="1"/>
  <c r="I4961" i="1"/>
  <c r="H4961" i="1"/>
  <c r="G4961" i="1"/>
  <c r="I4960" i="1"/>
  <c r="H4960" i="1"/>
  <c r="G4960" i="1"/>
  <c r="I4959" i="1"/>
  <c r="H4959" i="1"/>
  <c r="G4959" i="1"/>
  <c r="I4958" i="1"/>
  <c r="H4958" i="1"/>
  <c r="G4958" i="1"/>
  <c r="I4957" i="1"/>
  <c r="H4957" i="1"/>
  <c r="G4957" i="1"/>
  <c r="I4956" i="1"/>
  <c r="H4956" i="1"/>
  <c r="G4956" i="1"/>
  <c r="I4955" i="1"/>
  <c r="H4955" i="1"/>
  <c r="G4955" i="1"/>
  <c r="I4954" i="1"/>
  <c r="H4954" i="1"/>
  <c r="G4954" i="1"/>
  <c r="I4953" i="1"/>
  <c r="H4953" i="1"/>
  <c r="G4953" i="1"/>
  <c r="I4952" i="1"/>
  <c r="H4952" i="1"/>
  <c r="G4952" i="1"/>
  <c r="I4951" i="1"/>
  <c r="H4951" i="1"/>
  <c r="G4951" i="1"/>
  <c r="I4950" i="1"/>
  <c r="H4950" i="1"/>
  <c r="G4950" i="1"/>
  <c r="I4949" i="1"/>
  <c r="H4949" i="1"/>
  <c r="G4949" i="1"/>
  <c r="I4948" i="1"/>
  <c r="H4948" i="1"/>
  <c r="G4948" i="1"/>
  <c r="I4947" i="1"/>
  <c r="H4947" i="1"/>
  <c r="G4947" i="1"/>
  <c r="I4946" i="1"/>
  <c r="H4946" i="1"/>
  <c r="G4946" i="1"/>
  <c r="I4945" i="1"/>
  <c r="H4945" i="1"/>
  <c r="G4945" i="1"/>
  <c r="I4944" i="1"/>
  <c r="H4944" i="1"/>
  <c r="G4944" i="1"/>
  <c r="I4943" i="1"/>
  <c r="H4943" i="1"/>
  <c r="G4943" i="1"/>
  <c r="I4942" i="1"/>
  <c r="H4942" i="1"/>
  <c r="G4942" i="1"/>
  <c r="I4941" i="1"/>
  <c r="H4941" i="1"/>
  <c r="G4941" i="1"/>
  <c r="I4940" i="1"/>
  <c r="H4940" i="1"/>
  <c r="G4940" i="1"/>
  <c r="I4939" i="1"/>
  <c r="H4939" i="1"/>
  <c r="G4939" i="1"/>
  <c r="I4938" i="1"/>
  <c r="H4938" i="1"/>
  <c r="G4938" i="1"/>
  <c r="I4937" i="1"/>
  <c r="H4937" i="1"/>
  <c r="G4937" i="1"/>
  <c r="I4936" i="1"/>
  <c r="H4936" i="1"/>
  <c r="G4936" i="1"/>
  <c r="I4935" i="1"/>
  <c r="H4935" i="1"/>
  <c r="G4935" i="1"/>
  <c r="I4934" i="1"/>
  <c r="H4934" i="1"/>
  <c r="G4934" i="1"/>
  <c r="I4933" i="1"/>
  <c r="H4933" i="1"/>
  <c r="G4933" i="1"/>
  <c r="I4932" i="1"/>
  <c r="H4932" i="1"/>
  <c r="G4932" i="1"/>
  <c r="I4931" i="1"/>
  <c r="H4931" i="1"/>
  <c r="G4931" i="1"/>
  <c r="I4930" i="1"/>
  <c r="H4930" i="1"/>
  <c r="G4930" i="1"/>
  <c r="I4929" i="1"/>
  <c r="H4929" i="1"/>
  <c r="G4929" i="1"/>
  <c r="I4928" i="1"/>
  <c r="H4928" i="1"/>
  <c r="G4928" i="1"/>
  <c r="I4927" i="1"/>
  <c r="H4927" i="1"/>
  <c r="G4927" i="1"/>
  <c r="I4926" i="1"/>
  <c r="H4926" i="1"/>
  <c r="G4926" i="1"/>
  <c r="I4925" i="1"/>
  <c r="H4925" i="1"/>
  <c r="G4925" i="1"/>
  <c r="I4924" i="1"/>
  <c r="H4924" i="1"/>
  <c r="G4924" i="1"/>
  <c r="I4923" i="1"/>
  <c r="H4923" i="1"/>
  <c r="G4923" i="1"/>
  <c r="I4922" i="1"/>
  <c r="H4922" i="1"/>
  <c r="G4922" i="1"/>
  <c r="I4921" i="1"/>
  <c r="H4921" i="1"/>
  <c r="G4921" i="1"/>
  <c r="I4920" i="1"/>
  <c r="H4920" i="1"/>
  <c r="G4920" i="1"/>
  <c r="I4919" i="1"/>
  <c r="H4919" i="1"/>
  <c r="G4919" i="1"/>
  <c r="I4918" i="1"/>
  <c r="H4918" i="1"/>
  <c r="G4918" i="1"/>
  <c r="I4917" i="1"/>
  <c r="H4917" i="1"/>
  <c r="G4917" i="1"/>
  <c r="I4916" i="1"/>
  <c r="H4916" i="1"/>
  <c r="G4916" i="1"/>
  <c r="I4915" i="1"/>
  <c r="H4915" i="1"/>
  <c r="G4915" i="1"/>
  <c r="I4914" i="1"/>
  <c r="H4914" i="1"/>
  <c r="G4914" i="1"/>
  <c r="I4913" i="1"/>
  <c r="H4913" i="1"/>
  <c r="G4913" i="1"/>
  <c r="I4912" i="1"/>
  <c r="H4912" i="1"/>
  <c r="G4912" i="1"/>
  <c r="I4911" i="1"/>
  <c r="H4911" i="1"/>
  <c r="G4911" i="1"/>
  <c r="I4910" i="1"/>
  <c r="H4910" i="1"/>
  <c r="G4910" i="1"/>
  <c r="I4909" i="1"/>
  <c r="H4909" i="1"/>
  <c r="G4909" i="1"/>
  <c r="I4908" i="1"/>
  <c r="H4908" i="1"/>
  <c r="G4908" i="1"/>
  <c r="I4907" i="1"/>
  <c r="H4907" i="1"/>
  <c r="G4907" i="1"/>
  <c r="I4906" i="1"/>
  <c r="H4906" i="1"/>
  <c r="G4906" i="1"/>
  <c r="I4905" i="1"/>
  <c r="H4905" i="1"/>
  <c r="G4905" i="1"/>
  <c r="I4904" i="1"/>
  <c r="H4904" i="1"/>
  <c r="G4904" i="1"/>
  <c r="I4903" i="1"/>
  <c r="H4903" i="1"/>
  <c r="G4903" i="1"/>
  <c r="I4902" i="1"/>
  <c r="H4902" i="1"/>
  <c r="G4902" i="1"/>
  <c r="I4901" i="1"/>
  <c r="H4901" i="1"/>
  <c r="G4901" i="1"/>
  <c r="I4900" i="1"/>
  <c r="H4900" i="1"/>
  <c r="G4900" i="1"/>
  <c r="I4899" i="1"/>
  <c r="H4899" i="1"/>
  <c r="G4899" i="1"/>
  <c r="I4898" i="1"/>
  <c r="H4898" i="1"/>
  <c r="G4898" i="1"/>
  <c r="I4897" i="1"/>
  <c r="H4897" i="1"/>
  <c r="G4897" i="1"/>
  <c r="I4896" i="1"/>
  <c r="H4896" i="1"/>
  <c r="G4896" i="1"/>
  <c r="I4895" i="1"/>
  <c r="H4895" i="1"/>
  <c r="G4895" i="1"/>
  <c r="I4894" i="1"/>
  <c r="H4894" i="1"/>
  <c r="G4894" i="1"/>
  <c r="I4893" i="1"/>
  <c r="H4893" i="1"/>
  <c r="G4893" i="1"/>
  <c r="I4892" i="1"/>
  <c r="H4892" i="1"/>
  <c r="G4892" i="1"/>
  <c r="I4891" i="1"/>
  <c r="H4891" i="1"/>
  <c r="G4891" i="1"/>
  <c r="I4890" i="1"/>
  <c r="H4890" i="1"/>
  <c r="G4890" i="1"/>
  <c r="I4889" i="1"/>
  <c r="H4889" i="1"/>
  <c r="G4889" i="1"/>
  <c r="I4888" i="1"/>
  <c r="H4888" i="1"/>
  <c r="G4888" i="1"/>
  <c r="I4887" i="1"/>
  <c r="H4887" i="1"/>
  <c r="G4887" i="1"/>
  <c r="I4886" i="1"/>
  <c r="H4886" i="1"/>
  <c r="G4886" i="1"/>
  <c r="I4885" i="1"/>
  <c r="H4885" i="1"/>
  <c r="G4885" i="1"/>
  <c r="I4884" i="1"/>
  <c r="H4884" i="1"/>
  <c r="G4884" i="1"/>
  <c r="I4883" i="1"/>
  <c r="H4883" i="1"/>
  <c r="G4883" i="1"/>
  <c r="I4882" i="1"/>
  <c r="H4882" i="1"/>
  <c r="G4882" i="1"/>
  <c r="I4881" i="1"/>
  <c r="H4881" i="1"/>
  <c r="G4881" i="1"/>
  <c r="I4880" i="1"/>
  <c r="H4880" i="1"/>
  <c r="G4880" i="1"/>
  <c r="I4879" i="1"/>
  <c r="H4879" i="1"/>
  <c r="G4879" i="1"/>
  <c r="I4878" i="1"/>
  <c r="H4878" i="1"/>
  <c r="G4878" i="1"/>
  <c r="I4877" i="1"/>
  <c r="H4877" i="1"/>
  <c r="G4877" i="1"/>
  <c r="I4876" i="1"/>
  <c r="H4876" i="1"/>
  <c r="G4876" i="1"/>
  <c r="I4875" i="1"/>
  <c r="H4875" i="1"/>
  <c r="G4875" i="1"/>
  <c r="I4874" i="1"/>
  <c r="H4874" i="1"/>
  <c r="G4874" i="1"/>
  <c r="I4873" i="1"/>
  <c r="H4873" i="1"/>
  <c r="G4873" i="1"/>
  <c r="I4872" i="1"/>
  <c r="H4872" i="1"/>
  <c r="G4872" i="1"/>
  <c r="I4871" i="1"/>
  <c r="H4871" i="1"/>
  <c r="G4871" i="1"/>
  <c r="I4870" i="1"/>
  <c r="H4870" i="1"/>
  <c r="G4870" i="1"/>
  <c r="I4869" i="1"/>
  <c r="H4869" i="1"/>
  <c r="G4869" i="1"/>
  <c r="I4868" i="1"/>
  <c r="H4868" i="1"/>
  <c r="G4868" i="1"/>
  <c r="I4867" i="1"/>
  <c r="H4867" i="1"/>
  <c r="G4867" i="1"/>
  <c r="I4866" i="1"/>
  <c r="H4866" i="1"/>
  <c r="G4866" i="1"/>
  <c r="I4865" i="1"/>
  <c r="H4865" i="1"/>
  <c r="G4865" i="1"/>
  <c r="I4864" i="1"/>
  <c r="H4864" i="1"/>
  <c r="G4864" i="1"/>
  <c r="I4863" i="1"/>
  <c r="H4863" i="1"/>
  <c r="G4863" i="1"/>
  <c r="I4862" i="1"/>
  <c r="H4862" i="1"/>
  <c r="G4862" i="1"/>
  <c r="I4861" i="1"/>
  <c r="H4861" i="1"/>
  <c r="G4861" i="1"/>
  <c r="I4860" i="1"/>
  <c r="H4860" i="1"/>
  <c r="G4860" i="1"/>
  <c r="I4859" i="1"/>
  <c r="H4859" i="1"/>
  <c r="G4859" i="1"/>
  <c r="I4858" i="1"/>
  <c r="H4858" i="1"/>
  <c r="G4858" i="1"/>
  <c r="I4857" i="1"/>
  <c r="H4857" i="1"/>
  <c r="G4857" i="1"/>
  <c r="I4856" i="1"/>
  <c r="H4856" i="1"/>
  <c r="G4856" i="1"/>
  <c r="I4855" i="1"/>
  <c r="H4855" i="1"/>
  <c r="G4855" i="1"/>
  <c r="I4854" i="1"/>
  <c r="H4854" i="1"/>
  <c r="G4854" i="1"/>
  <c r="I4853" i="1"/>
  <c r="H4853" i="1"/>
  <c r="G4853" i="1"/>
  <c r="I4852" i="1"/>
  <c r="H4852" i="1"/>
  <c r="G4852" i="1"/>
  <c r="I4851" i="1"/>
  <c r="H4851" i="1"/>
  <c r="G4851" i="1"/>
  <c r="I4850" i="1"/>
  <c r="H4850" i="1"/>
  <c r="G4850" i="1"/>
  <c r="I4849" i="1"/>
  <c r="H4849" i="1"/>
  <c r="G4849" i="1"/>
  <c r="I4848" i="1"/>
  <c r="H4848" i="1"/>
  <c r="G4848" i="1"/>
  <c r="I4847" i="1"/>
  <c r="H4847" i="1"/>
  <c r="G4847" i="1"/>
  <c r="I4846" i="1"/>
  <c r="H4846" i="1"/>
  <c r="G4846" i="1"/>
  <c r="I4845" i="1"/>
  <c r="H4845" i="1"/>
  <c r="G4845" i="1"/>
  <c r="I4844" i="1"/>
  <c r="H4844" i="1"/>
  <c r="G4844" i="1"/>
  <c r="I4843" i="1"/>
  <c r="H4843" i="1"/>
  <c r="G4843" i="1"/>
  <c r="I4842" i="1"/>
  <c r="H4842" i="1"/>
  <c r="G4842" i="1"/>
  <c r="I4841" i="1"/>
  <c r="H4841" i="1"/>
  <c r="G4841" i="1"/>
  <c r="I4840" i="1"/>
  <c r="H4840" i="1"/>
  <c r="G4840" i="1"/>
  <c r="I4839" i="1"/>
  <c r="H4839" i="1"/>
  <c r="G4839" i="1"/>
  <c r="I4838" i="1"/>
  <c r="H4838" i="1"/>
  <c r="G4838" i="1"/>
  <c r="I4837" i="1"/>
  <c r="H4837" i="1"/>
  <c r="G4837" i="1"/>
  <c r="I4836" i="1"/>
  <c r="H4836" i="1"/>
  <c r="G4836" i="1"/>
  <c r="I4835" i="1"/>
  <c r="H4835" i="1"/>
  <c r="G4835" i="1"/>
  <c r="I4834" i="1"/>
  <c r="H4834" i="1"/>
  <c r="G4834" i="1"/>
  <c r="I4833" i="1"/>
  <c r="H4833" i="1"/>
  <c r="G4833" i="1"/>
  <c r="I4832" i="1"/>
  <c r="H4832" i="1"/>
  <c r="G4832" i="1"/>
  <c r="I4831" i="1"/>
  <c r="H4831" i="1"/>
  <c r="G4831" i="1"/>
  <c r="I4830" i="1"/>
  <c r="H4830" i="1"/>
  <c r="G4830" i="1"/>
  <c r="I4829" i="1"/>
  <c r="H4829" i="1"/>
  <c r="G4829" i="1"/>
  <c r="I4828" i="1"/>
  <c r="H4828" i="1"/>
  <c r="G4828" i="1"/>
  <c r="I4827" i="1"/>
  <c r="H4827" i="1"/>
  <c r="G4827" i="1"/>
  <c r="I4826" i="1"/>
  <c r="H4826" i="1"/>
  <c r="G4826" i="1"/>
  <c r="I4825" i="1"/>
  <c r="H4825" i="1"/>
  <c r="G4825" i="1"/>
  <c r="I4824" i="1"/>
  <c r="H4824" i="1"/>
  <c r="G4824" i="1"/>
  <c r="I4823" i="1"/>
  <c r="H4823" i="1"/>
  <c r="G4823" i="1"/>
  <c r="I4822" i="1"/>
  <c r="H4822" i="1"/>
  <c r="G4822" i="1"/>
  <c r="I4821" i="1"/>
  <c r="H4821" i="1"/>
  <c r="G4821" i="1"/>
  <c r="I4820" i="1"/>
  <c r="H4820" i="1"/>
  <c r="G4820" i="1"/>
  <c r="I4819" i="1"/>
  <c r="H4819" i="1"/>
  <c r="G4819" i="1"/>
  <c r="I4818" i="1"/>
  <c r="H4818" i="1"/>
  <c r="G4818" i="1"/>
  <c r="I4817" i="1"/>
  <c r="H4817" i="1"/>
  <c r="G4817" i="1"/>
  <c r="I4816" i="1"/>
  <c r="H4816" i="1"/>
  <c r="G4816" i="1"/>
  <c r="I4815" i="1"/>
  <c r="H4815" i="1"/>
  <c r="G4815" i="1"/>
  <c r="I4814" i="1"/>
  <c r="H4814" i="1"/>
  <c r="G4814" i="1"/>
  <c r="I4813" i="1"/>
  <c r="H4813" i="1"/>
  <c r="G4813" i="1"/>
  <c r="I4812" i="1"/>
  <c r="H4812" i="1"/>
  <c r="G4812" i="1"/>
  <c r="I4811" i="1"/>
  <c r="H4811" i="1"/>
  <c r="G4811" i="1"/>
  <c r="I4810" i="1"/>
  <c r="H4810" i="1"/>
  <c r="G4810" i="1"/>
  <c r="I4809" i="1"/>
  <c r="H4809" i="1"/>
  <c r="G4809" i="1"/>
  <c r="I4808" i="1"/>
  <c r="H4808" i="1"/>
  <c r="G4808" i="1"/>
  <c r="I4807" i="1"/>
  <c r="H4807" i="1"/>
  <c r="G4807" i="1"/>
  <c r="I4806" i="1"/>
  <c r="H4806" i="1"/>
  <c r="G4806" i="1"/>
  <c r="I4805" i="1"/>
  <c r="H4805" i="1"/>
  <c r="G4805" i="1"/>
  <c r="I4804" i="1"/>
  <c r="H4804" i="1"/>
  <c r="G4804" i="1"/>
  <c r="I4803" i="1"/>
  <c r="H4803" i="1"/>
  <c r="G4803" i="1"/>
  <c r="I4802" i="1"/>
  <c r="H4802" i="1"/>
  <c r="G4802" i="1"/>
  <c r="I4801" i="1"/>
  <c r="H4801" i="1"/>
  <c r="G4801" i="1"/>
  <c r="I4800" i="1"/>
  <c r="H4800" i="1"/>
  <c r="G4800" i="1"/>
  <c r="I4799" i="1"/>
  <c r="H4799" i="1"/>
  <c r="G4799" i="1"/>
  <c r="I4798" i="1"/>
  <c r="H4798" i="1"/>
  <c r="G4798" i="1"/>
  <c r="I4797" i="1"/>
  <c r="H4797" i="1"/>
  <c r="G4797" i="1"/>
  <c r="I4796" i="1"/>
  <c r="H4796" i="1"/>
  <c r="G4796" i="1"/>
  <c r="I4795" i="1"/>
  <c r="H4795" i="1"/>
  <c r="G4795" i="1"/>
  <c r="I4794" i="1"/>
  <c r="H4794" i="1"/>
  <c r="G4794" i="1"/>
  <c r="I4793" i="1"/>
  <c r="H4793" i="1"/>
  <c r="G4793" i="1"/>
  <c r="I4792" i="1"/>
  <c r="H4792" i="1"/>
  <c r="G4792" i="1"/>
  <c r="I4791" i="1"/>
  <c r="H4791" i="1"/>
  <c r="G4791" i="1"/>
  <c r="I4790" i="1"/>
  <c r="H4790" i="1"/>
  <c r="G4790" i="1"/>
  <c r="I4789" i="1"/>
  <c r="H4789" i="1"/>
  <c r="G4789" i="1"/>
  <c r="I4788" i="1"/>
  <c r="H4788" i="1"/>
  <c r="G4788" i="1"/>
  <c r="I4787" i="1"/>
  <c r="H4787" i="1"/>
  <c r="G4787" i="1"/>
  <c r="I4786" i="1"/>
  <c r="H4786" i="1"/>
  <c r="G4786" i="1"/>
  <c r="I4785" i="1"/>
  <c r="H4785" i="1"/>
  <c r="G4785" i="1"/>
  <c r="I4784" i="1"/>
  <c r="H4784" i="1"/>
  <c r="G4784" i="1"/>
  <c r="I4783" i="1"/>
  <c r="H4783" i="1"/>
  <c r="G4783" i="1"/>
  <c r="I4782" i="1"/>
  <c r="H4782" i="1"/>
  <c r="G4782" i="1"/>
  <c r="I4781" i="1"/>
  <c r="H4781" i="1"/>
  <c r="G4781" i="1"/>
  <c r="I4780" i="1"/>
  <c r="H4780" i="1"/>
  <c r="G4780" i="1"/>
  <c r="I4779" i="1"/>
  <c r="H4779" i="1"/>
  <c r="G4779" i="1"/>
  <c r="I4778" i="1"/>
  <c r="H4778" i="1"/>
  <c r="G4778" i="1"/>
  <c r="I4777" i="1"/>
  <c r="H4777" i="1"/>
  <c r="G4777" i="1"/>
  <c r="I4776" i="1"/>
  <c r="H4776" i="1"/>
  <c r="G4776" i="1"/>
  <c r="I4775" i="1"/>
  <c r="H4775" i="1"/>
  <c r="G4775" i="1"/>
  <c r="I4774" i="1"/>
  <c r="H4774" i="1"/>
  <c r="G4774" i="1"/>
  <c r="I4773" i="1"/>
  <c r="H4773" i="1"/>
  <c r="G4773" i="1"/>
  <c r="I4772" i="1"/>
  <c r="H4772" i="1"/>
  <c r="G4772" i="1"/>
  <c r="I4771" i="1"/>
  <c r="H4771" i="1"/>
  <c r="G4771" i="1"/>
  <c r="I4770" i="1"/>
  <c r="H4770" i="1"/>
  <c r="G4770" i="1"/>
  <c r="I4769" i="1"/>
  <c r="H4769" i="1"/>
  <c r="G4769" i="1"/>
  <c r="I4768" i="1"/>
  <c r="H4768" i="1"/>
  <c r="G4768" i="1"/>
  <c r="I4767" i="1"/>
  <c r="H4767" i="1"/>
  <c r="G4767" i="1"/>
  <c r="I4766" i="1"/>
  <c r="H4766" i="1"/>
  <c r="G4766" i="1"/>
  <c r="I4765" i="1"/>
  <c r="H4765" i="1"/>
  <c r="G4765" i="1"/>
  <c r="I4764" i="1"/>
  <c r="H4764" i="1"/>
  <c r="G4764" i="1"/>
  <c r="I4763" i="1"/>
  <c r="H4763" i="1"/>
  <c r="G4763" i="1"/>
  <c r="I4762" i="1"/>
  <c r="H4762" i="1"/>
  <c r="G4762" i="1"/>
  <c r="I4761" i="1"/>
  <c r="H4761" i="1"/>
  <c r="G4761" i="1"/>
  <c r="I4760" i="1"/>
  <c r="H4760" i="1"/>
  <c r="G4760" i="1"/>
  <c r="I4759" i="1"/>
  <c r="H4759" i="1"/>
  <c r="G4759" i="1"/>
  <c r="I4758" i="1"/>
  <c r="H4758" i="1"/>
  <c r="G4758" i="1"/>
  <c r="I4757" i="1"/>
  <c r="H4757" i="1"/>
  <c r="G4757" i="1"/>
  <c r="I4756" i="1"/>
  <c r="H4756" i="1"/>
  <c r="G4756" i="1"/>
  <c r="I4755" i="1"/>
  <c r="H4755" i="1"/>
  <c r="G4755" i="1"/>
  <c r="I4754" i="1"/>
  <c r="H4754" i="1"/>
  <c r="G4754" i="1"/>
  <c r="I4753" i="1"/>
  <c r="H4753" i="1"/>
  <c r="G4753" i="1"/>
  <c r="I4752" i="1"/>
  <c r="H4752" i="1"/>
  <c r="G4752" i="1"/>
  <c r="I4751" i="1"/>
  <c r="H4751" i="1"/>
  <c r="G4751" i="1"/>
  <c r="I4750" i="1"/>
  <c r="H4750" i="1"/>
  <c r="G4750" i="1"/>
  <c r="I4749" i="1"/>
  <c r="H4749" i="1"/>
  <c r="G4749" i="1"/>
  <c r="I4748" i="1"/>
  <c r="H4748" i="1"/>
  <c r="G4748" i="1"/>
  <c r="I4747" i="1"/>
  <c r="H4747" i="1"/>
  <c r="G4747" i="1"/>
  <c r="I4746" i="1"/>
  <c r="H4746" i="1"/>
  <c r="G4746" i="1"/>
  <c r="I4745" i="1"/>
  <c r="H4745" i="1"/>
  <c r="G4745" i="1"/>
  <c r="I4744" i="1"/>
  <c r="H4744" i="1"/>
  <c r="G4744" i="1"/>
  <c r="I4743" i="1"/>
  <c r="H4743" i="1"/>
  <c r="G4743" i="1"/>
  <c r="I4742" i="1"/>
  <c r="H4742" i="1"/>
  <c r="G4742" i="1"/>
  <c r="I4741" i="1"/>
  <c r="H4741" i="1"/>
  <c r="G4741" i="1"/>
  <c r="I4740" i="1"/>
  <c r="H4740" i="1"/>
  <c r="G4740" i="1"/>
  <c r="I4739" i="1"/>
  <c r="H4739" i="1"/>
  <c r="G4739" i="1"/>
  <c r="I4738" i="1"/>
  <c r="H4738" i="1"/>
  <c r="G4738" i="1"/>
  <c r="I4737" i="1"/>
  <c r="H4737" i="1"/>
  <c r="G4737" i="1"/>
  <c r="I4736" i="1"/>
  <c r="H4736" i="1"/>
  <c r="G4736" i="1"/>
  <c r="I4735" i="1"/>
  <c r="H4735" i="1"/>
  <c r="G4735" i="1"/>
  <c r="I4734" i="1"/>
  <c r="H4734" i="1"/>
  <c r="G4734" i="1"/>
  <c r="I4733" i="1"/>
  <c r="H4733" i="1"/>
  <c r="G4733" i="1"/>
  <c r="I4732" i="1"/>
  <c r="H4732" i="1"/>
  <c r="G4732" i="1"/>
  <c r="I4731" i="1"/>
  <c r="H4731" i="1"/>
  <c r="G4731" i="1"/>
  <c r="I4730" i="1"/>
  <c r="H4730" i="1"/>
  <c r="G4730" i="1"/>
  <c r="I4729" i="1"/>
  <c r="H4729" i="1"/>
  <c r="G4729" i="1"/>
  <c r="I4728" i="1"/>
  <c r="H4728" i="1"/>
  <c r="G4728" i="1"/>
  <c r="I4727" i="1"/>
  <c r="H4727" i="1"/>
  <c r="G4727" i="1"/>
  <c r="I4726" i="1"/>
  <c r="H4726" i="1"/>
  <c r="G4726" i="1"/>
  <c r="I4725" i="1"/>
  <c r="H4725" i="1"/>
  <c r="G4725" i="1"/>
  <c r="I4724" i="1"/>
  <c r="H4724" i="1"/>
  <c r="G4724" i="1"/>
  <c r="I4723" i="1"/>
  <c r="H4723" i="1"/>
  <c r="G4723" i="1"/>
  <c r="I4722" i="1"/>
  <c r="H4722" i="1"/>
  <c r="G4722" i="1"/>
  <c r="I4721" i="1"/>
  <c r="H4721" i="1"/>
  <c r="G4721" i="1"/>
  <c r="I4720" i="1"/>
  <c r="H4720" i="1"/>
  <c r="G4720" i="1"/>
  <c r="I4719" i="1"/>
  <c r="H4719" i="1"/>
  <c r="G4719" i="1"/>
  <c r="I4718" i="1"/>
  <c r="H4718" i="1"/>
  <c r="G4718" i="1"/>
  <c r="I4717" i="1"/>
  <c r="H4717" i="1"/>
  <c r="G4717" i="1"/>
  <c r="I4716" i="1"/>
  <c r="H4716" i="1"/>
  <c r="G4716" i="1"/>
  <c r="I4715" i="1"/>
  <c r="H4715" i="1"/>
  <c r="G4715" i="1"/>
  <c r="I4714" i="1"/>
  <c r="H4714" i="1"/>
  <c r="G4714" i="1"/>
  <c r="I4713" i="1"/>
  <c r="H4713" i="1"/>
  <c r="G4713" i="1"/>
  <c r="I4712" i="1"/>
  <c r="H4712" i="1"/>
  <c r="G4712" i="1"/>
  <c r="I4711" i="1"/>
  <c r="H4711" i="1"/>
  <c r="G4711" i="1"/>
  <c r="I4710" i="1"/>
  <c r="H4710" i="1"/>
  <c r="G4710" i="1"/>
  <c r="I4709" i="1"/>
  <c r="H4709" i="1"/>
  <c r="G4709" i="1"/>
  <c r="I4708" i="1"/>
  <c r="H4708" i="1"/>
  <c r="G4708" i="1"/>
  <c r="I4707" i="1"/>
  <c r="H4707" i="1"/>
  <c r="G4707" i="1"/>
  <c r="I4706" i="1"/>
  <c r="H4706" i="1"/>
  <c r="G4706" i="1"/>
  <c r="I4705" i="1"/>
  <c r="H4705" i="1"/>
  <c r="G4705" i="1"/>
  <c r="I4704" i="1"/>
  <c r="H4704" i="1"/>
  <c r="G4704" i="1"/>
  <c r="I4703" i="1"/>
  <c r="H4703" i="1"/>
  <c r="G4703" i="1"/>
  <c r="I4702" i="1"/>
  <c r="H4702" i="1"/>
  <c r="G4702" i="1"/>
  <c r="I4701" i="1"/>
  <c r="H4701" i="1"/>
  <c r="G4701" i="1"/>
  <c r="I4700" i="1"/>
  <c r="H4700" i="1"/>
  <c r="G4700" i="1"/>
  <c r="I4699" i="1"/>
  <c r="H4699" i="1"/>
  <c r="G4699" i="1"/>
  <c r="I4698" i="1"/>
  <c r="H4698" i="1"/>
  <c r="G4698" i="1"/>
  <c r="I4697" i="1"/>
  <c r="H4697" i="1"/>
  <c r="G4697" i="1"/>
  <c r="I4696" i="1"/>
  <c r="H4696" i="1"/>
  <c r="G4696" i="1"/>
  <c r="I4695" i="1"/>
  <c r="H4695" i="1"/>
  <c r="G4695" i="1"/>
  <c r="I4694" i="1"/>
  <c r="H4694" i="1"/>
  <c r="G4694" i="1"/>
  <c r="I4693" i="1"/>
  <c r="H4693" i="1"/>
  <c r="G4693" i="1"/>
  <c r="I4692" i="1"/>
  <c r="H4692" i="1"/>
  <c r="G4692" i="1"/>
  <c r="I4691" i="1"/>
  <c r="H4691" i="1"/>
  <c r="G4691" i="1"/>
  <c r="I4690" i="1"/>
  <c r="H4690" i="1"/>
  <c r="G4690" i="1"/>
  <c r="I4689" i="1"/>
  <c r="H4689" i="1"/>
  <c r="G4689" i="1"/>
  <c r="I4688" i="1"/>
  <c r="H4688" i="1"/>
  <c r="G4688" i="1"/>
  <c r="I4687" i="1"/>
  <c r="H4687" i="1"/>
  <c r="G4687" i="1"/>
  <c r="I4686" i="1"/>
  <c r="H4686" i="1"/>
  <c r="G4686" i="1"/>
  <c r="I4685" i="1"/>
  <c r="H4685" i="1"/>
  <c r="G4685" i="1"/>
  <c r="I4684" i="1"/>
  <c r="H4684" i="1"/>
  <c r="G4684" i="1"/>
  <c r="I4683" i="1"/>
  <c r="H4683" i="1"/>
  <c r="G4683" i="1"/>
  <c r="I4682" i="1"/>
  <c r="H4682" i="1"/>
  <c r="G4682" i="1"/>
  <c r="I4681" i="1"/>
  <c r="H4681" i="1"/>
  <c r="G4681" i="1"/>
  <c r="I4680" i="1"/>
  <c r="H4680" i="1"/>
  <c r="I4679" i="1"/>
  <c r="H4679" i="1"/>
  <c r="G4679" i="1"/>
  <c r="I4678" i="1"/>
  <c r="H4678" i="1"/>
  <c r="G4678" i="1"/>
  <c r="I4677" i="1"/>
  <c r="H4677" i="1"/>
  <c r="G4677" i="1"/>
  <c r="I4676" i="1"/>
  <c r="H4676" i="1"/>
  <c r="G4676" i="1"/>
  <c r="I4675" i="1"/>
  <c r="H4675" i="1"/>
  <c r="G4675" i="1"/>
  <c r="I4674" i="1"/>
  <c r="H4674" i="1"/>
  <c r="G4674" i="1"/>
  <c r="I4673" i="1"/>
  <c r="H4673" i="1"/>
  <c r="G4673" i="1"/>
  <c r="I4672" i="1"/>
  <c r="H4672" i="1"/>
  <c r="G4672" i="1"/>
  <c r="I4671" i="1"/>
  <c r="H4671" i="1"/>
  <c r="G4671" i="1"/>
  <c r="I4670" i="1"/>
  <c r="H4670" i="1"/>
  <c r="G4670" i="1"/>
  <c r="I4669" i="1"/>
  <c r="H4669" i="1"/>
  <c r="G4669" i="1"/>
  <c r="I4668" i="1"/>
  <c r="H4668" i="1"/>
  <c r="G4668" i="1"/>
  <c r="I4667" i="1"/>
  <c r="H4667" i="1"/>
  <c r="G4667" i="1"/>
  <c r="I4666" i="1"/>
  <c r="H4666" i="1"/>
  <c r="G4666" i="1"/>
  <c r="I4665" i="1"/>
  <c r="H4665" i="1"/>
  <c r="G4665" i="1"/>
  <c r="I4664" i="1"/>
  <c r="H4664" i="1"/>
  <c r="G4664" i="1"/>
  <c r="I4663" i="1"/>
  <c r="H4663" i="1"/>
  <c r="G4663" i="1"/>
  <c r="I4662" i="1"/>
  <c r="H4662" i="1"/>
  <c r="G4662" i="1"/>
  <c r="I4661" i="1"/>
  <c r="H4661" i="1"/>
  <c r="G4661" i="1"/>
  <c r="I4660" i="1"/>
  <c r="H4660" i="1"/>
  <c r="G4660" i="1"/>
  <c r="I4659" i="1"/>
  <c r="H4659" i="1"/>
  <c r="G4659" i="1"/>
  <c r="I4658" i="1"/>
  <c r="H4658" i="1"/>
  <c r="G4658" i="1"/>
  <c r="I4657" i="1"/>
  <c r="H4657" i="1"/>
  <c r="G4657" i="1"/>
  <c r="I4656" i="1"/>
  <c r="H4656" i="1"/>
  <c r="G4656" i="1"/>
  <c r="I4655" i="1"/>
  <c r="H4655" i="1"/>
  <c r="G4655" i="1"/>
  <c r="I4654" i="1"/>
  <c r="H4654" i="1"/>
  <c r="G4654" i="1"/>
  <c r="I4653" i="1"/>
  <c r="H4653" i="1"/>
  <c r="G4653" i="1"/>
  <c r="I4652" i="1"/>
  <c r="H4652" i="1"/>
  <c r="G4652" i="1"/>
  <c r="I4651" i="1"/>
  <c r="H4651" i="1"/>
  <c r="G4651" i="1"/>
  <c r="I4650" i="1"/>
  <c r="H4650" i="1"/>
  <c r="G4650" i="1"/>
  <c r="I4649" i="1"/>
  <c r="H4649" i="1"/>
  <c r="G4649" i="1"/>
  <c r="I4648" i="1"/>
  <c r="H4648" i="1"/>
  <c r="G4648" i="1"/>
  <c r="I4647" i="1"/>
  <c r="H4647" i="1"/>
  <c r="G4647" i="1"/>
  <c r="I4646" i="1"/>
  <c r="H4646" i="1"/>
  <c r="G4646" i="1"/>
  <c r="I4645" i="1"/>
  <c r="H4645" i="1"/>
  <c r="G4645" i="1"/>
  <c r="I4644" i="1"/>
  <c r="H4644" i="1"/>
  <c r="G4644" i="1"/>
  <c r="I4643" i="1"/>
  <c r="H4643" i="1"/>
  <c r="G4643" i="1"/>
  <c r="I4642" i="1"/>
  <c r="H4642" i="1"/>
  <c r="G4642" i="1"/>
  <c r="I4641" i="1"/>
  <c r="H4641" i="1"/>
  <c r="G4641" i="1"/>
  <c r="I4640" i="1"/>
  <c r="H4640" i="1"/>
  <c r="G4640" i="1"/>
  <c r="I4639" i="1"/>
  <c r="H4639" i="1"/>
  <c r="G4639" i="1"/>
  <c r="I4638" i="1"/>
  <c r="H4638" i="1"/>
  <c r="G4638" i="1"/>
  <c r="I4637" i="1"/>
  <c r="H4637" i="1"/>
  <c r="G4637" i="1"/>
  <c r="I4636" i="1"/>
  <c r="H4636" i="1"/>
  <c r="G4636" i="1"/>
  <c r="I4635" i="1"/>
  <c r="H4635" i="1"/>
  <c r="G4635" i="1"/>
  <c r="I4634" i="1"/>
  <c r="H4634" i="1"/>
  <c r="G4634" i="1"/>
  <c r="I4633" i="1"/>
  <c r="H4633" i="1"/>
  <c r="G4633" i="1"/>
  <c r="I4632" i="1"/>
  <c r="H4632" i="1"/>
  <c r="G4632" i="1"/>
  <c r="I4631" i="1"/>
  <c r="H4631" i="1"/>
  <c r="G4631" i="1"/>
  <c r="I4630" i="1"/>
  <c r="H4630" i="1"/>
  <c r="G4630" i="1"/>
  <c r="I4629" i="1"/>
  <c r="H4629" i="1"/>
  <c r="G4629" i="1"/>
  <c r="I4628" i="1"/>
  <c r="H4628" i="1"/>
  <c r="G4628" i="1"/>
  <c r="I4627" i="1"/>
  <c r="H4627" i="1"/>
  <c r="G4627" i="1"/>
  <c r="I4626" i="1"/>
  <c r="H4626" i="1"/>
  <c r="G4626" i="1"/>
  <c r="I4625" i="1"/>
  <c r="H4625" i="1"/>
  <c r="G4625" i="1"/>
  <c r="I4624" i="1"/>
  <c r="H4624" i="1"/>
  <c r="G4624" i="1"/>
  <c r="I4623" i="1"/>
  <c r="H4623" i="1"/>
  <c r="G4623" i="1"/>
  <c r="I4622" i="1"/>
  <c r="H4622" i="1"/>
  <c r="G4622" i="1"/>
  <c r="I4621" i="1"/>
  <c r="H4621" i="1"/>
  <c r="G4621" i="1"/>
  <c r="I4620" i="1"/>
  <c r="H4620" i="1"/>
  <c r="G4620" i="1"/>
  <c r="I4619" i="1"/>
  <c r="H4619" i="1"/>
  <c r="G4619" i="1"/>
  <c r="I4618" i="1"/>
  <c r="H4618" i="1"/>
  <c r="G4618" i="1"/>
  <c r="I4617" i="1"/>
  <c r="H4617" i="1"/>
  <c r="G4617" i="1"/>
  <c r="I4616" i="1"/>
  <c r="H4616" i="1"/>
  <c r="G4616" i="1"/>
  <c r="I4615" i="1"/>
  <c r="H4615" i="1"/>
  <c r="G4615" i="1"/>
  <c r="I4614" i="1"/>
  <c r="H4614" i="1"/>
  <c r="G4614" i="1"/>
  <c r="I4613" i="1"/>
  <c r="H4613" i="1"/>
  <c r="G4613" i="1"/>
  <c r="I4612" i="1"/>
  <c r="H4612" i="1"/>
  <c r="G4612" i="1"/>
  <c r="I4611" i="1"/>
  <c r="H4611" i="1"/>
  <c r="G4611" i="1"/>
  <c r="I4610" i="1"/>
  <c r="H4610" i="1"/>
  <c r="G4610" i="1"/>
  <c r="I4609" i="1"/>
  <c r="H4609" i="1"/>
  <c r="G4609" i="1"/>
  <c r="I4608" i="1"/>
  <c r="H4608" i="1"/>
  <c r="G4608" i="1"/>
  <c r="I4607" i="1"/>
  <c r="H4607" i="1"/>
  <c r="G4607" i="1"/>
  <c r="I4606" i="1"/>
  <c r="H4606" i="1"/>
  <c r="G4606" i="1"/>
  <c r="I4605" i="1"/>
  <c r="H4605" i="1"/>
  <c r="G4605" i="1"/>
  <c r="I4604" i="1"/>
  <c r="H4604" i="1"/>
  <c r="G4604" i="1"/>
  <c r="I4603" i="1"/>
  <c r="H4603" i="1"/>
  <c r="G4603" i="1"/>
  <c r="I4602" i="1"/>
  <c r="H4602" i="1"/>
  <c r="G4602" i="1"/>
  <c r="I4601" i="1"/>
  <c r="H4601" i="1"/>
  <c r="G4601" i="1"/>
  <c r="I4600" i="1"/>
  <c r="H4600" i="1"/>
  <c r="G4600" i="1"/>
  <c r="I4599" i="1"/>
  <c r="H4599" i="1"/>
  <c r="G4599" i="1"/>
  <c r="I4598" i="1"/>
  <c r="H4598" i="1"/>
  <c r="G4598" i="1"/>
  <c r="I4597" i="1"/>
  <c r="H4597" i="1"/>
  <c r="G4597" i="1"/>
  <c r="I4596" i="1"/>
  <c r="H4596" i="1"/>
  <c r="G4596" i="1"/>
  <c r="I4595" i="1"/>
  <c r="H4595" i="1"/>
  <c r="G4595" i="1"/>
  <c r="I4594" i="1"/>
  <c r="H4594" i="1"/>
  <c r="G4594" i="1"/>
  <c r="I4593" i="1"/>
  <c r="H4593" i="1"/>
  <c r="G4593" i="1"/>
  <c r="I4592" i="1"/>
  <c r="H4592" i="1"/>
  <c r="G4592" i="1"/>
  <c r="I4591" i="1"/>
  <c r="H4591" i="1"/>
  <c r="G4591" i="1"/>
  <c r="I4590" i="1"/>
  <c r="H4590" i="1"/>
  <c r="G4590" i="1"/>
  <c r="I4589" i="1"/>
  <c r="H4589" i="1"/>
  <c r="G4589" i="1"/>
  <c r="I4588" i="1"/>
  <c r="H4588" i="1"/>
  <c r="G4588" i="1"/>
  <c r="I4587" i="1"/>
  <c r="H4587" i="1"/>
  <c r="G4587" i="1"/>
  <c r="I4586" i="1"/>
  <c r="H4586" i="1"/>
  <c r="G4586" i="1"/>
  <c r="I4585" i="1"/>
  <c r="H4585" i="1"/>
  <c r="G4585" i="1"/>
  <c r="I4584" i="1"/>
  <c r="H4584" i="1"/>
  <c r="G4584" i="1"/>
  <c r="I4583" i="1"/>
  <c r="H4583" i="1"/>
  <c r="G4583" i="1"/>
  <c r="I4582" i="1"/>
  <c r="H4582" i="1"/>
  <c r="G4582" i="1"/>
  <c r="I4581" i="1"/>
  <c r="H4581" i="1"/>
  <c r="G4581" i="1"/>
  <c r="I4580" i="1"/>
  <c r="H4580" i="1"/>
  <c r="G4580" i="1"/>
  <c r="I4579" i="1"/>
  <c r="H4579" i="1"/>
  <c r="G4579" i="1"/>
  <c r="I4578" i="1"/>
  <c r="H4578" i="1"/>
  <c r="G4578" i="1"/>
  <c r="I4577" i="1"/>
  <c r="H4577" i="1"/>
  <c r="G4577" i="1"/>
  <c r="I4576" i="1"/>
  <c r="H4576" i="1"/>
  <c r="G4576" i="1"/>
  <c r="I4575" i="1"/>
  <c r="H4575" i="1"/>
  <c r="G4575" i="1"/>
  <c r="I4574" i="1"/>
  <c r="H4574" i="1"/>
  <c r="G4574" i="1"/>
  <c r="I4573" i="1"/>
  <c r="H4573" i="1"/>
  <c r="G4573" i="1"/>
  <c r="I4572" i="1"/>
  <c r="H4572" i="1"/>
  <c r="G4572" i="1"/>
  <c r="I4571" i="1"/>
  <c r="H4571" i="1"/>
  <c r="G4571" i="1"/>
  <c r="I4570" i="1"/>
  <c r="H4570" i="1"/>
  <c r="G4570" i="1"/>
  <c r="I4569" i="1"/>
  <c r="H4569" i="1"/>
  <c r="G4569" i="1"/>
  <c r="I4568" i="1"/>
  <c r="H4568" i="1"/>
  <c r="G4568" i="1"/>
  <c r="I4567" i="1"/>
  <c r="H4567" i="1"/>
  <c r="G4567" i="1"/>
  <c r="I4566" i="1"/>
  <c r="H4566" i="1"/>
  <c r="G4566" i="1"/>
  <c r="I4565" i="1"/>
  <c r="H4565" i="1"/>
  <c r="G4565" i="1"/>
  <c r="I4564" i="1"/>
  <c r="H4564" i="1"/>
  <c r="G4564" i="1"/>
  <c r="I4563" i="1"/>
  <c r="H4563" i="1"/>
  <c r="G4563" i="1"/>
  <c r="I4562" i="1"/>
  <c r="H4562" i="1"/>
  <c r="G4562" i="1"/>
  <c r="I4561" i="1"/>
  <c r="H4561" i="1"/>
  <c r="G4561" i="1"/>
  <c r="I4560" i="1"/>
  <c r="H4560" i="1"/>
  <c r="G4560" i="1"/>
  <c r="I4559" i="1"/>
  <c r="H4559" i="1"/>
  <c r="G4559" i="1"/>
  <c r="I4558" i="1"/>
  <c r="H4558" i="1"/>
  <c r="G4558" i="1"/>
  <c r="I4557" i="1"/>
  <c r="H4557" i="1"/>
  <c r="G4557" i="1"/>
  <c r="I4556" i="1"/>
  <c r="H4556" i="1"/>
  <c r="G4556" i="1"/>
  <c r="I4555" i="1"/>
  <c r="H4555" i="1"/>
  <c r="G4555" i="1"/>
  <c r="I4554" i="1"/>
  <c r="H4554" i="1"/>
  <c r="G4554" i="1"/>
  <c r="I4553" i="1"/>
  <c r="H4553" i="1"/>
  <c r="G4553" i="1"/>
  <c r="I4552" i="1"/>
  <c r="H4552" i="1"/>
  <c r="G4552" i="1"/>
  <c r="I4551" i="1"/>
  <c r="H4551" i="1"/>
  <c r="G4551" i="1"/>
  <c r="I4550" i="1"/>
  <c r="H4550" i="1"/>
  <c r="G4550" i="1"/>
  <c r="I4549" i="1"/>
  <c r="H4549" i="1"/>
  <c r="G4549" i="1"/>
  <c r="I4548" i="1"/>
  <c r="H4548" i="1"/>
  <c r="G4548" i="1"/>
  <c r="I4547" i="1"/>
  <c r="H4547" i="1"/>
  <c r="G4547" i="1"/>
  <c r="I4546" i="1"/>
  <c r="H4546" i="1"/>
  <c r="G4546" i="1"/>
  <c r="I4545" i="1"/>
  <c r="H4545" i="1"/>
  <c r="G4545" i="1"/>
  <c r="I4544" i="1"/>
  <c r="H4544" i="1"/>
  <c r="G4544" i="1"/>
  <c r="I4543" i="1"/>
  <c r="H4543" i="1"/>
  <c r="G4543" i="1"/>
  <c r="I4542" i="1"/>
  <c r="H4542" i="1"/>
  <c r="G4542" i="1"/>
  <c r="I4541" i="1"/>
  <c r="H4541" i="1"/>
  <c r="G4541" i="1"/>
  <c r="I4540" i="1"/>
  <c r="H4540" i="1"/>
  <c r="G4540" i="1"/>
  <c r="I4539" i="1"/>
  <c r="H4539" i="1"/>
  <c r="G4539" i="1"/>
  <c r="I4538" i="1"/>
  <c r="H4538" i="1"/>
  <c r="G4538" i="1"/>
  <c r="I4537" i="1"/>
  <c r="H4537" i="1"/>
  <c r="G4537" i="1"/>
  <c r="I4536" i="1"/>
  <c r="H4536" i="1"/>
  <c r="G4536" i="1"/>
  <c r="I4535" i="1"/>
  <c r="H4535" i="1"/>
  <c r="G4535" i="1"/>
  <c r="I4534" i="1"/>
  <c r="H4534" i="1"/>
  <c r="G4534" i="1"/>
  <c r="I4533" i="1"/>
  <c r="H4533" i="1"/>
  <c r="G4533" i="1"/>
  <c r="I4532" i="1"/>
  <c r="H4532" i="1"/>
  <c r="G4532" i="1"/>
  <c r="I4531" i="1"/>
  <c r="H4531" i="1"/>
  <c r="G4531" i="1"/>
  <c r="I4530" i="1"/>
  <c r="H4530" i="1"/>
  <c r="G4530" i="1"/>
  <c r="I4529" i="1"/>
  <c r="H4529" i="1"/>
  <c r="G4529" i="1"/>
  <c r="I4528" i="1"/>
  <c r="H4528" i="1"/>
  <c r="G4528" i="1"/>
  <c r="I4527" i="1"/>
  <c r="H4527" i="1"/>
  <c r="G4527" i="1"/>
  <c r="I4526" i="1"/>
  <c r="H4526" i="1"/>
  <c r="G4526" i="1"/>
  <c r="I4525" i="1"/>
  <c r="H4525" i="1"/>
  <c r="G4525" i="1"/>
  <c r="I4524" i="1"/>
  <c r="H4524" i="1"/>
  <c r="G4524" i="1"/>
  <c r="I4523" i="1"/>
  <c r="H4523" i="1"/>
  <c r="G4523" i="1"/>
  <c r="I4522" i="1"/>
  <c r="H4522" i="1"/>
  <c r="G4522" i="1"/>
  <c r="I4521" i="1"/>
  <c r="H4521" i="1"/>
  <c r="G4521" i="1"/>
  <c r="I4520" i="1"/>
  <c r="H4520" i="1"/>
  <c r="G4520" i="1"/>
  <c r="I4519" i="1"/>
  <c r="H4519" i="1"/>
  <c r="G4519" i="1"/>
  <c r="I4518" i="1"/>
  <c r="H4518" i="1"/>
  <c r="G4518" i="1"/>
  <c r="I4517" i="1"/>
  <c r="H4517" i="1"/>
  <c r="G4517" i="1"/>
  <c r="I4516" i="1"/>
  <c r="H4516" i="1"/>
  <c r="G4516" i="1"/>
  <c r="I4515" i="1"/>
  <c r="H4515" i="1"/>
  <c r="G4515" i="1"/>
  <c r="I4514" i="1"/>
  <c r="H4514" i="1"/>
  <c r="G4514" i="1"/>
  <c r="I4513" i="1"/>
  <c r="H4513" i="1"/>
  <c r="G4513" i="1"/>
  <c r="I4512" i="1"/>
  <c r="H4512" i="1"/>
  <c r="G4512" i="1"/>
  <c r="I4511" i="1"/>
  <c r="H4511" i="1"/>
  <c r="G4511" i="1"/>
  <c r="I4510" i="1"/>
  <c r="H4510" i="1"/>
  <c r="G4510" i="1"/>
  <c r="I4509" i="1"/>
  <c r="H4509" i="1"/>
  <c r="G4509" i="1"/>
  <c r="I4508" i="1"/>
  <c r="H4508" i="1"/>
  <c r="G4508" i="1"/>
  <c r="I4507" i="1"/>
  <c r="H4507" i="1"/>
  <c r="G4507" i="1"/>
  <c r="I4506" i="1"/>
  <c r="H4506" i="1"/>
  <c r="G4506" i="1"/>
  <c r="I4505" i="1"/>
  <c r="H4505" i="1"/>
  <c r="G4505" i="1"/>
  <c r="I4504" i="1"/>
  <c r="H4504" i="1"/>
  <c r="G4504" i="1"/>
  <c r="I4503" i="1"/>
  <c r="H4503" i="1"/>
  <c r="G4503" i="1"/>
  <c r="I4502" i="1"/>
  <c r="H4502" i="1"/>
  <c r="G4502" i="1"/>
  <c r="I4501" i="1"/>
  <c r="H4501" i="1"/>
  <c r="G4501" i="1"/>
  <c r="I4500" i="1"/>
  <c r="H4500" i="1"/>
  <c r="G4500" i="1"/>
  <c r="I4499" i="1"/>
  <c r="H4499" i="1"/>
  <c r="G4499" i="1"/>
  <c r="I4498" i="1"/>
  <c r="H4498" i="1"/>
  <c r="G4498" i="1"/>
  <c r="I4497" i="1"/>
  <c r="H4497" i="1"/>
  <c r="G4497" i="1"/>
  <c r="I4496" i="1"/>
  <c r="H4496" i="1"/>
  <c r="G4496" i="1"/>
  <c r="I4495" i="1"/>
  <c r="H4495" i="1"/>
  <c r="G4495" i="1"/>
  <c r="I4494" i="1"/>
  <c r="H4494" i="1"/>
  <c r="G4494" i="1"/>
  <c r="I4493" i="1"/>
  <c r="H4493" i="1"/>
  <c r="G4493" i="1"/>
  <c r="I4492" i="1"/>
  <c r="H4492" i="1"/>
  <c r="G4492" i="1"/>
  <c r="I4491" i="1"/>
  <c r="H4491" i="1"/>
  <c r="G4491" i="1"/>
  <c r="I4490" i="1"/>
  <c r="H4490" i="1"/>
  <c r="G4490" i="1"/>
  <c r="I4489" i="1"/>
  <c r="H4489" i="1"/>
  <c r="G4489" i="1"/>
  <c r="I4488" i="1"/>
  <c r="H4488" i="1"/>
  <c r="G4488" i="1"/>
  <c r="I4487" i="1"/>
  <c r="H4487" i="1"/>
  <c r="G4487" i="1"/>
  <c r="I4486" i="1"/>
  <c r="H4486" i="1"/>
  <c r="G4486" i="1"/>
  <c r="I4485" i="1"/>
  <c r="H4485" i="1"/>
  <c r="G4485" i="1"/>
  <c r="I4484" i="1"/>
  <c r="H4484" i="1"/>
  <c r="G4484" i="1"/>
  <c r="I4483" i="1"/>
  <c r="H4483" i="1"/>
  <c r="G4483" i="1"/>
  <c r="I4482" i="1"/>
  <c r="H4482" i="1"/>
  <c r="G4482" i="1"/>
  <c r="I4481" i="1"/>
  <c r="H4481" i="1"/>
  <c r="G4481" i="1"/>
  <c r="I4480" i="1"/>
  <c r="H4480" i="1"/>
  <c r="G4480" i="1"/>
  <c r="I4479" i="1"/>
  <c r="H4479" i="1"/>
  <c r="G4479" i="1"/>
  <c r="I4478" i="1"/>
  <c r="H4478" i="1"/>
  <c r="G4478" i="1"/>
  <c r="I4477" i="1"/>
  <c r="H4477" i="1"/>
  <c r="G4477" i="1"/>
  <c r="I4476" i="1"/>
  <c r="H4476" i="1"/>
  <c r="G4476" i="1"/>
  <c r="I4475" i="1"/>
  <c r="H4475" i="1"/>
  <c r="G4475" i="1"/>
  <c r="I4474" i="1"/>
  <c r="H4474" i="1"/>
  <c r="G4474" i="1"/>
  <c r="I4473" i="1"/>
  <c r="H4473" i="1"/>
  <c r="G4473" i="1"/>
  <c r="I4472" i="1"/>
  <c r="H4472" i="1"/>
  <c r="G4472" i="1"/>
  <c r="I4471" i="1"/>
  <c r="H4471" i="1"/>
  <c r="G4471" i="1"/>
  <c r="I4470" i="1"/>
  <c r="H4470" i="1"/>
  <c r="G4470" i="1"/>
  <c r="I4469" i="1"/>
  <c r="H4469" i="1"/>
  <c r="G4469" i="1"/>
  <c r="I4468" i="1"/>
  <c r="H4468" i="1"/>
  <c r="G4468" i="1"/>
  <c r="I4467" i="1"/>
  <c r="H4467" i="1"/>
  <c r="G4467" i="1"/>
  <c r="I4466" i="1"/>
  <c r="H4466" i="1"/>
  <c r="G4466" i="1"/>
  <c r="I4465" i="1"/>
  <c r="H4465" i="1"/>
  <c r="G4465" i="1"/>
  <c r="I4464" i="1"/>
  <c r="H4464" i="1"/>
  <c r="G4464" i="1"/>
  <c r="I4463" i="1"/>
  <c r="H4463" i="1"/>
  <c r="G4463" i="1"/>
  <c r="I4462" i="1"/>
  <c r="H4462" i="1"/>
  <c r="G4462" i="1"/>
  <c r="I4461" i="1"/>
  <c r="H4461" i="1"/>
  <c r="G4461" i="1"/>
  <c r="I4460" i="1"/>
  <c r="H4460" i="1"/>
  <c r="G4460" i="1"/>
  <c r="I4459" i="1"/>
  <c r="H4459" i="1"/>
  <c r="G4459" i="1"/>
  <c r="I4458" i="1"/>
  <c r="H4458" i="1"/>
  <c r="G4458" i="1"/>
  <c r="I4457" i="1"/>
  <c r="H4457" i="1"/>
  <c r="G4457" i="1"/>
  <c r="I4456" i="1"/>
  <c r="H4456" i="1"/>
  <c r="G4456" i="1"/>
  <c r="I4455" i="1"/>
  <c r="H4455" i="1"/>
  <c r="G4455" i="1"/>
  <c r="I4454" i="1"/>
  <c r="H4454" i="1"/>
  <c r="G4454" i="1"/>
  <c r="I4453" i="1"/>
  <c r="H4453" i="1"/>
  <c r="G4453" i="1"/>
  <c r="I4452" i="1"/>
  <c r="H4452" i="1"/>
  <c r="G4452" i="1"/>
  <c r="I4451" i="1"/>
  <c r="H4451" i="1"/>
  <c r="G4451" i="1"/>
  <c r="I4450" i="1"/>
  <c r="H4450" i="1"/>
  <c r="G4450" i="1"/>
  <c r="I4449" i="1"/>
  <c r="H4449" i="1"/>
  <c r="G4449" i="1"/>
  <c r="I4448" i="1"/>
  <c r="H4448" i="1"/>
  <c r="G4448" i="1"/>
  <c r="I4447" i="1"/>
  <c r="H4447" i="1"/>
  <c r="G4447" i="1"/>
  <c r="I4446" i="1"/>
  <c r="H4446" i="1"/>
  <c r="G4446" i="1"/>
  <c r="I4445" i="1"/>
  <c r="H4445" i="1"/>
  <c r="G4445" i="1"/>
  <c r="I4444" i="1"/>
  <c r="H4444" i="1"/>
  <c r="G4444" i="1"/>
  <c r="I4443" i="1"/>
  <c r="H4443" i="1"/>
  <c r="G4443" i="1"/>
  <c r="I4442" i="1"/>
  <c r="H4442" i="1"/>
  <c r="G4442" i="1"/>
  <c r="I4441" i="1"/>
  <c r="H4441" i="1"/>
  <c r="G4441" i="1"/>
  <c r="I4440" i="1"/>
  <c r="H4440" i="1"/>
  <c r="G4440" i="1"/>
  <c r="I4439" i="1"/>
  <c r="H4439" i="1"/>
  <c r="G4439" i="1"/>
  <c r="I4438" i="1"/>
  <c r="H4438" i="1"/>
  <c r="G4438" i="1"/>
  <c r="I4437" i="1"/>
  <c r="H4437" i="1"/>
  <c r="G4437" i="1"/>
  <c r="I4436" i="1"/>
  <c r="H4436" i="1"/>
  <c r="G4436" i="1"/>
  <c r="I4435" i="1"/>
  <c r="H4435" i="1"/>
  <c r="G4435" i="1"/>
  <c r="I4434" i="1"/>
  <c r="H4434" i="1"/>
  <c r="G4434" i="1"/>
  <c r="I4433" i="1"/>
  <c r="H4433" i="1"/>
  <c r="G4433" i="1"/>
  <c r="I4432" i="1"/>
  <c r="H4432" i="1"/>
  <c r="G4432" i="1"/>
  <c r="I4431" i="1"/>
  <c r="H4431" i="1"/>
  <c r="G4431" i="1"/>
  <c r="I4430" i="1"/>
  <c r="H4430" i="1"/>
  <c r="G4430" i="1"/>
  <c r="I4429" i="1"/>
  <c r="H4429" i="1"/>
  <c r="G4429" i="1"/>
  <c r="I4428" i="1"/>
  <c r="H4428" i="1"/>
  <c r="G4428" i="1"/>
  <c r="I4427" i="1"/>
  <c r="H4427" i="1"/>
  <c r="G4427" i="1"/>
  <c r="I4426" i="1"/>
  <c r="H4426" i="1"/>
  <c r="G4426" i="1"/>
  <c r="I4425" i="1"/>
  <c r="H4425" i="1"/>
  <c r="G4425" i="1"/>
  <c r="I4424" i="1"/>
  <c r="H4424" i="1"/>
  <c r="G4424" i="1"/>
  <c r="I4423" i="1"/>
  <c r="H4423" i="1"/>
  <c r="G4423" i="1"/>
  <c r="I4422" i="1"/>
  <c r="H4422" i="1"/>
  <c r="G4422" i="1"/>
  <c r="I4421" i="1"/>
  <c r="H4421" i="1"/>
  <c r="G4421" i="1"/>
  <c r="I4420" i="1"/>
  <c r="H4420" i="1"/>
  <c r="G4420" i="1"/>
  <c r="I4419" i="1"/>
  <c r="H4419" i="1"/>
  <c r="G4419" i="1"/>
  <c r="I4418" i="1"/>
  <c r="H4418" i="1"/>
  <c r="G4418" i="1"/>
  <c r="I4417" i="1"/>
  <c r="H4417" i="1"/>
  <c r="G4417" i="1"/>
  <c r="I4416" i="1"/>
  <c r="H4416" i="1"/>
  <c r="G4416" i="1"/>
  <c r="I4415" i="1"/>
  <c r="H4415" i="1"/>
  <c r="G4415" i="1"/>
  <c r="I4414" i="1"/>
  <c r="H4414" i="1"/>
  <c r="G4414" i="1"/>
  <c r="I4413" i="1"/>
  <c r="H4413" i="1"/>
  <c r="G4413" i="1"/>
  <c r="I4412" i="1"/>
  <c r="H4412" i="1"/>
  <c r="G4412" i="1"/>
  <c r="I4411" i="1"/>
  <c r="H4411" i="1"/>
  <c r="G4411" i="1"/>
  <c r="I4410" i="1"/>
  <c r="H4410" i="1"/>
  <c r="G4410" i="1"/>
  <c r="I4409" i="1"/>
  <c r="H4409" i="1"/>
  <c r="G4409" i="1"/>
  <c r="I4408" i="1"/>
  <c r="H4408" i="1"/>
  <c r="G4408" i="1"/>
  <c r="I4407" i="1"/>
  <c r="H4407" i="1"/>
  <c r="G4407" i="1"/>
  <c r="I4406" i="1"/>
  <c r="H4406" i="1"/>
  <c r="G4406" i="1"/>
  <c r="I4405" i="1"/>
  <c r="H4405" i="1"/>
  <c r="G4405" i="1"/>
  <c r="I4404" i="1"/>
  <c r="H4404" i="1"/>
  <c r="G4404" i="1"/>
  <c r="I4403" i="1"/>
  <c r="H4403" i="1"/>
  <c r="G4403" i="1"/>
  <c r="I4402" i="1"/>
  <c r="H4402" i="1"/>
  <c r="G4402" i="1"/>
  <c r="I4401" i="1"/>
  <c r="H4401" i="1"/>
  <c r="G4401" i="1"/>
  <c r="I4400" i="1"/>
  <c r="H4400" i="1"/>
  <c r="G4400" i="1"/>
  <c r="I4399" i="1"/>
  <c r="H4399" i="1"/>
  <c r="G4399" i="1"/>
  <c r="I4398" i="1"/>
  <c r="H4398" i="1"/>
  <c r="G4398" i="1"/>
  <c r="I4397" i="1"/>
  <c r="H4397" i="1"/>
  <c r="G4397" i="1"/>
  <c r="I4396" i="1"/>
  <c r="H4396" i="1"/>
  <c r="G4396" i="1"/>
  <c r="I4395" i="1"/>
  <c r="H4395" i="1"/>
  <c r="G4395" i="1"/>
  <c r="I4394" i="1"/>
  <c r="H4394" i="1"/>
  <c r="G4394" i="1"/>
  <c r="I4393" i="1"/>
  <c r="H4393" i="1"/>
  <c r="G4393" i="1"/>
  <c r="I4392" i="1"/>
  <c r="H4392" i="1"/>
  <c r="G4392" i="1"/>
  <c r="I4391" i="1"/>
  <c r="H4391" i="1"/>
  <c r="G4391" i="1"/>
  <c r="I4390" i="1"/>
  <c r="H4390" i="1"/>
  <c r="G4390" i="1"/>
  <c r="I4389" i="1"/>
  <c r="H4389" i="1"/>
  <c r="G4389" i="1"/>
  <c r="I4388" i="1"/>
  <c r="H4388" i="1"/>
  <c r="G4388" i="1"/>
  <c r="I4387" i="1"/>
  <c r="H4387" i="1"/>
  <c r="G4387" i="1"/>
  <c r="I4386" i="1"/>
  <c r="H4386" i="1"/>
  <c r="G4386" i="1"/>
  <c r="I4385" i="1"/>
  <c r="H4385" i="1"/>
  <c r="G4385" i="1"/>
  <c r="I4384" i="1"/>
  <c r="H4384" i="1"/>
  <c r="G4384" i="1"/>
  <c r="I4383" i="1"/>
  <c r="H4383" i="1"/>
  <c r="G4383" i="1"/>
  <c r="I4382" i="1"/>
  <c r="H4382" i="1"/>
  <c r="G4382" i="1"/>
  <c r="I4381" i="1"/>
  <c r="H4381" i="1"/>
  <c r="G4381" i="1"/>
  <c r="I4380" i="1"/>
  <c r="H4380" i="1"/>
  <c r="G4380" i="1"/>
  <c r="I4379" i="1"/>
  <c r="H4379" i="1"/>
  <c r="G4379" i="1"/>
  <c r="I4378" i="1"/>
  <c r="H4378" i="1"/>
  <c r="G4378" i="1"/>
  <c r="I4377" i="1"/>
  <c r="H4377" i="1"/>
  <c r="G4377" i="1"/>
  <c r="I4376" i="1"/>
  <c r="H4376" i="1"/>
  <c r="G4376" i="1"/>
  <c r="I4375" i="1"/>
  <c r="H4375" i="1"/>
  <c r="G4375" i="1"/>
  <c r="I4374" i="1"/>
  <c r="H4374" i="1"/>
  <c r="G4374" i="1"/>
  <c r="I4373" i="1"/>
  <c r="H4373" i="1"/>
  <c r="G4373" i="1"/>
  <c r="I4372" i="1"/>
  <c r="H4372" i="1"/>
  <c r="G4372" i="1"/>
  <c r="I4371" i="1"/>
  <c r="H4371" i="1"/>
  <c r="G4371" i="1"/>
  <c r="I4370" i="1"/>
  <c r="H4370" i="1"/>
  <c r="G4370" i="1"/>
  <c r="I4369" i="1"/>
  <c r="H4369" i="1"/>
  <c r="G4369" i="1"/>
  <c r="I4368" i="1"/>
  <c r="H4368" i="1"/>
  <c r="G4368" i="1"/>
  <c r="I4367" i="1"/>
  <c r="H4367" i="1"/>
  <c r="G4367" i="1"/>
  <c r="I4366" i="1"/>
  <c r="H4366" i="1"/>
  <c r="G4366" i="1"/>
  <c r="I4365" i="1"/>
  <c r="H4365" i="1"/>
  <c r="G4365" i="1"/>
  <c r="I4364" i="1"/>
  <c r="H4364" i="1"/>
  <c r="G4364" i="1"/>
  <c r="I4363" i="1"/>
  <c r="H4363" i="1"/>
  <c r="G4363" i="1"/>
  <c r="I4362" i="1"/>
  <c r="H4362" i="1"/>
  <c r="G4362" i="1"/>
  <c r="I4361" i="1"/>
  <c r="H4361" i="1"/>
  <c r="G4361" i="1"/>
  <c r="I4360" i="1"/>
  <c r="H4360" i="1"/>
  <c r="G4360" i="1"/>
  <c r="I4359" i="1"/>
  <c r="H4359" i="1"/>
  <c r="G4359" i="1"/>
  <c r="I4358" i="1"/>
  <c r="H4358" i="1"/>
  <c r="G4358" i="1"/>
  <c r="I4357" i="1"/>
  <c r="H4357" i="1"/>
  <c r="G4357" i="1"/>
  <c r="I4356" i="1"/>
  <c r="H4356" i="1"/>
  <c r="G4356" i="1"/>
  <c r="I4355" i="1"/>
  <c r="H4355" i="1"/>
  <c r="G4355" i="1"/>
  <c r="I4354" i="1"/>
  <c r="H4354" i="1"/>
  <c r="G4354" i="1"/>
  <c r="I4353" i="1"/>
  <c r="H4353" i="1"/>
  <c r="G4353" i="1"/>
  <c r="I4352" i="1"/>
  <c r="H4352" i="1"/>
  <c r="G4352" i="1"/>
  <c r="I4351" i="1"/>
  <c r="H4351" i="1"/>
  <c r="G4351" i="1"/>
  <c r="I4350" i="1"/>
  <c r="H4350" i="1"/>
  <c r="G4350" i="1"/>
  <c r="I4349" i="1"/>
  <c r="H4349" i="1"/>
  <c r="G4349" i="1"/>
  <c r="I4348" i="1"/>
  <c r="H4348" i="1"/>
  <c r="G4348" i="1"/>
  <c r="I4347" i="1"/>
  <c r="H4347" i="1"/>
  <c r="G4347" i="1"/>
  <c r="I4346" i="1"/>
  <c r="H4346" i="1"/>
  <c r="G4346" i="1"/>
  <c r="I4345" i="1"/>
  <c r="H4345" i="1"/>
  <c r="G4345" i="1"/>
  <c r="I4344" i="1"/>
  <c r="H4344" i="1"/>
  <c r="G4344" i="1"/>
  <c r="I4343" i="1"/>
  <c r="H4343" i="1"/>
  <c r="G4343" i="1"/>
  <c r="I4342" i="1"/>
  <c r="H4342" i="1"/>
  <c r="G4342" i="1"/>
  <c r="I4341" i="1"/>
  <c r="H4341" i="1"/>
  <c r="G4341" i="1"/>
  <c r="I4340" i="1"/>
  <c r="H4340" i="1"/>
  <c r="G4340" i="1"/>
  <c r="I4339" i="1"/>
  <c r="H4339" i="1"/>
  <c r="G4339" i="1"/>
  <c r="I4338" i="1"/>
  <c r="H4338" i="1"/>
  <c r="G4338" i="1"/>
  <c r="I4337" i="1"/>
  <c r="H4337" i="1"/>
  <c r="G4337" i="1"/>
  <c r="I4336" i="1"/>
  <c r="H4336" i="1"/>
  <c r="G4336" i="1"/>
  <c r="I4335" i="1"/>
  <c r="H4335" i="1"/>
  <c r="G4335" i="1"/>
  <c r="I4334" i="1"/>
  <c r="H4334" i="1"/>
  <c r="G4334" i="1"/>
  <c r="I4333" i="1"/>
  <c r="H4333" i="1"/>
  <c r="G4333" i="1"/>
  <c r="I4332" i="1"/>
  <c r="H4332" i="1"/>
  <c r="G4332" i="1"/>
  <c r="I4331" i="1"/>
  <c r="H4331" i="1"/>
  <c r="G4331" i="1"/>
  <c r="I4330" i="1"/>
  <c r="H4330" i="1"/>
  <c r="G4330" i="1"/>
  <c r="I4329" i="1"/>
  <c r="H4329" i="1"/>
  <c r="G4329" i="1"/>
  <c r="I4328" i="1"/>
  <c r="H4328" i="1"/>
  <c r="G4328" i="1"/>
  <c r="I4327" i="1"/>
  <c r="H4327" i="1"/>
  <c r="G4327" i="1"/>
  <c r="I4326" i="1"/>
  <c r="H4326" i="1"/>
  <c r="G4326" i="1"/>
  <c r="I4325" i="1"/>
  <c r="H4325" i="1"/>
  <c r="G4325" i="1"/>
  <c r="I4324" i="1"/>
  <c r="H4324" i="1"/>
  <c r="G4324" i="1"/>
  <c r="I4323" i="1"/>
  <c r="H4323" i="1"/>
  <c r="G4323" i="1"/>
  <c r="I4322" i="1"/>
  <c r="H4322" i="1"/>
  <c r="G4322" i="1"/>
  <c r="I4321" i="1"/>
  <c r="H4321" i="1"/>
  <c r="G4321" i="1"/>
  <c r="I4320" i="1"/>
  <c r="H4320" i="1"/>
  <c r="G4320" i="1"/>
  <c r="I4319" i="1"/>
  <c r="H4319" i="1"/>
  <c r="G4319" i="1"/>
  <c r="I4318" i="1"/>
  <c r="H4318" i="1"/>
  <c r="G4318" i="1"/>
  <c r="I4317" i="1"/>
  <c r="H4317" i="1"/>
  <c r="G4317" i="1"/>
  <c r="I4316" i="1"/>
  <c r="H4316" i="1"/>
  <c r="G4316" i="1"/>
  <c r="I4315" i="1"/>
  <c r="H4315" i="1"/>
  <c r="G4315" i="1"/>
  <c r="I4314" i="1"/>
  <c r="H4314" i="1"/>
  <c r="G4314" i="1"/>
  <c r="I4313" i="1"/>
  <c r="H4313" i="1"/>
  <c r="G4313" i="1"/>
  <c r="I4312" i="1"/>
  <c r="H4312" i="1"/>
  <c r="G4312" i="1"/>
  <c r="I4311" i="1"/>
  <c r="H4311" i="1"/>
  <c r="G4311" i="1"/>
  <c r="I4310" i="1"/>
  <c r="H4310" i="1"/>
  <c r="G4310" i="1"/>
  <c r="I4309" i="1"/>
  <c r="H4309" i="1"/>
  <c r="G4309" i="1"/>
  <c r="I4308" i="1"/>
  <c r="H4308" i="1"/>
  <c r="G4308" i="1"/>
  <c r="I4307" i="1"/>
  <c r="H4307" i="1"/>
  <c r="G4307" i="1"/>
  <c r="I4306" i="1"/>
  <c r="H4306" i="1"/>
  <c r="G4306" i="1"/>
  <c r="I4305" i="1"/>
  <c r="H4305" i="1"/>
  <c r="G4305" i="1"/>
  <c r="I4304" i="1"/>
  <c r="H4304" i="1"/>
  <c r="G4304" i="1"/>
  <c r="I4303" i="1"/>
  <c r="H4303" i="1"/>
  <c r="G4303" i="1"/>
  <c r="I4302" i="1"/>
  <c r="H4302" i="1"/>
  <c r="G4302" i="1"/>
  <c r="I4301" i="1"/>
  <c r="H4301" i="1"/>
  <c r="G4301" i="1"/>
  <c r="I4300" i="1"/>
  <c r="H4300" i="1"/>
  <c r="G4300" i="1"/>
  <c r="I4299" i="1"/>
  <c r="H4299" i="1"/>
  <c r="G4299" i="1"/>
  <c r="I4298" i="1"/>
  <c r="H4298" i="1"/>
  <c r="G4298" i="1"/>
  <c r="I4297" i="1"/>
  <c r="H4297" i="1"/>
  <c r="G4297" i="1"/>
  <c r="I4296" i="1"/>
  <c r="H4296" i="1"/>
  <c r="G4296" i="1"/>
  <c r="I4295" i="1"/>
  <c r="H4295" i="1"/>
  <c r="G4295" i="1"/>
  <c r="I4294" i="1"/>
  <c r="H4294" i="1"/>
  <c r="G4294" i="1"/>
  <c r="I4293" i="1"/>
  <c r="H4293" i="1"/>
  <c r="G4293" i="1"/>
  <c r="I4292" i="1"/>
  <c r="H4292" i="1"/>
  <c r="G4292" i="1"/>
  <c r="I4291" i="1"/>
  <c r="H4291" i="1"/>
  <c r="G4291" i="1"/>
  <c r="I4290" i="1"/>
  <c r="H4290" i="1"/>
  <c r="G4290" i="1"/>
  <c r="I4289" i="1"/>
  <c r="H4289" i="1"/>
  <c r="G4289" i="1"/>
  <c r="I4288" i="1"/>
  <c r="H4288" i="1"/>
  <c r="G4288" i="1"/>
  <c r="I4287" i="1"/>
  <c r="H4287" i="1"/>
  <c r="G4287" i="1"/>
  <c r="I4286" i="1"/>
  <c r="H4286" i="1"/>
  <c r="G4286" i="1"/>
  <c r="I4285" i="1"/>
  <c r="H4285" i="1"/>
  <c r="G4285" i="1"/>
  <c r="I4284" i="1"/>
  <c r="H4284" i="1"/>
  <c r="G4284" i="1"/>
  <c r="I4283" i="1"/>
  <c r="H4283" i="1"/>
  <c r="G4283" i="1"/>
  <c r="I4282" i="1"/>
  <c r="H4282" i="1"/>
  <c r="G4282" i="1"/>
  <c r="I4281" i="1"/>
  <c r="H4281" i="1"/>
  <c r="G4281" i="1"/>
  <c r="I4280" i="1"/>
  <c r="H4280" i="1"/>
  <c r="G4280" i="1"/>
  <c r="I4279" i="1"/>
  <c r="H4279" i="1"/>
  <c r="G4279" i="1"/>
  <c r="I4278" i="1"/>
  <c r="H4278" i="1"/>
  <c r="G4278" i="1"/>
  <c r="I4277" i="1"/>
  <c r="H4277" i="1"/>
  <c r="G4277" i="1"/>
  <c r="I4276" i="1"/>
  <c r="H4276" i="1"/>
  <c r="G4276" i="1"/>
  <c r="I4275" i="1"/>
  <c r="H4275" i="1"/>
  <c r="G4275" i="1"/>
  <c r="I4274" i="1"/>
  <c r="H4274" i="1"/>
  <c r="G4274" i="1"/>
  <c r="I4273" i="1"/>
  <c r="H4273" i="1"/>
  <c r="G4273" i="1"/>
  <c r="I4272" i="1"/>
  <c r="H4272" i="1"/>
  <c r="G4272" i="1"/>
  <c r="I4271" i="1"/>
  <c r="H4271" i="1"/>
  <c r="G4271" i="1"/>
  <c r="I4270" i="1"/>
  <c r="H4270" i="1"/>
  <c r="G4270" i="1"/>
  <c r="I4269" i="1"/>
  <c r="H4269" i="1"/>
  <c r="G4269" i="1"/>
  <c r="I4268" i="1"/>
  <c r="H4268" i="1"/>
  <c r="G4268" i="1"/>
  <c r="I4267" i="1"/>
  <c r="H4267" i="1"/>
  <c r="G4267" i="1"/>
  <c r="I4266" i="1"/>
  <c r="H4266" i="1"/>
  <c r="G4266" i="1"/>
  <c r="I4265" i="1"/>
  <c r="H4265" i="1"/>
  <c r="G4265" i="1"/>
  <c r="I4264" i="1"/>
  <c r="H4264" i="1"/>
  <c r="G4264" i="1"/>
  <c r="I4263" i="1"/>
  <c r="H4263" i="1"/>
  <c r="G4263" i="1"/>
  <c r="I4262" i="1"/>
  <c r="H4262" i="1"/>
  <c r="G4262" i="1"/>
  <c r="I4261" i="1"/>
  <c r="H4261" i="1"/>
  <c r="G4261" i="1"/>
  <c r="I4260" i="1"/>
  <c r="H4260" i="1"/>
  <c r="G4260" i="1"/>
  <c r="I4259" i="1"/>
  <c r="H4259" i="1"/>
  <c r="G4259" i="1"/>
  <c r="I4258" i="1"/>
  <c r="H4258" i="1"/>
  <c r="G4258" i="1"/>
  <c r="I4257" i="1"/>
  <c r="H4257" i="1"/>
  <c r="G4257" i="1"/>
  <c r="I4256" i="1"/>
  <c r="H4256" i="1"/>
  <c r="G4256" i="1"/>
  <c r="I4255" i="1"/>
  <c r="H4255" i="1"/>
  <c r="G4255" i="1"/>
  <c r="I4254" i="1"/>
  <c r="H4254" i="1"/>
  <c r="G4254" i="1"/>
  <c r="I4253" i="1"/>
  <c r="H4253" i="1"/>
  <c r="G4253" i="1"/>
  <c r="I4252" i="1"/>
  <c r="H4252" i="1"/>
  <c r="G4252" i="1"/>
  <c r="I4251" i="1"/>
  <c r="H4251" i="1"/>
  <c r="G4251" i="1"/>
  <c r="I4250" i="1"/>
  <c r="H4250" i="1"/>
  <c r="G4250" i="1"/>
  <c r="I4249" i="1"/>
  <c r="H4249" i="1"/>
  <c r="G4249" i="1"/>
  <c r="I4248" i="1"/>
  <c r="H4248" i="1"/>
  <c r="G4248" i="1"/>
  <c r="I4247" i="1"/>
  <c r="H4247" i="1"/>
  <c r="G4247" i="1"/>
  <c r="I4246" i="1"/>
  <c r="H4246" i="1"/>
  <c r="G4246" i="1"/>
  <c r="I4245" i="1"/>
  <c r="H4245" i="1"/>
  <c r="G4245" i="1"/>
  <c r="I4244" i="1"/>
  <c r="H4244" i="1"/>
  <c r="G4244" i="1"/>
  <c r="I4243" i="1"/>
  <c r="H4243" i="1"/>
  <c r="G4243" i="1"/>
  <c r="I4242" i="1"/>
  <c r="H4242" i="1"/>
  <c r="G4242" i="1"/>
  <c r="I4241" i="1"/>
  <c r="H4241" i="1"/>
  <c r="G4241" i="1"/>
  <c r="I4240" i="1"/>
  <c r="H4240" i="1"/>
  <c r="G4240" i="1"/>
  <c r="I4239" i="1"/>
  <c r="H4239" i="1"/>
  <c r="G4239" i="1"/>
  <c r="I4238" i="1"/>
  <c r="H4238" i="1"/>
  <c r="G4238" i="1"/>
  <c r="I4237" i="1"/>
  <c r="H4237" i="1"/>
  <c r="G4237" i="1"/>
  <c r="I4236" i="1"/>
  <c r="H4236" i="1"/>
  <c r="G4236" i="1"/>
  <c r="I4235" i="1"/>
  <c r="H4235" i="1"/>
  <c r="G4235" i="1"/>
  <c r="I4234" i="1"/>
  <c r="H4234" i="1"/>
  <c r="G4234" i="1"/>
  <c r="I4233" i="1"/>
  <c r="H4233" i="1"/>
  <c r="G4233" i="1"/>
  <c r="I4232" i="1"/>
  <c r="H4232" i="1"/>
  <c r="G4232" i="1"/>
  <c r="I4231" i="1"/>
  <c r="H4231" i="1"/>
  <c r="G4231" i="1"/>
  <c r="I4230" i="1"/>
  <c r="H4230" i="1"/>
  <c r="G4230" i="1"/>
  <c r="I4229" i="1"/>
  <c r="H4229" i="1"/>
  <c r="G4229" i="1"/>
  <c r="I4228" i="1"/>
  <c r="H4228" i="1"/>
  <c r="G4228" i="1"/>
  <c r="I4227" i="1"/>
  <c r="H4227" i="1"/>
  <c r="G4227" i="1"/>
  <c r="I4226" i="1"/>
  <c r="H4226" i="1"/>
  <c r="G4226" i="1"/>
  <c r="I4225" i="1"/>
  <c r="H4225" i="1"/>
  <c r="G4225" i="1"/>
  <c r="I4224" i="1"/>
  <c r="H4224" i="1"/>
  <c r="G4224" i="1"/>
  <c r="I4223" i="1"/>
  <c r="H4223" i="1"/>
  <c r="G4223" i="1"/>
  <c r="I4222" i="1"/>
  <c r="H4222" i="1"/>
  <c r="G4222" i="1"/>
  <c r="I4221" i="1"/>
  <c r="H4221" i="1"/>
  <c r="G4221" i="1"/>
  <c r="I4220" i="1"/>
  <c r="H4220" i="1"/>
  <c r="G4220" i="1"/>
  <c r="I4219" i="1"/>
  <c r="H4219" i="1"/>
  <c r="G4219" i="1"/>
  <c r="I4218" i="1"/>
  <c r="H4218" i="1"/>
  <c r="G4218" i="1"/>
  <c r="I4217" i="1"/>
  <c r="H4217" i="1"/>
  <c r="G4217" i="1"/>
  <c r="I4216" i="1"/>
  <c r="H4216" i="1"/>
  <c r="G4216" i="1"/>
  <c r="I4215" i="1"/>
  <c r="H4215" i="1"/>
  <c r="G4215" i="1"/>
  <c r="I4214" i="1"/>
  <c r="H4214" i="1"/>
  <c r="G4214" i="1"/>
  <c r="I4213" i="1"/>
  <c r="H4213" i="1"/>
  <c r="G4213" i="1"/>
  <c r="I4212" i="1"/>
  <c r="H4212" i="1"/>
  <c r="G4212" i="1"/>
  <c r="I4211" i="1"/>
  <c r="H4211" i="1"/>
  <c r="G4211" i="1"/>
  <c r="I4210" i="1"/>
  <c r="H4210" i="1"/>
  <c r="G4210" i="1"/>
  <c r="I4209" i="1"/>
  <c r="H4209" i="1"/>
  <c r="G4209" i="1"/>
  <c r="I4208" i="1"/>
  <c r="H4208" i="1"/>
  <c r="G4208" i="1"/>
  <c r="I4207" i="1"/>
  <c r="H4207" i="1"/>
  <c r="G4207" i="1"/>
  <c r="I4206" i="1"/>
  <c r="H4206" i="1"/>
  <c r="G4206" i="1"/>
  <c r="I4205" i="1"/>
  <c r="H4205" i="1"/>
  <c r="G4205" i="1"/>
  <c r="I4204" i="1"/>
  <c r="H4204" i="1"/>
  <c r="G4204" i="1"/>
  <c r="I4203" i="1"/>
  <c r="H4203" i="1"/>
  <c r="G4203" i="1"/>
  <c r="I4202" i="1"/>
  <c r="H4202" i="1"/>
  <c r="G4202" i="1"/>
  <c r="I4201" i="1"/>
  <c r="H4201" i="1"/>
  <c r="G4201" i="1"/>
  <c r="I4200" i="1"/>
  <c r="H4200" i="1"/>
  <c r="G4200" i="1"/>
  <c r="I4199" i="1"/>
  <c r="H4199" i="1"/>
  <c r="G4199" i="1"/>
  <c r="I4198" i="1"/>
  <c r="H4198" i="1"/>
  <c r="G4198" i="1"/>
  <c r="I4197" i="1"/>
  <c r="H4197" i="1"/>
  <c r="G4197" i="1"/>
  <c r="I4196" i="1"/>
  <c r="H4196" i="1"/>
  <c r="G4196" i="1"/>
  <c r="I4195" i="1"/>
  <c r="H4195" i="1"/>
  <c r="G4195" i="1"/>
  <c r="I4194" i="1"/>
  <c r="H4194" i="1"/>
  <c r="G4194" i="1"/>
  <c r="I4193" i="1"/>
  <c r="H4193" i="1"/>
  <c r="G4193" i="1"/>
  <c r="I4192" i="1"/>
  <c r="H4192" i="1"/>
  <c r="G4192" i="1"/>
  <c r="I4191" i="1"/>
  <c r="H4191" i="1"/>
  <c r="G4191" i="1"/>
  <c r="I4190" i="1"/>
  <c r="H4190" i="1"/>
  <c r="G4190" i="1"/>
  <c r="I4189" i="1"/>
  <c r="H4189" i="1"/>
  <c r="G4189" i="1"/>
  <c r="I4188" i="1"/>
  <c r="H4188" i="1"/>
  <c r="G4188" i="1"/>
  <c r="I4187" i="1"/>
  <c r="H4187" i="1"/>
  <c r="G4187" i="1"/>
  <c r="I4186" i="1"/>
  <c r="H4186" i="1"/>
  <c r="G4186" i="1"/>
  <c r="I4185" i="1"/>
  <c r="H4185" i="1"/>
  <c r="G4185" i="1"/>
  <c r="I4184" i="1"/>
  <c r="H4184" i="1"/>
  <c r="G4184" i="1"/>
  <c r="I4183" i="1"/>
  <c r="H4183" i="1"/>
  <c r="G4183" i="1"/>
  <c r="I4182" i="1"/>
  <c r="H4182" i="1"/>
  <c r="G4182" i="1"/>
  <c r="I4181" i="1"/>
  <c r="H4181" i="1"/>
  <c r="G4181" i="1"/>
  <c r="I4180" i="1"/>
  <c r="H4180" i="1"/>
  <c r="G4180" i="1"/>
  <c r="I4179" i="1"/>
  <c r="H4179" i="1"/>
  <c r="G4179" i="1"/>
  <c r="I4178" i="1"/>
  <c r="H4178" i="1"/>
  <c r="G4178" i="1"/>
  <c r="I4177" i="1"/>
  <c r="H4177" i="1"/>
  <c r="G4177" i="1"/>
  <c r="I4176" i="1"/>
  <c r="H4176" i="1"/>
  <c r="G4176" i="1"/>
  <c r="I4175" i="1"/>
  <c r="H4175" i="1"/>
  <c r="G4175" i="1"/>
  <c r="I4174" i="1"/>
  <c r="H4174" i="1"/>
  <c r="G4174" i="1"/>
  <c r="I4173" i="1"/>
  <c r="H4173" i="1"/>
  <c r="G4173" i="1"/>
  <c r="I4172" i="1"/>
  <c r="H4172" i="1"/>
  <c r="G4172" i="1"/>
  <c r="I4171" i="1"/>
  <c r="H4171" i="1"/>
  <c r="G4171" i="1"/>
  <c r="I4170" i="1"/>
  <c r="H4170" i="1"/>
  <c r="G4170" i="1"/>
  <c r="I4169" i="1"/>
  <c r="H4169" i="1"/>
  <c r="G4169" i="1"/>
  <c r="I4168" i="1"/>
  <c r="H4168" i="1"/>
  <c r="G4168" i="1"/>
  <c r="I4167" i="1"/>
  <c r="H4167" i="1"/>
  <c r="G4167" i="1"/>
  <c r="I4166" i="1"/>
  <c r="H4166" i="1"/>
  <c r="G4166" i="1"/>
  <c r="I4165" i="1"/>
  <c r="H4165" i="1"/>
  <c r="G4165" i="1"/>
  <c r="I4164" i="1"/>
  <c r="H4164" i="1"/>
  <c r="G4164" i="1"/>
  <c r="I4163" i="1"/>
  <c r="H4163" i="1"/>
  <c r="G4163" i="1"/>
  <c r="I4162" i="1"/>
  <c r="H4162" i="1"/>
  <c r="G4162" i="1"/>
  <c r="I4161" i="1"/>
  <c r="H4161" i="1"/>
  <c r="G4161" i="1"/>
  <c r="I4160" i="1"/>
  <c r="H4160" i="1"/>
  <c r="G4160" i="1"/>
  <c r="I4159" i="1"/>
  <c r="H4159" i="1"/>
  <c r="G4159" i="1"/>
  <c r="I4158" i="1"/>
  <c r="H4158" i="1"/>
  <c r="G4158" i="1"/>
  <c r="I4157" i="1"/>
  <c r="H4157" i="1"/>
  <c r="G4157" i="1"/>
  <c r="I4156" i="1"/>
  <c r="H4156" i="1"/>
  <c r="G4156" i="1"/>
  <c r="I4155" i="1"/>
  <c r="H4155" i="1"/>
  <c r="G4155" i="1"/>
  <c r="I4154" i="1"/>
  <c r="H4154" i="1"/>
  <c r="G4154" i="1"/>
  <c r="I4153" i="1"/>
  <c r="H4153" i="1"/>
  <c r="G4153" i="1"/>
  <c r="I4152" i="1"/>
  <c r="H4152" i="1"/>
  <c r="G4152" i="1"/>
  <c r="I4151" i="1"/>
  <c r="H4151" i="1"/>
  <c r="G4151" i="1"/>
  <c r="I4150" i="1"/>
  <c r="H4150" i="1"/>
  <c r="G4150" i="1"/>
  <c r="I4149" i="1"/>
  <c r="H4149" i="1"/>
  <c r="G4149" i="1"/>
  <c r="I4148" i="1"/>
  <c r="H4148" i="1"/>
  <c r="G4148" i="1"/>
  <c r="I4147" i="1"/>
  <c r="H4147" i="1"/>
  <c r="G4147" i="1"/>
  <c r="I4146" i="1"/>
  <c r="H4146" i="1"/>
  <c r="G4146" i="1"/>
  <c r="I4145" i="1"/>
  <c r="H4145" i="1"/>
  <c r="G4145" i="1"/>
  <c r="I4144" i="1"/>
  <c r="H4144" i="1"/>
  <c r="G4144" i="1"/>
  <c r="I4143" i="1"/>
  <c r="H4143" i="1"/>
  <c r="G4143" i="1"/>
  <c r="I4142" i="1"/>
  <c r="H4142" i="1"/>
  <c r="G4142" i="1"/>
  <c r="I4141" i="1"/>
  <c r="H4141" i="1"/>
  <c r="G4141" i="1"/>
  <c r="I4140" i="1"/>
  <c r="H4140" i="1"/>
  <c r="G4140" i="1"/>
  <c r="I4139" i="1"/>
  <c r="H4139" i="1"/>
  <c r="G4139" i="1"/>
  <c r="I4138" i="1"/>
  <c r="H4138" i="1"/>
  <c r="G4138" i="1"/>
  <c r="I4137" i="1"/>
  <c r="H4137" i="1"/>
  <c r="G4137" i="1"/>
  <c r="I4136" i="1"/>
  <c r="H4136" i="1"/>
  <c r="G4136" i="1"/>
  <c r="I4135" i="1"/>
  <c r="H4135" i="1"/>
  <c r="G4135" i="1"/>
  <c r="I4134" i="1"/>
  <c r="H4134" i="1"/>
  <c r="G4134" i="1"/>
  <c r="I4133" i="1"/>
  <c r="H4133" i="1"/>
  <c r="G4133" i="1"/>
  <c r="I4132" i="1"/>
  <c r="H4132" i="1"/>
  <c r="G4132" i="1"/>
  <c r="I4131" i="1"/>
  <c r="H4131" i="1"/>
  <c r="G4131" i="1"/>
  <c r="I4130" i="1"/>
  <c r="H4130" i="1"/>
  <c r="G4130" i="1"/>
  <c r="I4129" i="1"/>
  <c r="H4129" i="1"/>
  <c r="G4129" i="1"/>
  <c r="I4128" i="1"/>
  <c r="H4128" i="1"/>
  <c r="G4128" i="1"/>
  <c r="I4127" i="1"/>
  <c r="H4127" i="1"/>
  <c r="G4127" i="1"/>
  <c r="I4126" i="1"/>
  <c r="H4126" i="1"/>
  <c r="G4126" i="1"/>
  <c r="I4125" i="1"/>
  <c r="H4125" i="1"/>
  <c r="G4125" i="1"/>
  <c r="I4124" i="1"/>
  <c r="H4124" i="1"/>
  <c r="G4124" i="1"/>
  <c r="I4123" i="1"/>
  <c r="H4123" i="1"/>
  <c r="G4123" i="1"/>
  <c r="I4122" i="1"/>
  <c r="H4122" i="1"/>
  <c r="G4122" i="1"/>
  <c r="I4121" i="1"/>
  <c r="H4121" i="1"/>
  <c r="G4121" i="1"/>
  <c r="I4120" i="1"/>
  <c r="H4120" i="1"/>
  <c r="G4120" i="1"/>
  <c r="I4119" i="1"/>
  <c r="H4119" i="1"/>
  <c r="G4119" i="1"/>
  <c r="I4118" i="1"/>
  <c r="H4118" i="1"/>
  <c r="G4118" i="1"/>
  <c r="I4117" i="1"/>
  <c r="H4117" i="1"/>
  <c r="G4117" i="1"/>
  <c r="I4116" i="1"/>
  <c r="H4116" i="1"/>
  <c r="G4116" i="1"/>
  <c r="I4115" i="1"/>
  <c r="H4115" i="1"/>
  <c r="G4115" i="1"/>
  <c r="I4114" i="1"/>
  <c r="H4114" i="1"/>
  <c r="G4114" i="1"/>
  <c r="I4113" i="1"/>
  <c r="H4113" i="1"/>
  <c r="G4113" i="1"/>
  <c r="I4112" i="1"/>
  <c r="H4112" i="1"/>
  <c r="G4112" i="1"/>
  <c r="I4111" i="1"/>
  <c r="H4111" i="1"/>
  <c r="G4111" i="1"/>
  <c r="I4110" i="1"/>
  <c r="H4110" i="1"/>
  <c r="G4110" i="1"/>
  <c r="I4109" i="1"/>
  <c r="H4109" i="1"/>
  <c r="G4109" i="1"/>
  <c r="I4108" i="1"/>
  <c r="H4108" i="1"/>
  <c r="G4108" i="1"/>
  <c r="I4107" i="1"/>
  <c r="H4107" i="1"/>
  <c r="G4107" i="1"/>
  <c r="I4106" i="1"/>
  <c r="H4106" i="1"/>
  <c r="G4106" i="1"/>
  <c r="I4105" i="1"/>
  <c r="H4105" i="1"/>
  <c r="G4105" i="1"/>
  <c r="I4104" i="1"/>
  <c r="H4104" i="1"/>
  <c r="G4104" i="1"/>
  <c r="I4103" i="1"/>
  <c r="H4103" i="1"/>
  <c r="G4103" i="1"/>
  <c r="I4102" i="1"/>
  <c r="H4102" i="1"/>
  <c r="G4102" i="1"/>
  <c r="I4101" i="1"/>
  <c r="H4101" i="1"/>
  <c r="G4101" i="1"/>
  <c r="I4100" i="1"/>
  <c r="H4100" i="1"/>
  <c r="G4100" i="1"/>
  <c r="I4099" i="1"/>
  <c r="H4099" i="1"/>
  <c r="G4099" i="1"/>
  <c r="I4098" i="1"/>
  <c r="H4098" i="1"/>
  <c r="G4098" i="1"/>
  <c r="I4097" i="1"/>
  <c r="H4097" i="1"/>
  <c r="G4097" i="1"/>
  <c r="I4096" i="1"/>
  <c r="H4096" i="1"/>
  <c r="G4096" i="1"/>
  <c r="I4095" i="1"/>
  <c r="H4095" i="1"/>
  <c r="G4095" i="1"/>
  <c r="I4094" i="1"/>
  <c r="H4094" i="1"/>
  <c r="G4094" i="1"/>
  <c r="I4093" i="1"/>
  <c r="H4093" i="1"/>
  <c r="G4093" i="1"/>
  <c r="I4092" i="1"/>
  <c r="H4092" i="1"/>
  <c r="G4092" i="1"/>
  <c r="I4091" i="1"/>
  <c r="H4091" i="1"/>
  <c r="G4091" i="1"/>
  <c r="I4090" i="1"/>
  <c r="H4090" i="1"/>
  <c r="G4090" i="1"/>
  <c r="I4089" i="1"/>
  <c r="H4089" i="1"/>
  <c r="G4089" i="1"/>
  <c r="I4088" i="1"/>
  <c r="H4088" i="1"/>
  <c r="G4088" i="1"/>
  <c r="I4087" i="1"/>
  <c r="H4087" i="1"/>
  <c r="G4087" i="1"/>
  <c r="I4086" i="1"/>
  <c r="H4086" i="1"/>
  <c r="G4086" i="1"/>
  <c r="I4085" i="1"/>
  <c r="H4085" i="1"/>
  <c r="G4085" i="1"/>
  <c r="I4084" i="1"/>
  <c r="H4084" i="1"/>
  <c r="G4084" i="1"/>
  <c r="I4083" i="1"/>
  <c r="H4083" i="1"/>
  <c r="G4083" i="1"/>
  <c r="I4082" i="1"/>
  <c r="H4082" i="1"/>
  <c r="G4082" i="1"/>
  <c r="I4081" i="1"/>
  <c r="H4081" i="1"/>
  <c r="G4081" i="1"/>
  <c r="I4080" i="1"/>
  <c r="H4080" i="1"/>
  <c r="G4080" i="1"/>
  <c r="I4079" i="1"/>
  <c r="H4079" i="1"/>
  <c r="G4079" i="1"/>
  <c r="I4078" i="1"/>
  <c r="H4078" i="1"/>
  <c r="G4078" i="1"/>
  <c r="I4077" i="1"/>
  <c r="H4077" i="1"/>
  <c r="G4077" i="1"/>
  <c r="I4076" i="1"/>
  <c r="H4076" i="1"/>
  <c r="G4076" i="1"/>
  <c r="I4075" i="1"/>
  <c r="H4075" i="1"/>
  <c r="G4075" i="1"/>
  <c r="I4074" i="1"/>
  <c r="H4074" i="1"/>
  <c r="G4074" i="1"/>
  <c r="I4073" i="1"/>
  <c r="H4073" i="1"/>
  <c r="G4073" i="1"/>
  <c r="I4072" i="1"/>
  <c r="H4072" i="1"/>
  <c r="G4072" i="1"/>
  <c r="I4071" i="1"/>
  <c r="H4071" i="1"/>
  <c r="G4071" i="1"/>
  <c r="I4070" i="1"/>
  <c r="H4070" i="1"/>
  <c r="G4070" i="1"/>
  <c r="I4069" i="1"/>
  <c r="H4069" i="1"/>
  <c r="G4069" i="1"/>
  <c r="I4068" i="1"/>
  <c r="H4068" i="1"/>
  <c r="G4068" i="1"/>
  <c r="I4067" i="1"/>
  <c r="H4067" i="1"/>
  <c r="G4067" i="1"/>
  <c r="I4066" i="1"/>
  <c r="H4066" i="1"/>
  <c r="G4066" i="1"/>
  <c r="I4065" i="1"/>
  <c r="H4065" i="1"/>
  <c r="G4065" i="1"/>
  <c r="I4064" i="1"/>
  <c r="H4064" i="1"/>
  <c r="G4064" i="1"/>
  <c r="I4063" i="1"/>
  <c r="H4063" i="1"/>
  <c r="G4063" i="1"/>
  <c r="I4062" i="1"/>
  <c r="H4062" i="1"/>
  <c r="G4062" i="1"/>
  <c r="I4061" i="1"/>
  <c r="H4061" i="1"/>
  <c r="G4061" i="1"/>
  <c r="I4060" i="1"/>
  <c r="H4060" i="1"/>
  <c r="G4060" i="1"/>
  <c r="I4059" i="1"/>
  <c r="H4059" i="1"/>
  <c r="G4059" i="1"/>
  <c r="I4058" i="1"/>
  <c r="H4058" i="1"/>
  <c r="G4058" i="1"/>
  <c r="I4057" i="1"/>
  <c r="H4057" i="1"/>
  <c r="G4057" i="1"/>
  <c r="I4056" i="1"/>
  <c r="H4056" i="1"/>
  <c r="G4056" i="1"/>
  <c r="I4055" i="1"/>
  <c r="H4055" i="1"/>
  <c r="G4055" i="1"/>
  <c r="I4054" i="1"/>
  <c r="H4054" i="1"/>
  <c r="G4054" i="1"/>
  <c r="I4053" i="1"/>
  <c r="H4053" i="1"/>
  <c r="G4053" i="1"/>
  <c r="I4052" i="1"/>
  <c r="H4052" i="1"/>
  <c r="G4052" i="1"/>
  <c r="I4051" i="1"/>
  <c r="H4051" i="1"/>
  <c r="G4051" i="1"/>
  <c r="I4050" i="1"/>
  <c r="H4050" i="1"/>
  <c r="G4050" i="1"/>
  <c r="I4049" i="1"/>
  <c r="H4049" i="1"/>
  <c r="G4049" i="1"/>
  <c r="I4048" i="1"/>
  <c r="H4048" i="1"/>
  <c r="G4048" i="1"/>
  <c r="I4047" i="1"/>
  <c r="H4047" i="1"/>
  <c r="G4047" i="1"/>
  <c r="I4046" i="1"/>
  <c r="H4046" i="1"/>
  <c r="G4046" i="1"/>
  <c r="I4045" i="1"/>
  <c r="H4045" i="1"/>
  <c r="G4045" i="1"/>
  <c r="I4044" i="1"/>
  <c r="H4044" i="1"/>
  <c r="G4044" i="1"/>
  <c r="I4043" i="1"/>
  <c r="H4043" i="1"/>
  <c r="G4043" i="1"/>
  <c r="I4042" i="1"/>
  <c r="H4042" i="1"/>
  <c r="G4042" i="1"/>
  <c r="I4041" i="1"/>
  <c r="H4041" i="1"/>
  <c r="G4041" i="1"/>
  <c r="I4040" i="1"/>
  <c r="H4040" i="1"/>
  <c r="G4040" i="1"/>
  <c r="I4039" i="1"/>
  <c r="H4039" i="1"/>
  <c r="G4039" i="1"/>
  <c r="I4038" i="1"/>
  <c r="H4038" i="1"/>
  <c r="G4038" i="1"/>
  <c r="I4037" i="1"/>
  <c r="H4037" i="1"/>
  <c r="G4037" i="1"/>
  <c r="I4036" i="1"/>
  <c r="H4036" i="1"/>
  <c r="G4036" i="1"/>
  <c r="I4035" i="1"/>
  <c r="H4035" i="1"/>
  <c r="G4035" i="1"/>
  <c r="I4034" i="1"/>
  <c r="H4034" i="1"/>
  <c r="G4034" i="1"/>
  <c r="I4033" i="1"/>
  <c r="H4033" i="1"/>
  <c r="G4033" i="1"/>
  <c r="I4032" i="1"/>
  <c r="H4032" i="1"/>
  <c r="G4032" i="1"/>
  <c r="I4031" i="1"/>
  <c r="H4031" i="1"/>
  <c r="G4031" i="1"/>
  <c r="I4030" i="1"/>
  <c r="H4030" i="1"/>
  <c r="G4030" i="1"/>
  <c r="I4029" i="1"/>
  <c r="H4029" i="1"/>
  <c r="G4029" i="1"/>
  <c r="I4028" i="1"/>
  <c r="H4028" i="1"/>
  <c r="G4028" i="1"/>
  <c r="I4027" i="1"/>
  <c r="H4027" i="1"/>
  <c r="G4027" i="1"/>
  <c r="I4026" i="1"/>
  <c r="H4026" i="1"/>
  <c r="G4026" i="1"/>
  <c r="I4025" i="1"/>
  <c r="H4025" i="1"/>
  <c r="G4025" i="1"/>
  <c r="I4024" i="1"/>
  <c r="H4024" i="1"/>
  <c r="G4024" i="1"/>
  <c r="I4023" i="1"/>
  <c r="H4023" i="1"/>
  <c r="G4023" i="1"/>
  <c r="I4022" i="1"/>
  <c r="H4022" i="1"/>
  <c r="G4022" i="1"/>
  <c r="I4021" i="1"/>
  <c r="H4021" i="1"/>
  <c r="G4021" i="1"/>
  <c r="I4020" i="1"/>
  <c r="H4020" i="1"/>
  <c r="G4020" i="1"/>
  <c r="I4019" i="1"/>
  <c r="H4019" i="1"/>
  <c r="G4019" i="1"/>
  <c r="I4018" i="1"/>
  <c r="H4018" i="1"/>
  <c r="G4018" i="1"/>
  <c r="I4017" i="1"/>
  <c r="H4017" i="1"/>
  <c r="G4017" i="1"/>
  <c r="I4016" i="1"/>
  <c r="H4016" i="1"/>
  <c r="G4016" i="1"/>
  <c r="I4015" i="1"/>
  <c r="H4015" i="1"/>
  <c r="G4015" i="1"/>
  <c r="I4014" i="1"/>
  <c r="H4014" i="1"/>
  <c r="G4014" i="1"/>
  <c r="I4013" i="1"/>
  <c r="H4013" i="1"/>
  <c r="G4013" i="1"/>
  <c r="I4012" i="1"/>
  <c r="H4012" i="1"/>
  <c r="G4012" i="1"/>
  <c r="I4011" i="1"/>
  <c r="H4011" i="1"/>
  <c r="G4011" i="1"/>
  <c r="I4010" i="1"/>
  <c r="H4010" i="1"/>
  <c r="G4010" i="1"/>
  <c r="I4009" i="1"/>
  <c r="H4009" i="1"/>
  <c r="G4009" i="1"/>
  <c r="I4008" i="1"/>
  <c r="H4008" i="1"/>
  <c r="G4008" i="1"/>
  <c r="I4007" i="1"/>
  <c r="H4007" i="1"/>
  <c r="G4007" i="1"/>
  <c r="I4006" i="1"/>
  <c r="H4006" i="1"/>
  <c r="G4006" i="1"/>
  <c r="I4005" i="1"/>
  <c r="H4005" i="1"/>
  <c r="G4005" i="1"/>
  <c r="I4004" i="1"/>
  <c r="H4004" i="1"/>
  <c r="G4004" i="1"/>
  <c r="I4003" i="1"/>
  <c r="H4003" i="1"/>
  <c r="G4003" i="1"/>
  <c r="I4002" i="1"/>
  <c r="H4002" i="1"/>
  <c r="G4002" i="1"/>
  <c r="I4001" i="1"/>
  <c r="H4001" i="1"/>
  <c r="G4001" i="1"/>
  <c r="I4000" i="1"/>
  <c r="H4000" i="1"/>
  <c r="G4000" i="1"/>
  <c r="I3999" i="1"/>
  <c r="H3999" i="1"/>
  <c r="G3999" i="1"/>
  <c r="I3998" i="1"/>
  <c r="H3998" i="1"/>
  <c r="G3998" i="1"/>
  <c r="I3997" i="1"/>
  <c r="H3997" i="1"/>
  <c r="G3997" i="1"/>
  <c r="I3996" i="1"/>
  <c r="H3996" i="1"/>
  <c r="G3996" i="1"/>
  <c r="I3995" i="1"/>
  <c r="H3995" i="1"/>
  <c r="G3995" i="1"/>
  <c r="I3994" i="1"/>
  <c r="H3994" i="1"/>
  <c r="G3994" i="1"/>
  <c r="I3993" i="1"/>
  <c r="H3993" i="1"/>
  <c r="G3993" i="1"/>
  <c r="I3992" i="1"/>
  <c r="H3992" i="1"/>
  <c r="G3992" i="1"/>
  <c r="I3991" i="1"/>
  <c r="H3991" i="1"/>
  <c r="G3991" i="1"/>
  <c r="I3990" i="1"/>
  <c r="H3990" i="1"/>
  <c r="G3990" i="1"/>
  <c r="I3989" i="1"/>
  <c r="H3989" i="1"/>
  <c r="G3989" i="1"/>
  <c r="I3988" i="1"/>
  <c r="H3988" i="1"/>
  <c r="G3988" i="1"/>
  <c r="I3987" i="1"/>
  <c r="H3987" i="1"/>
  <c r="G3987" i="1"/>
  <c r="I3986" i="1"/>
  <c r="H3986" i="1"/>
  <c r="G3986" i="1"/>
  <c r="I3985" i="1"/>
  <c r="H3985" i="1"/>
  <c r="G3985" i="1"/>
  <c r="I3984" i="1"/>
  <c r="H3984" i="1"/>
  <c r="G3984" i="1"/>
  <c r="I3983" i="1"/>
  <c r="H3983" i="1"/>
  <c r="G3983" i="1"/>
  <c r="I3982" i="1"/>
  <c r="H3982" i="1"/>
  <c r="G3982" i="1"/>
  <c r="I3981" i="1"/>
  <c r="H3981" i="1"/>
  <c r="G3981" i="1"/>
  <c r="I3980" i="1"/>
  <c r="H3980" i="1"/>
  <c r="G3980" i="1"/>
  <c r="I3979" i="1"/>
  <c r="H3979" i="1"/>
  <c r="G3979" i="1"/>
  <c r="I3978" i="1"/>
  <c r="H3978" i="1"/>
  <c r="G3978" i="1"/>
  <c r="I3977" i="1"/>
  <c r="H3977" i="1"/>
  <c r="G3977" i="1"/>
  <c r="I3976" i="1"/>
  <c r="H3976" i="1"/>
  <c r="G3976" i="1"/>
  <c r="I3975" i="1"/>
  <c r="H3975" i="1"/>
  <c r="G3975" i="1"/>
  <c r="I3974" i="1"/>
  <c r="H3974" i="1"/>
  <c r="G3974" i="1"/>
  <c r="I3973" i="1"/>
  <c r="H3973" i="1"/>
  <c r="G3973" i="1"/>
  <c r="I3972" i="1"/>
  <c r="H3972" i="1"/>
  <c r="G3972" i="1"/>
  <c r="I3971" i="1"/>
  <c r="H3971" i="1"/>
  <c r="G3971" i="1"/>
  <c r="I3970" i="1"/>
  <c r="H3970" i="1"/>
  <c r="G3970" i="1"/>
  <c r="I3969" i="1"/>
  <c r="H3969" i="1"/>
  <c r="G3969" i="1"/>
  <c r="I3968" i="1"/>
  <c r="H3968" i="1"/>
  <c r="G3968" i="1"/>
  <c r="I3967" i="1"/>
  <c r="H3967" i="1"/>
  <c r="G3967" i="1"/>
  <c r="I3966" i="1"/>
  <c r="H3966" i="1"/>
  <c r="G3966" i="1"/>
  <c r="I3965" i="1"/>
  <c r="H3965" i="1"/>
  <c r="G3965" i="1"/>
  <c r="I3964" i="1"/>
  <c r="H3964" i="1"/>
  <c r="G3964" i="1"/>
  <c r="I3963" i="1"/>
  <c r="H3963" i="1"/>
  <c r="G3963" i="1"/>
  <c r="I3962" i="1"/>
  <c r="H3962" i="1"/>
  <c r="G3962" i="1"/>
  <c r="I3961" i="1"/>
  <c r="H3961" i="1"/>
  <c r="G3961" i="1"/>
  <c r="I3960" i="1"/>
  <c r="H3960" i="1"/>
  <c r="G3960" i="1"/>
  <c r="I3959" i="1"/>
  <c r="H3959" i="1"/>
  <c r="G3959" i="1"/>
  <c r="I3958" i="1"/>
  <c r="H3958" i="1"/>
  <c r="G3958" i="1"/>
  <c r="I3957" i="1"/>
  <c r="H3957" i="1"/>
  <c r="G3957" i="1"/>
  <c r="I3956" i="1"/>
  <c r="H3956" i="1"/>
  <c r="G3956" i="1"/>
  <c r="I3955" i="1"/>
  <c r="H3955" i="1"/>
  <c r="G3955" i="1"/>
  <c r="I3954" i="1"/>
  <c r="H3954" i="1"/>
  <c r="G3954" i="1"/>
  <c r="I3953" i="1"/>
  <c r="H3953" i="1"/>
  <c r="G3953" i="1"/>
  <c r="I3952" i="1"/>
  <c r="H3952" i="1"/>
  <c r="G3952" i="1"/>
  <c r="I3951" i="1"/>
  <c r="H3951" i="1"/>
  <c r="G3951" i="1"/>
  <c r="I3950" i="1"/>
  <c r="H3950" i="1"/>
  <c r="G3950" i="1"/>
  <c r="I3949" i="1"/>
  <c r="H3949" i="1"/>
  <c r="G3949" i="1"/>
  <c r="I3948" i="1"/>
  <c r="H3948" i="1"/>
  <c r="G3948" i="1"/>
  <c r="I3947" i="1"/>
  <c r="H3947" i="1"/>
  <c r="G3947" i="1"/>
  <c r="I3946" i="1"/>
  <c r="H3946" i="1"/>
  <c r="G3946" i="1"/>
  <c r="I3945" i="1"/>
  <c r="H3945" i="1"/>
  <c r="G3945" i="1"/>
  <c r="I3944" i="1"/>
  <c r="H3944" i="1"/>
  <c r="G3944" i="1"/>
  <c r="I3943" i="1"/>
  <c r="H3943" i="1"/>
  <c r="G3943" i="1"/>
  <c r="I3942" i="1"/>
  <c r="H3942" i="1"/>
  <c r="G3942" i="1"/>
  <c r="I3941" i="1"/>
  <c r="H3941" i="1"/>
  <c r="G3941" i="1"/>
  <c r="I3940" i="1"/>
  <c r="H3940" i="1"/>
  <c r="G3940" i="1"/>
  <c r="I3939" i="1"/>
  <c r="H3939" i="1"/>
  <c r="G3939" i="1"/>
  <c r="I3938" i="1"/>
  <c r="H3938" i="1"/>
  <c r="G3938" i="1"/>
  <c r="I3937" i="1"/>
  <c r="H3937" i="1"/>
  <c r="G3937" i="1"/>
  <c r="I3936" i="1"/>
  <c r="H3936" i="1"/>
  <c r="G3936" i="1"/>
  <c r="I3935" i="1"/>
  <c r="H3935" i="1"/>
  <c r="G3935" i="1"/>
  <c r="I3934" i="1"/>
  <c r="H3934" i="1"/>
  <c r="G3934" i="1"/>
  <c r="I3933" i="1"/>
  <c r="H3933" i="1"/>
  <c r="G3933" i="1"/>
  <c r="I3932" i="1"/>
  <c r="H3932" i="1"/>
  <c r="G3932" i="1"/>
  <c r="I3931" i="1"/>
  <c r="H3931" i="1"/>
  <c r="G3931" i="1"/>
  <c r="I3930" i="1"/>
  <c r="H3930" i="1"/>
  <c r="G3930" i="1"/>
  <c r="I3929" i="1"/>
  <c r="H3929" i="1"/>
  <c r="G3929" i="1"/>
  <c r="I3928" i="1"/>
  <c r="H3928" i="1"/>
  <c r="G3928" i="1"/>
  <c r="I3927" i="1"/>
  <c r="H3927" i="1"/>
  <c r="G3927" i="1"/>
  <c r="I3926" i="1"/>
  <c r="H3926" i="1"/>
  <c r="G3926" i="1"/>
  <c r="I3925" i="1"/>
  <c r="H3925" i="1"/>
  <c r="G3925" i="1"/>
  <c r="I3924" i="1"/>
  <c r="H3924" i="1"/>
  <c r="G3924" i="1"/>
  <c r="I3923" i="1"/>
  <c r="H3923" i="1"/>
  <c r="G3923" i="1"/>
  <c r="I3922" i="1"/>
  <c r="H3922" i="1"/>
  <c r="G3922" i="1"/>
  <c r="I3921" i="1"/>
  <c r="H3921" i="1"/>
  <c r="G3921" i="1"/>
  <c r="I3920" i="1"/>
  <c r="H3920" i="1"/>
  <c r="G3920" i="1"/>
  <c r="I3919" i="1"/>
  <c r="H3919" i="1"/>
  <c r="G3919" i="1"/>
  <c r="I3918" i="1"/>
  <c r="H3918" i="1"/>
  <c r="G3918" i="1"/>
  <c r="I3917" i="1"/>
  <c r="H3917" i="1"/>
  <c r="G3917" i="1"/>
  <c r="I3916" i="1"/>
  <c r="H3916" i="1"/>
  <c r="G3916" i="1"/>
  <c r="I3915" i="1"/>
  <c r="H3915" i="1"/>
  <c r="G3915" i="1"/>
  <c r="I3914" i="1"/>
  <c r="H3914" i="1"/>
  <c r="G3914" i="1"/>
  <c r="I3913" i="1"/>
  <c r="H3913" i="1"/>
  <c r="G3913" i="1"/>
  <c r="I3912" i="1"/>
  <c r="H3912" i="1"/>
  <c r="G3912" i="1"/>
  <c r="I3911" i="1"/>
  <c r="H3911" i="1"/>
  <c r="G3911" i="1"/>
  <c r="I3910" i="1"/>
  <c r="H3910" i="1"/>
  <c r="G3910" i="1"/>
  <c r="I3909" i="1"/>
  <c r="H3909" i="1"/>
  <c r="G3909" i="1"/>
  <c r="I3908" i="1"/>
  <c r="H3908" i="1"/>
  <c r="G3908" i="1"/>
  <c r="I3907" i="1"/>
  <c r="H3907" i="1"/>
  <c r="G3907" i="1"/>
  <c r="I3906" i="1"/>
  <c r="H3906" i="1"/>
  <c r="G3906" i="1"/>
  <c r="I3905" i="1"/>
  <c r="H3905" i="1"/>
  <c r="G3905" i="1"/>
  <c r="I3904" i="1"/>
  <c r="H3904" i="1"/>
  <c r="G3904" i="1"/>
  <c r="I3903" i="1"/>
  <c r="H3903" i="1"/>
  <c r="G3903" i="1"/>
  <c r="I3902" i="1"/>
  <c r="H3902" i="1"/>
  <c r="G3902" i="1"/>
  <c r="I3901" i="1"/>
  <c r="H3901" i="1"/>
  <c r="G3901" i="1"/>
  <c r="I3900" i="1"/>
  <c r="H3900" i="1"/>
  <c r="G3900" i="1"/>
  <c r="I3899" i="1"/>
  <c r="H3899" i="1"/>
  <c r="G3899" i="1"/>
  <c r="I3898" i="1"/>
  <c r="H3898" i="1"/>
  <c r="G3898" i="1"/>
  <c r="I3897" i="1"/>
  <c r="H3897" i="1"/>
  <c r="G3897" i="1"/>
  <c r="I3896" i="1"/>
  <c r="H3896" i="1"/>
  <c r="G3896" i="1"/>
  <c r="I3895" i="1"/>
  <c r="H3895" i="1"/>
  <c r="G3895" i="1"/>
  <c r="I3894" i="1"/>
  <c r="H3894" i="1"/>
  <c r="G3894" i="1"/>
  <c r="I3893" i="1"/>
  <c r="H3893" i="1"/>
  <c r="G3893" i="1"/>
  <c r="I3892" i="1"/>
  <c r="H3892" i="1"/>
  <c r="G3892" i="1"/>
  <c r="I3891" i="1"/>
  <c r="H3891" i="1"/>
  <c r="G3891" i="1"/>
  <c r="I3890" i="1"/>
  <c r="H3890" i="1"/>
  <c r="G3890" i="1"/>
  <c r="I3889" i="1"/>
  <c r="H3889" i="1"/>
  <c r="G3889" i="1"/>
  <c r="I3888" i="1"/>
  <c r="H3888" i="1"/>
  <c r="G3888" i="1"/>
  <c r="I3887" i="1"/>
  <c r="H3887" i="1"/>
  <c r="G3887" i="1"/>
  <c r="I3886" i="1"/>
  <c r="H3886" i="1"/>
  <c r="G3886" i="1"/>
  <c r="I3885" i="1"/>
  <c r="H3885" i="1"/>
  <c r="G3885" i="1"/>
  <c r="I3884" i="1"/>
  <c r="H3884" i="1"/>
  <c r="G3884" i="1"/>
  <c r="I3883" i="1"/>
  <c r="H3883" i="1"/>
  <c r="G3883" i="1"/>
  <c r="I3882" i="1"/>
  <c r="H3882" i="1"/>
  <c r="G3882" i="1"/>
  <c r="I3881" i="1"/>
  <c r="H3881" i="1"/>
  <c r="G3881" i="1"/>
  <c r="I3880" i="1"/>
  <c r="H3880" i="1"/>
  <c r="G3880" i="1"/>
  <c r="I3879" i="1"/>
  <c r="H3879" i="1"/>
  <c r="G3879" i="1"/>
  <c r="I3878" i="1"/>
  <c r="H3878" i="1"/>
  <c r="G3878" i="1"/>
  <c r="I3877" i="1"/>
  <c r="H3877" i="1"/>
  <c r="G3877" i="1"/>
  <c r="I3876" i="1"/>
  <c r="H3876" i="1"/>
  <c r="G3876" i="1"/>
  <c r="I3875" i="1"/>
  <c r="H3875" i="1"/>
  <c r="G3875" i="1"/>
  <c r="I3874" i="1"/>
  <c r="H3874" i="1"/>
  <c r="G3874" i="1"/>
  <c r="I3873" i="1"/>
  <c r="H3873" i="1"/>
  <c r="G3873" i="1"/>
  <c r="I3872" i="1"/>
  <c r="H3872" i="1"/>
  <c r="G3872" i="1"/>
  <c r="I3871" i="1"/>
  <c r="H3871" i="1"/>
  <c r="G3871" i="1"/>
  <c r="I3870" i="1"/>
  <c r="H3870" i="1"/>
  <c r="G3870" i="1"/>
  <c r="I3869" i="1"/>
  <c r="H3869" i="1"/>
  <c r="G3869" i="1"/>
  <c r="I3868" i="1"/>
  <c r="H3868" i="1"/>
  <c r="G3868" i="1"/>
  <c r="I3867" i="1"/>
  <c r="H3867" i="1"/>
  <c r="G3867" i="1"/>
  <c r="I3866" i="1"/>
  <c r="H3866" i="1"/>
  <c r="G3866" i="1"/>
  <c r="I3865" i="1"/>
  <c r="H3865" i="1"/>
  <c r="G3865" i="1"/>
  <c r="I3864" i="1"/>
  <c r="H3864" i="1"/>
  <c r="G3864" i="1"/>
  <c r="I3863" i="1"/>
  <c r="H3863" i="1"/>
  <c r="G3863" i="1"/>
  <c r="I3862" i="1"/>
  <c r="H3862" i="1"/>
  <c r="G3862" i="1"/>
  <c r="I3861" i="1"/>
  <c r="H3861" i="1"/>
  <c r="G3861" i="1"/>
  <c r="I3860" i="1"/>
  <c r="H3860" i="1"/>
  <c r="G3860" i="1"/>
  <c r="I3859" i="1"/>
  <c r="H3859" i="1"/>
  <c r="G3859" i="1"/>
  <c r="I3858" i="1"/>
  <c r="H3858" i="1"/>
  <c r="G3858" i="1"/>
  <c r="I3857" i="1"/>
  <c r="H3857" i="1"/>
  <c r="G3857" i="1"/>
  <c r="I3856" i="1"/>
  <c r="H3856" i="1"/>
  <c r="G3856" i="1"/>
  <c r="I3855" i="1"/>
  <c r="H3855" i="1"/>
  <c r="G3855" i="1"/>
  <c r="I3854" i="1"/>
  <c r="H3854" i="1"/>
  <c r="G3854" i="1"/>
  <c r="I3853" i="1"/>
  <c r="H3853" i="1"/>
  <c r="G3853" i="1"/>
  <c r="I3852" i="1"/>
  <c r="H3852" i="1"/>
  <c r="G3852" i="1"/>
  <c r="I3851" i="1"/>
  <c r="H3851" i="1"/>
  <c r="G3851" i="1"/>
  <c r="I3850" i="1"/>
  <c r="H3850" i="1"/>
  <c r="G3850" i="1"/>
  <c r="I3849" i="1"/>
  <c r="H3849" i="1"/>
  <c r="G3849" i="1"/>
  <c r="I3848" i="1"/>
  <c r="H3848" i="1"/>
  <c r="G3848" i="1"/>
  <c r="I3847" i="1"/>
  <c r="H3847" i="1"/>
  <c r="G3847" i="1"/>
  <c r="I3846" i="1"/>
  <c r="H3846" i="1"/>
  <c r="G3846" i="1"/>
  <c r="I3845" i="1"/>
  <c r="H3845" i="1"/>
  <c r="G3845" i="1"/>
  <c r="I3844" i="1"/>
  <c r="H3844" i="1"/>
  <c r="G3844" i="1"/>
  <c r="I3843" i="1"/>
  <c r="H3843" i="1"/>
  <c r="G3843" i="1"/>
  <c r="I3842" i="1"/>
  <c r="H3842" i="1"/>
  <c r="G3842" i="1"/>
  <c r="I3841" i="1"/>
  <c r="H3841" i="1"/>
  <c r="G3841" i="1"/>
  <c r="I3840" i="1"/>
  <c r="H3840" i="1"/>
  <c r="G3840" i="1"/>
  <c r="I3839" i="1"/>
  <c r="H3839" i="1"/>
  <c r="G3839" i="1"/>
  <c r="I3838" i="1"/>
  <c r="H3838" i="1"/>
  <c r="G3838" i="1"/>
  <c r="I3837" i="1"/>
  <c r="H3837" i="1"/>
  <c r="G3837" i="1"/>
  <c r="I3836" i="1"/>
  <c r="H3836" i="1"/>
  <c r="G3836" i="1"/>
  <c r="I3835" i="1"/>
  <c r="H3835" i="1"/>
  <c r="G3835" i="1"/>
  <c r="I3834" i="1"/>
  <c r="H3834" i="1"/>
  <c r="G3834" i="1"/>
  <c r="I3833" i="1"/>
  <c r="H3833" i="1"/>
  <c r="G3833" i="1"/>
  <c r="I3832" i="1"/>
  <c r="H3832" i="1"/>
  <c r="G3832" i="1"/>
  <c r="I3831" i="1"/>
  <c r="H3831" i="1"/>
  <c r="G3831" i="1"/>
  <c r="I3830" i="1"/>
  <c r="H3830" i="1"/>
  <c r="G3830" i="1"/>
  <c r="I3829" i="1"/>
  <c r="H3829" i="1"/>
  <c r="G3829" i="1"/>
  <c r="I3828" i="1"/>
  <c r="H3828" i="1"/>
  <c r="G3828" i="1"/>
  <c r="I3827" i="1"/>
  <c r="H3827" i="1"/>
  <c r="G3827" i="1"/>
  <c r="I3826" i="1"/>
  <c r="H3826" i="1"/>
  <c r="G3826" i="1"/>
  <c r="I3825" i="1"/>
  <c r="H3825" i="1"/>
  <c r="G3825" i="1"/>
  <c r="I3824" i="1"/>
  <c r="H3824" i="1"/>
  <c r="G3824" i="1"/>
  <c r="I3823" i="1"/>
  <c r="H3823" i="1"/>
  <c r="G3823" i="1"/>
  <c r="I3822" i="1"/>
  <c r="H3822" i="1"/>
  <c r="G3822" i="1"/>
  <c r="I3821" i="1"/>
  <c r="H3821" i="1"/>
  <c r="G3821" i="1"/>
  <c r="I3820" i="1"/>
  <c r="H3820" i="1"/>
  <c r="G3820" i="1"/>
  <c r="I3819" i="1"/>
  <c r="H3819" i="1"/>
  <c r="G3819" i="1"/>
  <c r="I3818" i="1"/>
  <c r="H3818" i="1"/>
  <c r="G3818" i="1"/>
  <c r="I3817" i="1"/>
  <c r="H3817" i="1"/>
  <c r="G3817" i="1"/>
  <c r="I3816" i="1"/>
  <c r="H3816" i="1"/>
  <c r="G3816" i="1"/>
  <c r="I3815" i="1"/>
  <c r="H3815" i="1"/>
  <c r="G3815" i="1"/>
  <c r="I3814" i="1"/>
  <c r="H3814" i="1"/>
  <c r="G3814" i="1"/>
  <c r="I3813" i="1"/>
  <c r="H3813" i="1"/>
  <c r="G3813" i="1"/>
  <c r="I3812" i="1"/>
  <c r="H3812" i="1"/>
  <c r="G3812" i="1"/>
  <c r="I3811" i="1"/>
  <c r="H3811" i="1"/>
  <c r="G3811" i="1"/>
  <c r="I3810" i="1"/>
  <c r="H3810" i="1"/>
  <c r="G3810" i="1"/>
  <c r="I3809" i="1"/>
  <c r="H3809" i="1"/>
  <c r="G3809" i="1"/>
  <c r="I3808" i="1"/>
  <c r="H3808" i="1"/>
  <c r="G3808" i="1"/>
  <c r="I3807" i="1"/>
  <c r="H3807" i="1"/>
  <c r="G3807" i="1"/>
  <c r="I3806" i="1"/>
  <c r="H3806" i="1"/>
  <c r="G3806" i="1"/>
  <c r="I3805" i="1"/>
  <c r="H3805" i="1"/>
  <c r="G3805" i="1"/>
  <c r="I3804" i="1"/>
  <c r="H3804" i="1"/>
  <c r="G3804" i="1"/>
  <c r="I3803" i="1"/>
  <c r="H3803" i="1"/>
  <c r="G3803" i="1"/>
  <c r="I3802" i="1"/>
  <c r="H3802" i="1"/>
  <c r="G3802" i="1"/>
  <c r="I3801" i="1"/>
  <c r="H3801" i="1"/>
  <c r="G3801" i="1"/>
  <c r="I3800" i="1"/>
  <c r="H3800" i="1"/>
  <c r="G3800" i="1"/>
  <c r="I3799" i="1"/>
  <c r="H3799" i="1"/>
  <c r="G3799" i="1"/>
  <c r="I3798" i="1"/>
  <c r="H3798" i="1"/>
  <c r="G3798" i="1"/>
  <c r="I3797" i="1"/>
  <c r="H3797" i="1"/>
  <c r="G3797" i="1"/>
  <c r="I3796" i="1"/>
  <c r="H3796" i="1"/>
  <c r="G3796" i="1"/>
  <c r="I3795" i="1"/>
  <c r="H3795" i="1"/>
  <c r="G3795" i="1"/>
  <c r="I3794" i="1"/>
  <c r="H3794" i="1"/>
  <c r="G3794" i="1"/>
  <c r="I3793" i="1"/>
  <c r="H3793" i="1"/>
  <c r="G3793" i="1"/>
  <c r="I3792" i="1"/>
  <c r="H3792" i="1"/>
  <c r="G3792" i="1"/>
  <c r="I3791" i="1"/>
  <c r="H3791" i="1"/>
  <c r="G3791" i="1"/>
  <c r="I3790" i="1"/>
  <c r="H3790" i="1"/>
  <c r="G3790" i="1"/>
  <c r="I3789" i="1"/>
  <c r="H3789" i="1"/>
  <c r="G3789" i="1"/>
  <c r="I3788" i="1"/>
  <c r="H3788" i="1"/>
  <c r="G3788" i="1"/>
  <c r="I3787" i="1"/>
  <c r="H3787" i="1"/>
  <c r="G3787" i="1"/>
  <c r="I3786" i="1"/>
  <c r="H3786" i="1"/>
  <c r="G3786" i="1"/>
  <c r="I3785" i="1"/>
  <c r="H3785" i="1"/>
  <c r="G3785" i="1"/>
  <c r="I3784" i="1"/>
  <c r="H3784" i="1"/>
  <c r="G3784" i="1"/>
  <c r="I3783" i="1"/>
  <c r="H3783" i="1"/>
  <c r="G3783" i="1"/>
  <c r="I3782" i="1"/>
  <c r="H3782" i="1"/>
  <c r="G3782" i="1"/>
  <c r="I3781" i="1"/>
  <c r="H3781" i="1"/>
  <c r="G3781" i="1"/>
  <c r="I3780" i="1"/>
  <c r="H3780" i="1"/>
  <c r="G3780" i="1"/>
  <c r="I3779" i="1"/>
  <c r="H3779" i="1"/>
  <c r="G3779" i="1"/>
  <c r="I3778" i="1"/>
  <c r="H3778" i="1"/>
  <c r="G3778" i="1"/>
  <c r="I3777" i="1"/>
  <c r="H3777" i="1"/>
  <c r="G3777" i="1"/>
  <c r="I3776" i="1"/>
  <c r="H3776" i="1"/>
  <c r="G3776" i="1"/>
  <c r="I3775" i="1"/>
  <c r="H3775" i="1"/>
  <c r="G3775" i="1"/>
  <c r="I3774" i="1"/>
  <c r="H3774" i="1"/>
  <c r="G3774" i="1"/>
  <c r="I3773" i="1"/>
  <c r="H3773" i="1"/>
  <c r="G3773" i="1"/>
  <c r="I3772" i="1"/>
  <c r="H3772" i="1"/>
  <c r="G3772" i="1"/>
  <c r="I3771" i="1"/>
  <c r="H3771" i="1"/>
  <c r="G3771" i="1"/>
  <c r="I3770" i="1"/>
  <c r="H3770" i="1"/>
  <c r="G3770" i="1"/>
  <c r="I3769" i="1"/>
  <c r="H3769" i="1"/>
  <c r="G3769" i="1"/>
  <c r="I3768" i="1"/>
  <c r="H3768" i="1"/>
  <c r="G3768" i="1"/>
  <c r="I3767" i="1"/>
  <c r="H3767" i="1"/>
  <c r="G3767" i="1"/>
  <c r="I3766" i="1"/>
  <c r="H3766" i="1"/>
  <c r="G3766" i="1"/>
  <c r="I3765" i="1"/>
  <c r="H3765" i="1"/>
  <c r="G3765" i="1"/>
  <c r="I3764" i="1"/>
  <c r="H3764" i="1"/>
  <c r="G3764" i="1"/>
  <c r="I3763" i="1"/>
  <c r="H3763" i="1"/>
  <c r="G3763" i="1"/>
  <c r="I3762" i="1"/>
  <c r="H3762" i="1"/>
  <c r="G3762" i="1"/>
  <c r="I3761" i="1"/>
  <c r="H3761" i="1"/>
  <c r="G3761" i="1"/>
  <c r="I3760" i="1"/>
  <c r="H3760" i="1"/>
  <c r="G3760" i="1"/>
  <c r="I3759" i="1"/>
  <c r="H3759" i="1"/>
  <c r="G3759" i="1"/>
  <c r="I3758" i="1"/>
  <c r="H3758" i="1"/>
  <c r="G3758" i="1"/>
  <c r="I3757" i="1"/>
  <c r="H3757" i="1"/>
  <c r="G3757" i="1"/>
  <c r="I3756" i="1"/>
  <c r="H3756" i="1"/>
  <c r="G3756" i="1"/>
  <c r="I3755" i="1"/>
  <c r="H3755" i="1"/>
  <c r="G3755" i="1"/>
  <c r="I3754" i="1"/>
  <c r="H3754" i="1"/>
  <c r="G3754" i="1"/>
  <c r="I3753" i="1"/>
  <c r="H3753" i="1"/>
  <c r="G3753" i="1"/>
  <c r="I3752" i="1"/>
  <c r="H3752" i="1"/>
  <c r="G3752" i="1"/>
  <c r="I3751" i="1"/>
  <c r="H3751" i="1"/>
  <c r="G3751" i="1"/>
  <c r="I3750" i="1"/>
  <c r="H3750" i="1"/>
  <c r="G3750" i="1"/>
  <c r="I3749" i="1"/>
  <c r="H3749" i="1"/>
  <c r="G3749" i="1"/>
  <c r="I3748" i="1"/>
  <c r="H3748" i="1"/>
  <c r="G3748" i="1"/>
  <c r="I3747" i="1"/>
  <c r="H3747" i="1"/>
  <c r="G3747" i="1"/>
  <c r="I3746" i="1"/>
  <c r="H3746" i="1"/>
  <c r="G3746" i="1"/>
  <c r="I3745" i="1"/>
  <c r="H3745" i="1"/>
  <c r="G3745" i="1"/>
  <c r="I3744" i="1"/>
  <c r="H3744" i="1"/>
  <c r="G3744" i="1"/>
  <c r="I3743" i="1"/>
  <c r="H3743" i="1"/>
  <c r="G3743" i="1"/>
  <c r="I3742" i="1"/>
  <c r="H3742" i="1"/>
  <c r="G3742" i="1"/>
  <c r="I3741" i="1"/>
  <c r="H3741" i="1"/>
  <c r="G3741" i="1"/>
  <c r="I3740" i="1"/>
  <c r="H3740" i="1"/>
  <c r="G3740" i="1"/>
  <c r="I3739" i="1"/>
  <c r="H3739" i="1"/>
  <c r="G3739" i="1"/>
  <c r="I3738" i="1"/>
  <c r="H3738" i="1"/>
  <c r="G3738" i="1"/>
  <c r="I3737" i="1"/>
  <c r="H3737" i="1"/>
  <c r="G3737" i="1"/>
  <c r="I3736" i="1"/>
  <c r="H3736" i="1"/>
  <c r="G3736" i="1"/>
  <c r="I3735" i="1"/>
  <c r="H3735" i="1"/>
  <c r="G3735" i="1"/>
  <c r="I3734" i="1"/>
  <c r="H3734" i="1"/>
  <c r="G3734" i="1"/>
  <c r="I3733" i="1"/>
  <c r="H3733" i="1"/>
  <c r="G3733" i="1"/>
  <c r="I3732" i="1"/>
  <c r="H3732" i="1"/>
  <c r="G3732" i="1"/>
  <c r="I3731" i="1"/>
  <c r="H3731" i="1"/>
  <c r="G3731" i="1"/>
  <c r="I3730" i="1"/>
  <c r="H3730" i="1"/>
  <c r="G3730" i="1"/>
  <c r="I3729" i="1"/>
  <c r="H3729" i="1"/>
  <c r="G3729" i="1"/>
  <c r="I3728" i="1"/>
  <c r="H3728" i="1"/>
  <c r="G3728" i="1"/>
  <c r="I3727" i="1"/>
  <c r="H3727" i="1"/>
  <c r="G3727" i="1"/>
  <c r="I3726" i="1"/>
  <c r="H3726" i="1"/>
  <c r="G3726" i="1"/>
  <c r="I3725" i="1"/>
  <c r="H3725" i="1"/>
  <c r="G3725" i="1"/>
  <c r="I3724" i="1"/>
  <c r="H3724" i="1"/>
  <c r="G3724" i="1"/>
  <c r="I3723" i="1"/>
  <c r="H3723" i="1"/>
  <c r="G3723" i="1"/>
  <c r="I3722" i="1"/>
  <c r="H3722" i="1"/>
  <c r="G3722" i="1"/>
  <c r="I3721" i="1"/>
  <c r="H3721" i="1"/>
  <c r="G3721" i="1"/>
  <c r="I3720" i="1"/>
  <c r="H3720" i="1"/>
  <c r="G3720" i="1"/>
  <c r="I3719" i="1"/>
  <c r="H3719" i="1"/>
  <c r="G3719" i="1"/>
  <c r="I3718" i="1"/>
  <c r="H3718" i="1"/>
  <c r="G3718" i="1"/>
  <c r="I3717" i="1"/>
  <c r="H3717" i="1"/>
  <c r="G3717" i="1"/>
  <c r="I3716" i="1"/>
  <c r="H3716" i="1"/>
  <c r="G3716" i="1"/>
  <c r="I3715" i="1"/>
  <c r="H3715" i="1"/>
  <c r="G3715" i="1"/>
  <c r="I3714" i="1"/>
  <c r="H3714" i="1"/>
  <c r="G3714" i="1"/>
  <c r="I3713" i="1"/>
  <c r="H3713" i="1"/>
  <c r="G3713" i="1"/>
  <c r="I3712" i="1"/>
  <c r="H3712" i="1"/>
  <c r="G3712" i="1"/>
  <c r="I3711" i="1"/>
  <c r="H3711" i="1"/>
  <c r="G3711" i="1"/>
  <c r="I3710" i="1"/>
  <c r="H3710" i="1"/>
  <c r="G3710" i="1"/>
  <c r="I3709" i="1"/>
  <c r="H3709" i="1"/>
  <c r="G3709" i="1"/>
  <c r="I3708" i="1"/>
  <c r="H3708" i="1"/>
  <c r="G3708" i="1"/>
  <c r="I3707" i="1"/>
  <c r="H3707" i="1"/>
  <c r="G3707" i="1"/>
  <c r="I3706" i="1"/>
  <c r="H3706" i="1"/>
  <c r="G3706" i="1"/>
  <c r="I3705" i="1"/>
  <c r="H3705" i="1"/>
  <c r="G3705" i="1"/>
  <c r="I3704" i="1"/>
  <c r="H3704" i="1"/>
  <c r="G3704" i="1"/>
  <c r="I3703" i="1"/>
  <c r="H3703" i="1"/>
  <c r="G3703" i="1"/>
  <c r="I3702" i="1"/>
  <c r="H3702" i="1"/>
  <c r="G3702" i="1"/>
  <c r="I3701" i="1"/>
  <c r="H3701" i="1"/>
  <c r="G3701" i="1"/>
  <c r="I3700" i="1"/>
  <c r="H3700" i="1"/>
  <c r="G3700" i="1"/>
  <c r="I3699" i="1"/>
  <c r="H3699" i="1"/>
  <c r="G3699" i="1"/>
  <c r="I3698" i="1"/>
  <c r="H3698" i="1"/>
  <c r="G3698" i="1"/>
  <c r="I3697" i="1"/>
  <c r="H3697" i="1"/>
  <c r="G3697" i="1"/>
  <c r="I3696" i="1"/>
  <c r="H3696" i="1"/>
  <c r="G3696" i="1"/>
  <c r="I3695" i="1"/>
  <c r="H3695" i="1"/>
  <c r="G3695" i="1"/>
  <c r="I3694" i="1"/>
  <c r="H3694" i="1"/>
  <c r="G3694" i="1"/>
  <c r="I3693" i="1"/>
  <c r="H3693" i="1"/>
  <c r="G3693" i="1"/>
  <c r="I3692" i="1"/>
  <c r="H3692" i="1"/>
  <c r="G3692" i="1"/>
  <c r="I3691" i="1"/>
  <c r="H3691" i="1"/>
  <c r="G3691" i="1"/>
  <c r="I3690" i="1"/>
  <c r="H3690" i="1"/>
  <c r="G3690" i="1"/>
  <c r="I3689" i="1"/>
  <c r="H3689" i="1"/>
  <c r="G3689" i="1"/>
  <c r="I3688" i="1"/>
  <c r="H3688" i="1"/>
  <c r="G3688" i="1"/>
  <c r="I3687" i="1"/>
  <c r="H3687" i="1"/>
  <c r="G3687" i="1"/>
  <c r="I3686" i="1"/>
  <c r="H3686" i="1"/>
  <c r="G3686" i="1"/>
  <c r="I3685" i="1"/>
  <c r="H3685" i="1"/>
  <c r="G3685" i="1"/>
  <c r="I3684" i="1"/>
  <c r="H3684" i="1"/>
  <c r="G3684" i="1"/>
  <c r="I3683" i="1"/>
  <c r="H3683" i="1"/>
  <c r="G3683" i="1"/>
  <c r="I3682" i="1"/>
  <c r="H3682" i="1"/>
  <c r="G3682" i="1"/>
  <c r="I3681" i="1"/>
  <c r="H3681" i="1"/>
  <c r="G3681" i="1"/>
  <c r="I3680" i="1"/>
  <c r="H3680" i="1"/>
  <c r="G3680" i="1"/>
  <c r="I3679" i="1"/>
  <c r="H3679" i="1"/>
  <c r="G3679" i="1"/>
  <c r="I3678" i="1"/>
  <c r="H3678" i="1"/>
  <c r="G3678" i="1"/>
  <c r="I3677" i="1"/>
  <c r="H3677" i="1"/>
  <c r="G3677" i="1"/>
  <c r="I3676" i="1"/>
  <c r="H3676" i="1"/>
  <c r="G3676" i="1"/>
  <c r="I3675" i="1"/>
  <c r="H3675" i="1"/>
  <c r="G3675" i="1"/>
  <c r="I3674" i="1"/>
  <c r="H3674" i="1"/>
  <c r="G3674" i="1"/>
  <c r="I3673" i="1"/>
  <c r="H3673" i="1"/>
  <c r="G3673" i="1"/>
  <c r="I3672" i="1"/>
  <c r="H3672" i="1"/>
  <c r="G3672" i="1"/>
  <c r="I3671" i="1"/>
  <c r="H3671" i="1"/>
  <c r="G3671" i="1"/>
  <c r="I3670" i="1"/>
  <c r="H3670" i="1"/>
  <c r="G3670" i="1"/>
  <c r="I3669" i="1"/>
  <c r="H3669" i="1"/>
  <c r="G3669" i="1"/>
  <c r="I3668" i="1"/>
  <c r="H3668" i="1"/>
  <c r="G3668" i="1"/>
  <c r="I3667" i="1"/>
  <c r="H3667" i="1"/>
  <c r="G3667" i="1"/>
  <c r="I3666" i="1"/>
  <c r="H3666" i="1"/>
  <c r="G3666" i="1"/>
  <c r="I3665" i="1"/>
  <c r="H3665" i="1"/>
  <c r="G3665" i="1"/>
  <c r="I3664" i="1"/>
  <c r="H3664" i="1"/>
  <c r="G3664" i="1"/>
  <c r="I3663" i="1"/>
  <c r="H3663" i="1"/>
  <c r="G3663" i="1"/>
  <c r="I3662" i="1"/>
  <c r="H3662" i="1"/>
  <c r="G3662" i="1"/>
  <c r="I3661" i="1"/>
  <c r="H3661" i="1"/>
  <c r="G3661" i="1"/>
  <c r="I3660" i="1"/>
  <c r="H3660" i="1"/>
  <c r="G3660" i="1"/>
  <c r="I3659" i="1"/>
  <c r="H3659" i="1"/>
  <c r="G3659" i="1"/>
  <c r="I3658" i="1"/>
  <c r="H3658" i="1"/>
  <c r="G3658" i="1"/>
  <c r="I3657" i="1"/>
  <c r="H3657" i="1"/>
  <c r="G3657" i="1"/>
  <c r="I3656" i="1"/>
  <c r="H3656" i="1"/>
  <c r="G3656" i="1"/>
  <c r="I3655" i="1"/>
  <c r="H3655" i="1"/>
  <c r="G3655" i="1"/>
  <c r="I3654" i="1"/>
  <c r="H3654" i="1"/>
  <c r="G3654" i="1"/>
  <c r="I3653" i="1"/>
  <c r="H3653" i="1"/>
  <c r="G3653" i="1"/>
  <c r="I3652" i="1"/>
  <c r="H3652" i="1"/>
  <c r="G3652" i="1"/>
  <c r="I3651" i="1"/>
  <c r="H3651" i="1"/>
  <c r="G3651" i="1"/>
  <c r="I3650" i="1"/>
  <c r="H3650" i="1"/>
  <c r="G3650" i="1"/>
  <c r="I3649" i="1"/>
  <c r="H3649" i="1"/>
  <c r="G3649" i="1"/>
  <c r="I3648" i="1"/>
  <c r="H3648" i="1"/>
  <c r="G3648" i="1"/>
  <c r="I3647" i="1"/>
  <c r="H3647" i="1"/>
  <c r="G3647" i="1"/>
  <c r="I3646" i="1"/>
  <c r="H3646" i="1"/>
  <c r="G3646" i="1"/>
  <c r="I3645" i="1"/>
  <c r="H3645" i="1"/>
  <c r="G3645" i="1"/>
  <c r="I3644" i="1"/>
  <c r="H3644" i="1"/>
  <c r="G3644" i="1"/>
  <c r="I3643" i="1"/>
  <c r="H3643" i="1"/>
  <c r="G3643" i="1"/>
  <c r="I3642" i="1"/>
  <c r="H3642" i="1"/>
  <c r="G3642" i="1"/>
  <c r="I3641" i="1"/>
  <c r="H3641" i="1"/>
  <c r="G3641" i="1"/>
  <c r="I3640" i="1"/>
  <c r="H3640" i="1"/>
  <c r="G3640" i="1"/>
  <c r="I3639" i="1"/>
  <c r="H3639" i="1"/>
  <c r="G3639" i="1"/>
  <c r="I3638" i="1"/>
  <c r="H3638" i="1"/>
  <c r="G3638" i="1"/>
  <c r="I3637" i="1"/>
  <c r="H3637" i="1"/>
  <c r="G3637" i="1"/>
  <c r="I3636" i="1"/>
  <c r="H3636" i="1"/>
  <c r="G3636" i="1"/>
  <c r="I3635" i="1"/>
  <c r="H3635" i="1"/>
  <c r="G3635" i="1"/>
  <c r="I3634" i="1"/>
  <c r="H3634" i="1"/>
  <c r="G3634" i="1"/>
  <c r="I3633" i="1"/>
  <c r="H3633" i="1"/>
  <c r="G3633" i="1"/>
  <c r="I3632" i="1"/>
  <c r="H3632" i="1"/>
  <c r="G3632" i="1"/>
  <c r="I3631" i="1"/>
  <c r="H3631" i="1"/>
  <c r="G3631" i="1"/>
  <c r="I3630" i="1"/>
  <c r="H3630" i="1"/>
  <c r="G3630" i="1"/>
  <c r="I3629" i="1"/>
  <c r="H3629" i="1"/>
  <c r="G3629" i="1"/>
  <c r="I3628" i="1"/>
  <c r="H3628" i="1"/>
  <c r="G3628" i="1"/>
  <c r="I3627" i="1"/>
  <c r="H3627" i="1"/>
  <c r="G3627" i="1"/>
  <c r="I3626" i="1"/>
  <c r="H3626" i="1"/>
  <c r="G3626" i="1"/>
  <c r="I3625" i="1"/>
  <c r="H3625" i="1"/>
  <c r="G3625" i="1"/>
  <c r="I3624" i="1"/>
  <c r="H3624" i="1"/>
  <c r="G3624" i="1"/>
  <c r="I3623" i="1"/>
  <c r="H3623" i="1"/>
  <c r="G3623" i="1"/>
  <c r="I3622" i="1"/>
  <c r="H3622" i="1"/>
  <c r="G3622" i="1"/>
  <c r="I3621" i="1"/>
  <c r="H3621" i="1"/>
  <c r="G3621" i="1"/>
  <c r="I3620" i="1"/>
  <c r="H3620" i="1"/>
  <c r="G3620" i="1"/>
  <c r="I3619" i="1"/>
  <c r="H3619" i="1"/>
  <c r="G3619" i="1"/>
  <c r="I3618" i="1"/>
  <c r="H3618" i="1"/>
  <c r="G3618" i="1"/>
  <c r="I3617" i="1"/>
  <c r="H3617" i="1"/>
  <c r="G3617" i="1"/>
  <c r="I3616" i="1"/>
  <c r="H3616" i="1"/>
  <c r="G3616" i="1"/>
  <c r="I3615" i="1"/>
  <c r="H3615" i="1"/>
  <c r="G3615" i="1"/>
  <c r="I3614" i="1"/>
  <c r="H3614" i="1"/>
  <c r="G3614" i="1"/>
  <c r="I3613" i="1"/>
  <c r="H3613" i="1"/>
  <c r="G3613" i="1"/>
  <c r="I3612" i="1"/>
  <c r="H3612" i="1"/>
  <c r="G3612" i="1"/>
  <c r="I3611" i="1"/>
  <c r="H3611" i="1"/>
  <c r="G3611" i="1"/>
  <c r="I3610" i="1"/>
  <c r="H3610" i="1"/>
  <c r="G3610" i="1"/>
  <c r="I3609" i="1"/>
  <c r="H3609" i="1"/>
  <c r="G3609" i="1"/>
  <c r="I3608" i="1"/>
  <c r="H3608" i="1"/>
  <c r="G3608" i="1"/>
  <c r="I3607" i="1"/>
  <c r="H3607" i="1"/>
  <c r="G3607" i="1"/>
  <c r="I3606" i="1"/>
  <c r="H3606" i="1"/>
  <c r="G3606" i="1"/>
  <c r="I3605" i="1"/>
  <c r="H3605" i="1"/>
  <c r="G3605" i="1"/>
  <c r="I3604" i="1"/>
  <c r="H3604" i="1"/>
  <c r="G3604" i="1"/>
  <c r="I3603" i="1"/>
  <c r="H3603" i="1"/>
  <c r="G3603" i="1"/>
  <c r="I3602" i="1"/>
  <c r="H3602" i="1"/>
  <c r="G3602" i="1"/>
  <c r="I3601" i="1"/>
  <c r="H3601" i="1"/>
  <c r="G3601" i="1"/>
  <c r="I3600" i="1"/>
  <c r="H3600" i="1"/>
  <c r="G3600" i="1"/>
  <c r="I3599" i="1"/>
  <c r="H3599" i="1"/>
  <c r="G3599" i="1"/>
  <c r="I3598" i="1"/>
  <c r="H3598" i="1"/>
  <c r="G3598" i="1"/>
  <c r="I3597" i="1"/>
  <c r="H3597" i="1"/>
  <c r="G3597" i="1"/>
  <c r="I3596" i="1"/>
  <c r="H3596" i="1"/>
  <c r="G3596" i="1"/>
  <c r="I3595" i="1"/>
  <c r="H3595" i="1"/>
  <c r="G3595" i="1"/>
  <c r="I3594" i="1"/>
  <c r="H3594" i="1"/>
  <c r="G3594" i="1"/>
  <c r="I3593" i="1"/>
  <c r="H3593" i="1"/>
  <c r="G3593" i="1"/>
  <c r="I3592" i="1"/>
  <c r="H3592" i="1"/>
  <c r="G3592" i="1"/>
  <c r="I3591" i="1"/>
  <c r="H3591" i="1"/>
  <c r="G3591" i="1"/>
  <c r="I3590" i="1"/>
  <c r="H3590" i="1"/>
  <c r="G3590" i="1"/>
  <c r="I3589" i="1"/>
  <c r="H3589" i="1"/>
  <c r="G3589" i="1"/>
  <c r="I3588" i="1"/>
  <c r="H3588" i="1"/>
  <c r="G3588" i="1"/>
  <c r="I3587" i="1"/>
  <c r="H3587" i="1"/>
  <c r="G3587" i="1"/>
  <c r="I3586" i="1"/>
  <c r="H3586" i="1"/>
  <c r="G3586" i="1"/>
  <c r="I3585" i="1"/>
  <c r="H3585" i="1"/>
  <c r="G3585" i="1"/>
  <c r="I3584" i="1"/>
  <c r="H3584" i="1"/>
  <c r="G3584" i="1"/>
  <c r="I3583" i="1"/>
  <c r="H3583" i="1"/>
  <c r="G3583" i="1"/>
  <c r="I3582" i="1"/>
  <c r="H3582" i="1"/>
  <c r="G3582" i="1"/>
  <c r="I3581" i="1"/>
  <c r="H3581" i="1"/>
  <c r="G3581" i="1"/>
  <c r="I3580" i="1"/>
  <c r="H3580" i="1"/>
  <c r="G3580" i="1"/>
  <c r="I3579" i="1"/>
  <c r="H3579" i="1"/>
  <c r="G3579" i="1"/>
  <c r="I3578" i="1"/>
  <c r="H3578" i="1"/>
  <c r="G3578" i="1"/>
  <c r="I3577" i="1"/>
  <c r="H3577" i="1"/>
  <c r="G3577" i="1"/>
  <c r="I3576" i="1"/>
  <c r="H3576" i="1"/>
  <c r="G3576" i="1"/>
  <c r="I3575" i="1"/>
  <c r="H3575" i="1"/>
  <c r="G3575" i="1"/>
  <c r="I3574" i="1"/>
  <c r="H3574" i="1"/>
  <c r="G3574" i="1"/>
  <c r="I3573" i="1"/>
  <c r="H3573" i="1"/>
  <c r="G3573" i="1"/>
  <c r="I3572" i="1"/>
  <c r="H3572" i="1"/>
  <c r="G3572" i="1"/>
  <c r="I3571" i="1"/>
  <c r="H3571" i="1"/>
  <c r="G3571" i="1"/>
  <c r="I3570" i="1"/>
  <c r="H3570" i="1"/>
  <c r="G3570" i="1"/>
  <c r="I3569" i="1"/>
  <c r="H3569" i="1"/>
  <c r="G3569" i="1"/>
  <c r="I3568" i="1"/>
  <c r="H3568" i="1"/>
  <c r="G3568" i="1"/>
  <c r="I3567" i="1"/>
  <c r="H3567" i="1"/>
  <c r="G3567" i="1"/>
  <c r="I3566" i="1"/>
  <c r="H3566" i="1"/>
  <c r="G3566" i="1"/>
  <c r="I3565" i="1"/>
  <c r="H3565" i="1"/>
  <c r="G3565" i="1"/>
  <c r="I3564" i="1"/>
  <c r="H3564" i="1"/>
  <c r="G3564" i="1"/>
  <c r="I3563" i="1"/>
  <c r="H3563" i="1"/>
  <c r="G3563" i="1"/>
  <c r="I3562" i="1"/>
  <c r="H3562" i="1"/>
  <c r="G3562" i="1"/>
  <c r="I3561" i="1"/>
  <c r="H3561" i="1"/>
  <c r="G3561" i="1"/>
  <c r="I3560" i="1"/>
  <c r="H3560" i="1"/>
  <c r="G3560" i="1"/>
  <c r="I3559" i="1"/>
  <c r="H3559" i="1"/>
  <c r="G3559" i="1"/>
  <c r="I3558" i="1"/>
  <c r="H3558" i="1"/>
  <c r="G3558" i="1"/>
  <c r="I3557" i="1"/>
  <c r="H3557" i="1"/>
  <c r="G3557" i="1"/>
  <c r="I3556" i="1"/>
  <c r="H3556" i="1"/>
  <c r="G3556" i="1"/>
  <c r="I3555" i="1"/>
  <c r="H3555" i="1"/>
  <c r="G3555" i="1"/>
  <c r="I3554" i="1"/>
  <c r="H3554" i="1"/>
  <c r="G3554" i="1"/>
  <c r="I3553" i="1"/>
  <c r="H3553" i="1"/>
  <c r="G3553" i="1"/>
  <c r="I3552" i="1"/>
  <c r="H3552" i="1"/>
  <c r="G3552" i="1"/>
  <c r="I3551" i="1"/>
  <c r="H3551" i="1"/>
  <c r="G3551" i="1"/>
  <c r="I3550" i="1"/>
  <c r="H3550" i="1"/>
  <c r="G3550" i="1"/>
  <c r="I3549" i="1"/>
  <c r="H3549" i="1"/>
  <c r="G3549" i="1"/>
  <c r="I3548" i="1"/>
  <c r="H3548" i="1"/>
  <c r="G3548" i="1"/>
  <c r="I3547" i="1"/>
  <c r="H3547" i="1"/>
  <c r="G3547" i="1"/>
  <c r="I3546" i="1"/>
  <c r="H3546" i="1"/>
  <c r="G3546" i="1"/>
  <c r="I3545" i="1"/>
  <c r="H3545" i="1"/>
  <c r="G3545" i="1"/>
  <c r="I3544" i="1"/>
  <c r="H3544" i="1"/>
  <c r="G3544" i="1"/>
  <c r="I3543" i="1"/>
  <c r="H3543" i="1"/>
  <c r="G3543" i="1"/>
  <c r="I3542" i="1"/>
  <c r="H3542" i="1"/>
  <c r="G3542" i="1"/>
  <c r="I3541" i="1"/>
  <c r="H3541" i="1"/>
  <c r="G3541" i="1"/>
  <c r="I3540" i="1"/>
  <c r="H3540" i="1"/>
  <c r="G3540" i="1"/>
  <c r="I3539" i="1"/>
  <c r="H3539" i="1"/>
  <c r="G3539" i="1"/>
  <c r="I3538" i="1"/>
  <c r="H3538" i="1"/>
  <c r="G3538" i="1"/>
  <c r="I3537" i="1"/>
  <c r="H3537" i="1"/>
  <c r="G3537" i="1"/>
  <c r="I3536" i="1"/>
  <c r="H3536" i="1"/>
  <c r="G3536" i="1"/>
  <c r="I3535" i="1"/>
  <c r="H3535" i="1"/>
  <c r="G3535" i="1"/>
  <c r="I3534" i="1"/>
  <c r="H3534" i="1"/>
  <c r="G3534" i="1"/>
  <c r="I3533" i="1"/>
  <c r="H3533" i="1"/>
  <c r="G3533" i="1"/>
  <c r="I3532" i="1"/>
  <c r="H3532" i="1"/>
  <c r="G3532" i="1"/>
  <c r="I3531" i="1"/>
  <c r="H3531" i="1"/>
  <c r="G3531" i="1"/>
  <c r="I3530" i="1"/>
  <c r="H3530" i="1"/>
  <c r="G3530" i="1"/>
  <c r="I3529" i="1"/>
  <c r="H3529" i="1"/>
  <c r="G3529" i="1"/>
  <c r="I3528" i="1"/>
  <c r="H3528" i="1"/>
  <c r="G3528" i="1"/>
  <c r="I3527" i="1"/>
  <c r="H3527" i="1"/>
  <c r="G3527" i="1"/>
  <c r="I3526" i="1"/>
  <c r="H3526" i="1"/>
  <c r="G3526" i="1"/>
  <c r="I3525" i="1"/>
  <c r="H3525" i="1"/>
  <c r="G3525" i="1"/>
  <c r="I3524" i="1"/>
  <c r="H3524" i="1"/>
  <c r="G3524" i="1"/>
  <c r="I3523" i="1"/>
  <c r="H3523" i="1"/>
  <c r="G3523" i="1"/>
  <c r="I3522" i="1"/>
  <c r="H3522" i="1"/>
  <c r="G3522" i="1"/>
  <c r="I3521" i="1"/>
  <c r="H3521" i="1"/>
  <c r="G3521" i="1"/>
  <c r="I3520" i="1"/>
  <c r="H3520" i="1"/>
  <c r="G3520" i="1"/>
  <c r="I3519" i="1"/>
  <c r="H3519" i="1"/>
  <c r="G3519" i="1"/>
  <c r="I3518" i="1"/>
  <c r="H3518" i="1"/>
  <c r="G3518" i="1"/>
  <c r="I3517" i="1"/>
  <c r="H3517" i="1"/>
  <c r="G3517" i="1"/>
  <c r="I3516" i="1"/>
  <c r="H3516" i="1"/>
  <c r="G3516" i="1"/>
  <c r="I3515" i="1"/>
  <c r="H3515" i="1"/>
  <c r="G3515" i="1"/>
  <c r="I3514" i="1"/>
  <c r="H3514" i="1"/>
  <c r="G3514" i="1"/>
  <c r="I3513" i="1"/>
  <c r="H3513" i="1"/>
  <c r="G3513" i="1"/>
  <c r="I3512" i="1"/>
  <c r="H3512" i="1"/>
  <c r="G3512" i="1"/>
  <c r="I3511" i="1"/>
  <c r="H3511" i="1"/>
  <c r="G3511" i="1"/>
  <c r="I3510" i="1"/>
  <c r="H3510" i="1"/>
  <c r="G3510" i="1"/>
  <c r="I3509" i="1"/>
  <c r="H3509" i="1"/>
  <c r="G3509" i="1"/>
  <c r="I3508" i="1"/>
  <c r="H3508" i="1"/>
  <c r="G3508" i="1"/>
  <c r="I3507" i="1"/>
  <c r="H3507" i="1"/>
  <c r="G3507" i="1"/>
  <c r="I3506" i="1"/>
  <c r="H3506" i="1"/>
  <c r="G3506" i="1"/>
  <c r="I3505" i="1"/>
  <c r="H3505" i="1"/>
  <c r="G3505" i="1"/>
  <c r="I3504" i="1"/>
  <c r="H3504" i="1"/>
  <c r="G3504" i="1"/>
  <c r="I3503" i="1"/>
  <c r="H3503" i="1"/>
  <c r="G3503" i="1"/>
  <c r="I3502" i="1"/>
  <c r="H3502" i="1"/>
  <c r="G3502" i="1"/>
  <c r="I3501" i="1"/>
  <c r="H3501" i="1"/>
  <c r="G3501" i="1"/>
  <c r="I3500" i="1"/>
  <c r="H3500" i="1"/>
  <c r="G3500" i="1"/>
  <c r="I3499" i="1"/>
  <c r="H3499" i="1"/>
  <c r="G3499" i="1"/>
  <c r="I3498" i="1"/>
  <c r="H3498" i="1"/>
  <c r="G3498" i="1"/>
  <c r="I3497" i="1"/>
  <c r="H3497" i="1"/>
  <c r="G3497" i="1"/>
  <c r="I3496" i="1"/>
  <c r="H3496" i="1"/>
  <c r="G3496" i="1"/>
  <c r="I3495" i="1"/>
  <c r="H3495" i="1"/>
  <c r="G3495" i="1"/>
  <c r="I3494" i="1"/>
  <c r="H3494" i="1"/>
  <c r="G3494" i="1"/>
  <c r="I3493" i="1"/>
  <c r="H3493" i="1"/>
  <c r="G3493" i="1"/>
  <c r="I3492" i="1"/>
  <c r="H3492" i="1"/>
  <c r="G3492" i="1"/>
  <c r="I3491" i="1"/>
  <c r="H3491" i="1"/>
  <c r="G3491" i="1"/>
  <c r="I3490" i="1"/>
  <c r="H3490" i="1"/>
  <c r="G3490" i="1"/>
  <c r="I3489" i="1"/>
  <c r="H3489" i="1"/>
  <c r="G3489" i="1"/>
  <c r="I3488" i="1"/>
  <c r="H3488" i="1"/>
  <c r="G3488" i="1"/>
  <c r="I3487" i="1"/>
  <c r="H3487" i="1"/>
  <c r="G3487" i="1"/>
  <c r="I3486" i="1"/>
  <c r="H3486" i="1"/>
  <c r="G3486" i="1"/>
  <c r="I3485" i="1"/>
  <c r="H3485" i="1"/>
  <c r="G3485" i="1"/>
  <c r="I3484" i="1"/>
  <c r="H3484" i="1"/>
  <c r="G3484" i="1"/>
  <c r="I3483" i="1"/>
  <c r="H3483" i="1"/>
  <c r="G3483" i="1"/>
  <c r="I3482" i="1"/>
  <c r="H3482" i="1"/>
  <c r="G3482" i="1"/>
  <c r="I3481" i="1"/>
  <c r="H3481" i="1"/>
  <c r="G3481" i="1"/>
  <c r="I3480" i="1"/>
  <c r="H3480" i="1"/>
  <c r="G3480" i="1"/>
  <c r="I3479" i="1"/>
  <c r="H3479" i="1"/>
  <c r="G3479" i="1"/>
  <c r="I3478" i="1"/>
  <c r="H3478" i="1"/>
  <c r="G3478" i="1"/>
  <c r="I3477" i="1"/>
  <c r="H3477" i="1"/>
  <c r="G3477" i="1"/>
  <c r="I3476" i="1"/>
  <c r="H3476" i="1"/>
  <c r="G3476" i="1"/>
  <c r="I3475" i="1"/>
  <c r="H3475" i="1"/>
  <c r="G3475" i="1"/>
  <c r="I3474" i="1"/>
  <c r="H3474" i="1"/>
  <c r="G3474" i="1"/>
  <c r="I3473" i="1"/>
  <c r="H3473" i="1"/>
  <c r="G3473" i="1"/>
  <c r="I3472" i="1"/>
  <c r="H3472" i="1"/>
  <c r="G3472" i="1"/>
  <c r="I3471" i="1"/>
  <c r="H3471" i="1"/>
  <c r="G3471" i="1"/>
  <c r="I3470" i="1"/>
  <c r="H3470" i="1"/>
  <c r="G3470" i="1"/>
  <c r="I3469" i="1"/>
  <c r="H3469" i="1"/>
  <c r="G3469" i="1"/>
  <c r="I3468" i="1"/>
  <c r="H3468" i="1"/>
  <c r="G3468" i="1"/>
  <c r="I3467" i="1"/>
  <c r="H3467" i="1"/>
  <c r="G3467" i="1"/>
  <c r="I3466" i="1"/>
  <c r="H3466" i="1"/>
  <c r="G3466" i="1"/>
  <c r="I3465" i="1"/>
  <c r="H3465" i="1"/>
  <c r="G3465" i="1"/>
  <c r="I3464" i="1"/>
  <c r="H3464" i="1"/>
  <c r="G3464" i="1"/>
  <c r="I3463" i="1"/>
  <c r="H3463" i="1"/>
  <c r="G3463" i="1"/>
  <c r="I3462" i="1"/>
  <c r="H3462" i="1"/>
  <c r="G3462" i="1"/>
  <c r="I3461" i="1"/>
  <c r="H3461" i="1"/>
  <c r="G3461" i="1"/>
  <c r="I3460" i="1"/>
  <c r="H3460" i="1"/>
  <c r="G3460" i="1"/>
  <c r="I3459" i="1"/>
  <c r="H3459" i="1"/>
  <c r="G3459" i="1"/>
  <c r="I3458" i="1"/>
  <c r="H3458" i="1"/>
  <c r="G3458" i="1"/>
  <c r="I3457" i="1"/>
  <c r="H3457" i="1"/>
  <c r="G3457" i="1"/>
  <c r="I3456" i="1"/>
  <c r="H3456" i="1"/>
  <c r="G3456" i="1"/>
  <c r="I3455" i="1"/>
  <c r="H3455" i="1"/>
  <c r="G3455" i="1"/>
  <c r="I3454" i="1"/>
  <c r="H3454" i="1"/>
  <c r="G3454" i="1"/>
  <c r="I3453" i="1"/>
  <c r="H3453" i="1"/>
  <c r="G3453" i="1"/>
  <c r="I3452" i="1"/>
  <c r="H3452" i="1"/>
  <c r="G3452" i="1"/>
  <c r="I3451" i="1"/>
  <c r="H3451" i="1"/>
  <c r="G3451" i="1"/>
  <c r="I3450" i="1"/>
  <c r="H3450" i="1"/>
  <c r="G3450" i="1"/>
  <c r="I3449" i="1"/>
  <c r="H3449" i="1"/>
  <c r="G3449" i="1"/>
  <c r="I3448" i="1"/>
  <c r="H3448" i="1"/>
  <c r="G3448" i="1"/>
  <c r="I3447" i="1"/>
  <c r="H3447" i="1"/>
  <c r="G3447" i="1"/>
  <c r="I3446" i="1"/>
  <c r="H3446" i="1"/>
  <c r="G3446" i="1"/>
  <c r="I3445" i="1"/>
  <c r="H3445" i="1"/>
  <c r="G3445" i="1"/>
  <c r="I3444" i="1"/>
  <c r="H3444" i="1"/>
  <c r="G3444" i="1"/>
  <c r="I3443" i="1"/>
  <c r="H3443" i="1"/>
  <c r="G3443" i="1"/>
  <c r="I3442" i="1"/>
  <c r="H3442" i="1"/>
  <c r="G3442" i="1"/>
  <c r="I3441" i="1"/>
  <c r="H3441" i="1"/>
  <c r="G3441" i="1"/>
  <c r="I3440" i="1"/>
  <c r="H3440" i="1"/>
  <c r="G3440" i="1"/>
  <c r="I3439" i="1"/>
  <c r="H3439" i="1"/>
  <c r="G3439" i="1"/>
  <c r="I3438" i="1"/>
  <c r="H3438" i="1"/>
  <c r="G3438" i="1"/>
  <c r="I3437" i="1"/>
  <c r="H3437" i="1"/>
  <c r="G3437" i="1"/>
  <c r="I3436" i="1"/>
  <c r="H3436" i="1"/>
  <c r="G3436" i="1"/>
  <c r="I3435" i="1"/>
  <c r="H3435" i="1"/>
  <c r="G3435" i="1"/>
  <c r="I3434" i="1"/>
  <c r="H3434" i="1"/>
  <c r="G3434" i="1"/>
  <c r="I3433" i="1"/>
  <c r="H3433" i="1"/>
  <c r="G3433" i="1"/>
  <c r="I3432" i="1"/>
  <c r="H3432" i="1"/>
  <c r="G3432" i="1"/>
  <c r="I3431" i="1"/>
  <c r="H3431" i="1"/>
  <c r="G3431" i="1"/>
  <c r="I3430" i="1"/>
  <c r="H3430" i="1"/>
  <c r="G3430" i="1"/>
  <c r="I3429" i="1"/>
  <c r="H3429" i="1"/>
  <c r="G3429" i="1"/>
  <c r="I3428" i="1"/>
  <c r="H3428" i="1"/>
  <c r="G3428" i="1"/>
  <c r="I3427" i="1"/>
  <c r="H3427" i="1"/>
  <c r="G3427" i="1"/>
  <c r="I3426" i="1"/>
  <c r="H3426" i="1"/>
  <c r="G3426" i="1"/>
  <c r="I3425" i="1"/>
  <c r="H3425" i="1"/>
  <c r="G3425" i="1"/>
  <c r="I3424" i="1"/>
  <c r="H3424" i="1"/>
  <c r="G3424" i="1"/>
  <c r="I3423" i="1"/>
  <c r="H3423" i="1"/>
  <c r="G3423" i="1"/>
  <c r="I3422" i="1"/>
  <c r="H3422" i="1"/>
  <c r="G3422" i="1"/>
  <c r="I3421" i="1"/>
  <c r="H3421" i="1"/>
  <c r="G3421" i="1"/>
  <c r="I3420" i="1"/>
  <c r="H3420" i="1"/>
  <c r="G3420" i="1"/>
  <c r="I3419" i="1"/>
  <c r="H3419" i="1"/>
  <c r="G3419" i="1"/>
  <c r="I3418" i="1"/>
  <c r="H3418" i="1"/>
  <c r="G3418" i="1"/>
  <c r="I3417" i="1"/>
  <c r="H3417" i="1"/>
  <c r="G3417" i="1"/>
  <c r="I3416" i="1"/>
  <c r="H3416" i="1"/>
  <c r="G3416" i="1"/>
  <c r="I3415" i="1"/>
  <c r="H3415" i="1"/>
  <c r="G3415" i="1"/>
  <c r="I3414" i="1"/>
  <c r="H3414" i="1"/>
  <c r="G3414" i="1"/>
  <c r="I3413" i="1"/>
  <c r="H3413" i="1"/>
  <c r="G3413" i="1"/>
  <c r="I3412" i="1"/>
  <c r="H3412" i="1"/>
  <c r="G3412" i="1"/>
  <c r="I3411" i="1"/>
  <c r="H3411" i="1"/>
  <c r="G3411" i="1"/>
  <c r="I3410" i="1"/>
  <c r="H3410" i="1"/>
  <c r="G3410" i="1"/>
  <c r="I3409" i="1"/>
  <c r="H3409" i="1"/>
  <c r="G3409" i="1"/>
  <c r="I3408" i="1"/>
  <c r="H3408" i="1"/>
  <c r="G3408" i="1"/>
  <c r="I3407" i="1"/>
  <c r="H3407" i="1"/>
  <c r="G3407" i="1"/>
  <c r="I3406" i="1"/>
  <c r="H3406" i="1"/>
  <c r="G3406" i="1"/>
  <c r="I3405" i="1"/>
  <c r="H3405" i="1"/>
  <c r="G3405" i="1"/>
  <c r="I3404" i="1"/>
  <c r="H3404" i="1"/>
  <c r="G3404" i="1"/>
  <c r="I3403" i="1"/>
  <c r="H3403" i="1"/>
  <c r="G3403" i="1"/>
  <c r="I3402" i="1"/>
  <c r="H3402" i="1"/>
  <c r="G3402" i="1"/>
  <c r="I3401" i="1"/>
  <c r="H3401" i="1"/>
  <c r="G3401" i="1"/>
  <c r="I3400" i="1"/>
  <c r="H3400" i="1"/>
  <c r="G3400" i="1"/>
  <c r="I3399" i="1"/>
  <c r="H3399" i="1"/>
  <c r="G3399" i="1"/>
  <c r="I3398" i="1"/>
  <c r="H3398" i="1"/>
  <c r="G3398" i="1"/>
  <c r="I3397" i="1"/>
  <c r="H3397" i="1"/>
  <c r="G3397" i="1"/>
  <c r="I3396" i="1"/>
  <c r="H3396" i="1"/>
  <c r="G3396" i="1"/>
  <c r="I3395" i="1"/>
  <c r="H3395" i="1"/>
  <c r="G3395" i="1"/>
  <c r="I3394" i="1"/>
  <c r="H3394" i="1"/>
  <c r="G3394" i="1"/>
  <c r="I3393" i="1"/>
  <c r="H3393" i="1"/>
  <c r="G3393" i="1"/>
  <c r="I3392" i="1"/>
  <c r="H3392" i="1"/>
  <c r="G3392" i="1"/>
  <c r="I3391" i="1"/>
  <c r="H3391" i="1"/>
  <c r="G3391" i="1"/>
  <c r="I3390" i="1"/>
  <c r="H3390" i="1"/>
  <c r="G3390" i="1"/>
  <c r="I3389" i="1"/>
  <c r="H3389" i="1"/>
  <c r="G3389" i="1"/>
  <c r="I3388" i="1"/>
  <c r="H3388" i="1"/>
  <c r="G3388" i="1"/>
  <c r="I3387" i="1"/>
  <c r="H3387" i="1"/>
  <c r="G3387" i="1"/>
  <c r="I3386" i="1"/>
  <c r="H3386" i="1"/>
  <c r="G3386" i="1"/>
  <c r="I3385" i="1"/>
  <c r="H3385" i="1"/>
  <c r="G3385" i="1"/>
  <c r="I3384" i="1"/>
  <c r="H3384" i="1"/>
  <c r="G3384" i="1"/>
  <c r="I3383" i="1"/>
  <c r="H3383" i="1"/>
  <c r="G3383" i="1"/>
  <c r="I3382" i="1"/>
  <c r="H3382" i="1"/>
  <c r="G3382" i="1"/>
  <c r="I3381" i="1"/>
  <c r="H3381" i="1"/>
  <c r="G3381" i="1"/>
  <c r="I3380" i="1"/>
  <c r="H3380" i="1"/>
  <c r="G3380" i="1"/>
  <c r="I3379" i="1"/>
  <c r="H3379" i="1"/>
  <c r="G3379" i="1"/>
  <c r="I3378" i="1"/>
  <c r="H3378" i="1"/>
  <c r="G3378" i="1"/>
  <c r="I3377" i="1"/>
  <c r="H3377" i="1"/>
  <c r="G3377" i="1"/>
  <c r="I3376" i="1"/>
  <c r="H3376" i="1"/>
  <c r="G3376" i="1"/>
  <c r="I3375" i="1"/>
  <c r="H3375" i="1"/>
  <c r="G3375" i="1"/>
  <c r="I3374" i="1"/>
  <c r="H3374" i="1"/>
  <c r="G3374" i="1"/>
  <c r="I3373" i="1"/>
  <c r="H3373" i="1"/>
  <c r="G3373" i="1"/>
  <c r="I3372" i="1"/>
  <c r="H3372" i="1"/>
  <c r="G3372" i="1"/>
  <c r="I3371" i="1"/>
  <c r="H3371" i="1"/>
  <c r="G3371" i="1"/>
  <c r="I3370" i="1"/>
  <c r="H3370" i="1"/>
  <c r="G3370" i="1"/>
  <c r="I3369" i="1"/>
  <c r="H3369" i="1"/>
  <c r="G3369" i="1"/>
  <c r="I3368" i="1"/>
  <c r="H3368" i="1"/>
  <c r="G3368" i="1"/>
  <c r="I3367" i="1"/>
  <c r="H3367" i="1"/>
  <c r="G3367" i="1"/>
  <c r="I3366" i="1"/>
  <c r="H3366" i="1"/>
  <c r="G3366" i="1"/>
  <c r="I3365" i="1"/>
  <c r="H3365" i="1"/>
  <c r="G3365" i="1"/>
  <c r="I3364" i="1"/>
  <c r="H3364" i="1"/>
  <c r="G3364" i="1"/>
  <c r="I3363" i="1"/>
  <c r="H3363" i="1"/>
  <c r="G3363" i="1"/>
  <c r="I3362" i="1"/>
  <c r="H3362" i="1"/>
  <c r="G3362" i="1"/>
  <c r="I3361" i="1"/>
  <c r="H3361" i="1"/>
  <c r="G3361" i="1"/>
  <c r="I3360" i="1"/>
  <c r="H3360" i="1"/>
  <c r="G3360" i="1"/>
  <c r="I3359" i="1"/>
  <c r="H3359" i="1"/>
  <c r="G3359" i="1"/>
  <c r="I3358" i="1"/>
  <c r="H3358" i="1"/>
  <c r="G3358" i="1"/>
  <c r="I3357" i="1"/>
  <c r="H3357" i="1"/>
  <c r="G3357" i="1"/>
  <c r="I3356" i="1"/>
  <c r="H3356" i="1"/>
  <c r="G3356" i="1"/>
  <c r="I3355" i="1"/>
  <c r="H3355" i="1"/>
  <c r="G3355" i="1"/>
  <c r="I3354" i="1"/>
  <c r="H3354" i="1"/>
  <c r="G3354" i="1"/>
  <c r="I3353" i="1"/>
  <c r="H3353" i="1"/>
  <c r="G3353" i="1"/>
  <c r="I3352" i="1"/>
  <c r="H3352" i="1"/>
  <c r="G3352" i="1"/>
  <c r="I3351" i="1"/>
  <c r="H3351" i="1"/>
  <c r="G3351" i="1"/>
  <c r="I3350" i="1"/>
  <c r="H3350" i="1"/>
  <c r="G3350" i="1"/>
  <c r="I3349" i="1"/>
  <c r="H3349" i="1"/>
  <c r="G3349" i="1"/>
  <c r="I3348" i="1"/>
  <c r="H3348" i="1"/>
  <c r="G3348" i="1"/>
  <c r="I3347" i="1"/>
  <c r="H3347" i="1"/>
  <c r="G3347" i="1"/>
  <c r="I3346" i="1"/>
  <c r="H3346" i="1"/>
  <c r="G3346" i="1"/>
  <c r="I3345" i="1"/>
  <c r="H3345" i="1"/>
  <c r="G3345" i="1"/>
  <c r="I3344" i="1"/>
  <c r="H3344" i="1"/>
  <c r="G3344" i="1"/>
  <c r="I3343" i="1"/>
  <c r="H3343" i="1"/>
  <c r="G3343" i="1"/>
  <c r="I3342" i="1"/>
  <c r="H3342" i="1"/>
  <c r="G3342" i="1"/>
  <c r="I3341" i="1"/>
  <c r="H3341" i="1"/>
  <c r="G3341" i="1"/>
  <c r="I3340" i="1"/>
  <c r="H3340" i="1"/>
  <c r="G3340" i="1"/>
  <c r="I3339" i="1"/>
  <c r="H3339" i="1"/>
  <c r="G3339" i="1"/>
  <c r="I3338" i="1"/>
  <c r="H3338" i="1"/>
  <c r="G3338" i="1"/>
  <c r="I3337" i="1"/>
  <c r="H3337" i="1"/>
  <c r="G3337" i="1"/>
  <c r="I3336" i="1"/>
  <c r="H3336" i="1"/>
  <c r="G3336" i="1"/>
  <c r="I3335" i="1"/>
  <c r="H3335" i="1"/>
  <c r="G3335" i="1"/>
  <c r="I3334" i="1"/>
  <c r="H3334" i="1"/>
  <c r="G3334" i="1"/>
  <c r="I3333" i="1"/>
  <c r="H3333" i="1"/>
  <c r="G3333" i="1"/>
  <c r="I3332" i="1"/>
  <c r="H3332" i="1"/>
  <c r="G3332" i="1"/>
  <c r="I3331" i="1"/>
  <c r="H3331" i="1"/>
  <c r="G3331" i="1"/>
  <c r="I3330" i="1"/>
  <c r="H3330" i="1"/>
  <c r="G3330" i="1"/>
  <c r="I3329" i="1"/>
  <c r="H3329" i="1"/>
  <c r="G3329" i="1"/>
  <c r="I3328" i="1"/>
  <c r="H3328" i="1"/>
  <c r="G3328" i="1"/>
  <c r="I3327" i="1"/>
  <c r="H3327" i="1"/>
  <c r="G3327" i="1"/>
  <c r="I3326" i="1"/>
  <c r="H3326" i="1"/>
  <c r="G3326" i="1"/>
  <c r="I3325" i="1"/>
  <c r="H3325" i="1"/>
  <c r="G3325" i="1"/>
  <c r="I3324" i="1"/>
  <c r="H3324" i="1"/>
  <c r="G3324" i="1"/>
  <c r="I3323" i="1"/>
  <c r="H3323" i="1"/>
  <c r="G3323" i="1"/>
  <c r="I3322" i="1"/>
  <c r="H3322" i="1"/>
  <c r="G3322" i="1"/>
  <c r="I3321" i="1"/>
  <c r="H3321" i="1"/>
  <c r="G3321" i="1"/>
  <c r="I3320" i="1"/>
  <c r="H3320" i="1"/>
  <c r="G3320" i="1"/>
  <c r="I3319" i="1"/>
  <c r="H3319" i="1"/>
  <c r="G3319" i="1"/>
  <c r="I3318" i="1"/>
  <c r="H3318" i="1"/>
  <c r="G3318" i="1"/>
  <c r="I3317" i="1"/>
  <c r="H3317" i="1"/>
  <c r="G3317" i="1"/>
  <c r="I3316" i="1"/>
  <c r="H3316" i="1"/>
  <c r="G3316" i="1"/>
  <c r="I3315" i="1"/>
  <c r="H3315" i="1"/>
  <c r="G3315" i="1"/>
  <c r="I3314" i="1"/>
  <c r="H3314" i="1"/>
  <c r="G3314" i="1"/>
  <c r="I3313" i="1"/>
  <c r="H3313" i="1"/>
  <c r="G3313" i="1"/>
  <c r="I3312" i="1"/>
  <c r="H3312" i="1"/>
  <c r="G3312" i="1"/>
  <c r="I3311" i="1"/>
  <c r="H3311" i="1"/>
  <c r="G3311" i="1"/>
  <c r="I3310" i="1"/>
  <c r="H3310" i="1"/>
  <c r="G3310" i="1"/>
  <c r="I3309" i="1"/>
  <c r="H3309" i="1"/>
  <c r="G3309" i="1"/>
  <c r="I3308" i="1"/>
  <c r="H3308" i="1"/>
  <c r="G3308" i="1"/>
  <c r="I3307" i="1"/>
  <c r="H3307" i="1"/>
  <c r="G3307" i="1"/>
  <c r="I3306" i="1"/>
  <c r="H3306" i="1"/>
  <c r="G3306" i="1"/>
  <c r="I3305" i="1"/>
  <c r="H3305" i="1"/>
  <c r="G3305" i="1"/>
  <c r="I3304" i="1"/>
  <c r="H3304" i="1"/>
  <c r="G3304" i="1"/>
  <c r="I3303" i="1"/>
  <c r="H3303" i="1"/>
  <c r="G3303" i="1"/>
  <c r="I3302" i="1"/>
  <c r="H3302" i="1"/>
  <c r="G3302" i="1"/>
  <c r="I3301" i="1"/>
  <c r="H3301" i="1"/>
  <c r="G3301" i="1"/>
  <c r="I3300" i="1"/>
  <c r="H3300" i="1"/>
  <c r="G3300" i="1"/>
  <c r="I3299" i="1"/>
  <c r="H3299" i="1"/>
  <c r="G3299" i="1"/>
  <c r="I3298" i="1"/>
  <c r="H3298" i="1"/>
  <c r="G3298" i="1"/>
  <c r="I3297" i="1"/>
  <c r="H3297" i="1"/>
  <c r="G3297" i="1"/>
  <c r="I3296" i="1"/>
  <c r="H3296" i="1"/>
  <c r="G3296" i="1"/>
  <c r="I3295" i="1"/>
  <c r="H3295" i="1"/>
  <c r="G3295" i="1"/>
  <c r="I3294" i="1"/>
  <c r="H3294" i="1"/>
  <c r="G3294" i="1"/>
  <c r="I3293" i="1"/>
  <c r="H3293" i="1"/>
  <c r="G3293" i="1"/>
  <c r="I3292" i="1"/>
  <c r="H3292" i="1"/>
  <c r="G3292" i="1"/>
  <c r="I3291" i="1"/>
  <c r="H3291" i="1"/>
  <c r="G3291" i="1"/>
  <c r="I3290" i="1"/>
  <c r="H3290" i="1"/>
  <c r="G3290" i="1"/>
  <c r="I3289" i="1"/>
  <c r="H3289" i="1"/>
  <c r="G3289" i="1"/>
  <c r="I3288" i="1"/>
  <c r="H3288" i="1"/>
  <c r="G3288" i="1"/>
  <c r="I3287" i="1"/>
  <c r="H3287" i="1"/>
  <c r="G3287" i="1"/>
  <c r="I3286" i="1"/>
  <c r="H3286" i="1"/>
  <c r="G3286" i="1"/>
  <c r="I3285" i="1"/>
  <c r="H3285" i="1"/>
  <c r="G3285" i="1"/>
  <c r="I3284" i="1"/>
  <c r="H3284" i="1"/>
  <c r="G3284" i="1"/>
  <c r="I3283" i="1"/>
  <c r="H3283" i="1"/>
  <c r="G3283" i="1"/>
  <c r="I3282" i="1"/>
  <c r="H3282" i="1"/>
  <c r="G3282" i="1"/>
  <c r="I3281" i="1"/>
  <c r="H3281" i="1"/>
  <c r="G3281" i="1"/>
  <c r="I3280" i="1"/>
  <c r="H3280" i="1"/>
  <c r="G3280" i="1"/>
  <c r="I3279" i="1"/>
  <c r="H3279" i="1"/>
  <c r="G3279" i="1"/>
  <c r="I3278" i="1"/>
  <c r="H3278" i="1"/>
  <c r="G3278" i="1"/>
  <c r="I3277" i="1"/>
  <c r="H3277" i="1"/>
  <c r="G3277" i="1"/>
  <c r="I3276" i="1"/>
  <c r="H3276" i="1"/>
  <c r="G3276" i="1"/>
  <c r="I3275" i="1"/>
  <c r="H3275" i="1"/>
  <c r="G3275" i="1"/>
  <c r="I3274" i="1"/>
  <c r="H3274" i="1"/>
  <c r="G3274" i="1"/>
  <c r="I3273" i="1"/>
  <c r="H3273" i="1"/>
  <c r="G3273" i="1"/>
  <c r="I3272" i="1"/>
  <c r="H3272" i="1"/>
  <c r="G3272" i="1"/>
  <c r="I3271" i="1"/>
  <c r="H3271" i="1"/>
  <c r="G3271" i="1"/>
  <c r="I3270" i="1"/>
  <c r="H3270" i="1"/>
  <c r="G3270" i="1"/>
  <c r="I3269" i="1"/>
  <c r="H3269" i="1"/>
  <c r="G3269" i="1"/>
  <c r="I3268" i="1"/>
  <c r="H3268" i="1"/>
  <c r="G3268" i="1"/>
  <c r="I3267" i="1"/>
  <c r="H3267" i="1"/>
  <c r="G3267" i="1"/>
  <c r="I3266" i="1"/>
  <c r="H3266" i="1"/>
  <c r="G3266" i="1"/>
  <c r="I3265" i="1"/>
  <c r="H3265" i="1"/>
  <c r="G3265" i="1"/>
  <c r="I3264" i="1"/>
  <c r="H3264" i="1"/>
  <c r="G3264" i="1"/>
  <c r="I3263" i="1"/>
  <c r="H3263" i="1"/>
  <c r="G3263" i="1"/>
  <c r="I3262" i="1"/>
  <c r="H3262" i="1"/>
  <c r="G3262" i="1"/>
  <c r="I3261" i="1"/>
  <c r="H3261" i="1"/>
  <c r="G3261" i="1"/>
  <c r="I3260" i="1"/>
  <c r="H3260" i="1"/>
  <c r="G3260" i="1"/>
  <c r="I3259" i="1"/>
  <c r="H3259" i="1"/>
  <c r="G3259" i="1"/>
  <c r="I3258" i="1"/>
  <c r="H3258" i="1"/>
  <c r="G3258" i="1"/>
  <c r="I3257" i="1"/>
  <c r="H3257" i="1"/>
  <c r="G3257" i="1"/>
  <c r="I3256" i="1"/>
  <c r="H3256" i="1"/>
  <c r="G3256" i="1"/>
  <c r="I3255" i="1"/>
  <c r="H3255" i="1"/>
  <c r="G3255" i="1"/>
  <c r="I3254" i="1"/>
  <c r="H3254" i="1"/>
  <c r="G3254" i="1"/>
  <c r="I3253" i="1"/>
  <c r="H3253" i="1"/>
  <c r="G3253" i="1"/>
  <c r="I3252" i="1"/>
  <c r="H3252" i="1"/>
  <c r="G3252" i="1"/>
  <c r="I3251" i="1"/>
  <c r="H3251" i="1"/>
  <c r="G3251" i="1"/>
  <c r="I3250" i="1"/>
  <c r="H3250" i="1"/>
  <c r="G3250" i="1"/>
  <c r="I3249" i="1"/>
  <c r="H3249" i="1"/>
  <c r="G3249" i="1"/>
  <c r="I3248" i="1"/>
  <c r="H3248" i="1"/>
  <c r="G3248" i="1"/>
  <c r="I3247" i="1"/>
  <c r="H3247" i="1"/>
  <c r="G3247" i="1"/>
  <c r="I3246" i="1"/>
  <c r="H3246" i="1"/>
  <c r="G3246" i="1"/>
  <c r="I3245" i="1"/>
  <c r="H3245" i="1"/>
  <c r="G3245" i="1"/>
  <c r="I3244" i="1"/>
  <c r="H3244" i="1"/>
  <c r="G3244" i="1"/>
  <c r="I3243" i="1"/>
  <c r="H3243" i="1"/>
  <c r="G3243" i="1"/>
  <c r="I3242" i="1"/>
  <c r="H3242" i="1"/>
  <c r="G3242" i="1"/>
  <c r="I3241" i="1"/>
  <c r="H3241" i="1"/>
  <c r="G3241" i="1"/>
  <c r="I3240" i="1"/>
  <c r="H3240" i="1"/>
  <c r="G3240" i="1"/>
  <c r="I3239" i="1"/>
  <c r="H3239" i="1"/>
  <c r="G3239" i="1"/>
  <c r="I3238" i="1"/>
  <c r="H3238" i="1"/>
  <c r="G3238" i="1"/>
  <c r="I3237" i="1"/>
  <c r="H3237" i="1"/>
  <c r="G3237" i="1"/>
  <c r="I3236" i="1"/>
  <c r="H3236" i="1"/>
  <c r="G3236" i="1"/>
  <c r="I3235" i="1"/>
  <c r="H3235" i="1"/>
  <c r="G3235" i="1"/>
  <c r="I3234" i="1"/>
  <c r="H3234" i="1"/>
  <c r="G3234" i="1"/>
  <c r="I3233" i="1"/>
  <c r="H3233" i="1"/>
  <c r="G3233" i="1"/>
  <c r="I3232" i="1"/>
  <c r="H3232" i="1"/>
  <c r="G3232" i="1"/>
  <c r="I3231" i="1"/>
  <c r="H3231" i="1"/>
  <c r="G3231" i="1"/>
  <c r="I3230" i="1"/>
  <c r="H3230" i="1"/>
  <c r="G3230" i="1"/>
  <c r="I3229" i="1"/>
  <c r="H3229" i="1"/>
  <c r="G3229" i="1"/>
  <c r="I3228" i="1"/>
  <c r="H3228" i="1"/>
  <c r="G3228" i="1"/>
  <c r="I3227" i="1"/>
  <c r="H3227" i="1"/>
  <c r="G3227" i="1"/>
  <c r="I3226" i="1"/>
  <c r="H3226" i="1"/>
  <c r="G3226" i="1"/>
  <c r="I3225" i="1"/>
  <c r="H3225" i="1"/>
  <c r="G3225" i="1"/>
  <c r="I3224" i="1"/>
  <c r="H3224" i="1"/>
  <c r="G3224" i="1"/>
  <c r="I3223" i="1"/>
  <c r="H3223" i="1"/>
  <c r="G3223" i="1"/>
  <c r="I3222" i="1"/>
  <c r="H3222" i="1"/>
  <c r="G3222" i="1"/>
  <c r="I3221" i="1"/>
  <c r="H3221" i="1"/>
  <c r="G3221" i="1"/>
  <c r="I3220" i="1"/>
  <c r="H3220" i="1"/>
  <c r="G3220" i="1"/>
  <c r="I3219" i="1"/>
  <c r="H3219" i="1"/>
  <c r="G3219" i="1"/>
  <c r="I3218" i="1"/>
  <c r="H3218" i="1"/>
  <c r="G3218" i="1"/>
  <c r="I3217" i="1"/>
  <c r="H3217" i="1"/>
  <c r="G3217" i="1"/>
  <c r="I3216" i="1"/>
  <c r="H3216" i="1"/>
  <c r="G3216" i="1"/>
  <c r="I3215" i="1"/>
  <c r="H3215" i="1"/>
  <c r="G3215" i="1"/>
  <c r="I3214" i="1"/>
  <c r="H3214" i="1"/>
  <c r="G3214" i="1"/>
  <c r="I3213" i="1"/>
  <c r="H3213" i="1"/>
  <c r="G3213" i="1"/>
  <c r="I3212" i="1"/>
  <c r="H3212" i="1"/>
  <c r="G3212" i="1"/>
  <c r="I3211" i="1"/>
  <c r="H3211" i="1"/>
  <c r="G3211" i="1"/>
  <c r="I3210" i="1"/>
  <c r="H3210" i="1"/>
  <c r="G3210" i="1"/>
  <c r="I3209" i="1"/>
  <c r="H3209" i="1"/>
  <c r="G3209" i="1"/>
  <c r="I3208" i="1"/>
  <c r="H3208" i="1"/>
  <c r="G3208" i="1"/>
  <c r="I3207" i="1"/>
  <c r="H3207" i="1"/>
  <c r="G3207" i="1"/>
  <c r="I3206" i="1"/>
  <c r="H3206" i="1"/>
  <c r="G3206" i="1"/>
  <c r="I3205" i="1"/>
  <c r="H3205" i="1"/>
  <c r="G3205" i="1"/>
  <c r="I3204" i="1"/>
  <c r="H3204" i="1"/>
  <c r="G3204" i="1"/>
  <c r="I3203" i="1"/>
  <c r="H3203" i="1"/>
  <c r="G3203" i="1"/>
  <c r="I3202" i="1"/>
  <c r="H3202" i="1"/>
  <c r="G3202" i="1"/>
  <c r="I3201" i="1"/>
  <c r="H3201" i="1"/>
  <c r="G3201" i="1"/>
  <c r="I3200" i="1"/>
  <c r="H3200" i="1"/>
  <c r="G3200" i="1"/>
  <c r="I3199" i="1"/>
  <c r="H3199" i="1"/>
  <c r="G3199" i="1"/>
  <c r="I3198" i="1"/>
  <c r="H3198" i="1"/>
  <c r="G3198" i="1"/>
  <c r="I3197" i="1"/>
  <c r="H3197" i="1"/>
  <c r="G3197" i="1"/>
  <c r="I3196" i="1"/>
  <c r="H3196" i="1"/>
  <c r="G3196" i="1"/>
  <c r="I3195" i="1"/>
  <c r="H3195" i="1"/>
  <c r="G3195" i="1"/>
  <c r="I3194" i="1"/>
  <c r="H3194" i="1"/>
  <c r="G3194" i="1"/>
  <c r="I3193" i="1"/>
  <c r="H3193" i="1"/>
  <c r="G3193" i="1"/>
  <c r="I3192" i="1"/>
  <c r="H3192" i="1"/>
  <c r="G3192" i="1"/>
  <c r="I3191" i="1"/>
  <c r="H3191" i="1"/>
  <c r="G3191" i="1"/>
  <c r="I3190" i="1"/>
  <c r="H3190" i="1"/>
  <c r="G3190" i="1"/>
  <c r="I3189" i="1"/>
  <c r="H3189" i="1"/>
  <c r="G3189" i="1"/>
  <c r="I3188" i="1"/>
  <c r="H3188" i="1"/>
  <c r="G3188" i="1"/>
  <c r="I3187" i="1"/>
  <c r="H3187" i="1"/>
  <c r="G3187" i="1"/>
  <c r="I3186" i="1"/>
  <c r="H3186" i="1"/>
  <c r="G3186" i="1"/>
  <c r="I3185" i="1"/>
  <c r="H3185" i="1"/>
  <c r="G3185" i="1"/>
  <c r="I3184" i="1"/>
  <c r="H3184" i="1"/>
  <c r="G3184" i="1"/>
  <c r="I3183" i="1"/>
  <c r="H3183" i="1"/>
  <c r="G3183" i="1"/>
  <c r="I3182" i="1"/>
  <c r="H3182" i="1"/>
  <c r="G3182" i="1"/>
  <c r="I3181" i="1"/>
  <c r="H3181" i="1"/>
  <c r="G3181" i="1"/>
  <c r="I3180" i="1"/>
  <c r="H3180" i="1"/>
  <c r="G3180" i="1"/>
  <c r="I3179" i="1"/>
  <c r="H3179" i="1"/>
  <c r="G3179" i="1"/>
  <c r="I3178" i="1"/>
  <c r="H3178" i="1"/>
  <c r="G3178" i="1"/>
  <c r="I3177" i="1"/>
  <c r="H3177" i="1"/>
  <c r="G3177" i="1"/>
  <c r="I3176" i="1"/>
  <c r="H3176" i="1"/>
  <c r="G3176" i="1"/>
  <c r="I3175" i="1"/>
  <c r="H3175" i="1"/>
  <c r="G3175" i="1"/>
  <c r="I3174" i="1"/>
  <c r="H3174" i="1"/>
  <c r="G3174" i="1"/>
  <c r="I3173" i="1"/>
  <c r="H3173" i="1"/>
  <c r="G3173" i="1"/>
  <c r="I3172" i="1"/>
  <c r="H3172" i="1"/>
  <c r="G3172" i="1"/>
  <c r="I3171" i="1"/>
  <c r="H3171" i="1"/>
  <c r="G3171" i="1"/>
  <c r="I3170" i="1"/>
  <c r="H3170" i="1"/>
  <c r="G3170" i="1"/>
  <c r="I3169" i="1"/>
  <c r="H3169" i="1"/>
  <c r="G3169" i="1"/>
  <c r="I3168" i="1"/>
  <c r="H3168" i="1"/>
  <c r="G3168" i="1"/>
  <c r="I3167" i="1"/>
  <c r="H3167" i="1"/>
  <c r="G3167" i="1"/>
  <c r="I3166" i="1"/>
  <c r="H3166" i="1"/>
  <c r="G3166" i="1"/>
  <c r="I3165" i="1"/>
  <c r="H3165" i="1"/>
  <c r="G3165" i="1"/>
  <c r="I3164" i="1"/>
  <c r="H3164" i="1"/>
  <c r="G3164" i="1"/>
  <c r="I3163" i="1"/>
  <c r="H3163" i="1"/>
  <c r="G3163" i="1"/>
  <c r="I3162" i="1"/>
  <c r="H3162" i="1"/>
  <c r="G3162" i="1"/>
  <c r="I3161" i="1"/>
  <c r="H3161" i="1"/>
  <c r="G3161" i="1"/>
  <c r="I3160" i="1"/>
  <c r="H3160" i="1"/>
  <c r="G3160" i="1"/>
  <c r="I3159" i="1"/>
  <c r="H3159" i="1"/>
  <c r="G3159" i="1"/>
  <c r="I3158" i="1"/>
  <c r="H3158" i="1"/>
  <c r="G3158" i="1"/>
  <c r="I3157" i="1"/>
  <c r="H3157" i="1"/>
  <c r="G3157" i="1"/>
  <c r="I3156" i="1"/>
  <c r="H3156" i="1"/>
  <c r="G3156" i="1"/>
  <c r="I3155" i="1"/>
  <c r="H3155" i="1"/>
  <c r="G3155" i="1"/>
  <c r="I3154" i="1"/>
  <c r="H3154" i="1"/>
  <c r="G3154" i="1"/>
  <c r="I3153" i="1"/>
  <c r="H3153" i="1"/>
  <c r="G3153" i="1"/>
  <c r="I3152" i="1"/>
  <c r="H3152" i="1"/>
  <c r="G3152" i="1"/>
  <c r="I3151" i="1"/>
  <c r="H3151" i="1"/>
  <c r="G3151" i="1"/>
  <c r="I3150" i="1"/>
  <c r="H3150" i="1"/>
  <c r="G3150" i="1"/>
  <c r="I3149" i="1"/>
  <c r="H3149" i="1"/>
  <c r="G3149" i="1"/>
  <c r="I3148" i="1"/>
  <c r="H3148" i="1"/>
  <c r="G3148" i="1"/>
  <c r="I3147" i="1"/>
  <c r="H3147" i="1"/>
  <c r="G3147" i="1"/>
  <c r="I3146" i="1"/>
  <c r="H3146" i="1"/>
  <c r="G3146" i="1"/>
  <c r="I3145" i="1"/>
  <c r="H3145" i="1"/>
  <c r="G3145" i="1"/>
  <c r="I3144" i="1"/>
  <c r="H3144" i="1"/>
  <c r="G3144" i="1"/>
  <c r="I3143" i="1"/>
  <c r="H3143" i="1"/>
  <c r="G3143" i="1"/>
  <c r="I3142" i="1"/>
  <c r="H3142" i="1"/>
  <c r="G3142" i="1"/>
  <c r="I3141" i="1"/>
  <c r="H3141" i="1"/>
  <c r="G3141" i="1"/>
  <c r="I3140" i="1"/>
  <c r="H3140" i="1"/>
  <c r="G3140" i="1"/>
  <c r="I3139" i="1"/>
  <c r="H3139" i="1"/>
  <c r="G3139" i="1"/>
  <c r="I3138" i="1"/>
  <c r="H3138" i="1"/>
  <c r="G3138" i="1"/>
  <c r="I3137" i="1"/>
  <c r="H3137" i="1"/>
  <c r="G3137" i="1"/>
  <c r="I3136" i="1"/>
  <c r="H3136" i="1"/>
  <c r="G3136" i="1"/>
  <c r="I3135" i="1"/>
  <c r="H3135" i="1"/>
  <c r="G3135" i="1"/>
  <c r="I3134" i="1"/>
  <c r="H3134" i="1"/>
  <c r="G3134" i="1"/>
  <c r="I3133" i="1"/>
  <c r="H3133" i="1"/>
  <c r="G3133" i="1"/>
  <c r="I3132" i="1"/>
  <c r="H3132" i="1"/>
  <c r="G3132" i="1"/>
  <c r="I3131" i="1"/>
  <c r="H3131" i="1"/>
  <c r="G3131" i="1"/>
  <c r="I3130" i="1"/>
  <c r="H3130" i="1"/>
  <c r="G3130" i="1"/>
  <c r="I3129" i="1"/>
  <c r="H3129" i="1"/>
  <c r="G3129" i="1"/>
  <c r="I3128" i="1"/>
  <c r="H3128" i="1"/>
  <c r="G3128" i="1"/>
  <c r="I3127" i="1"/>
  <c r="H3127" i="1"/>
  <c r="G3127" i="1"/>
  <c r="I3126" i="1"/>
  <c r="H3126" i="1"/>
  <c r="G3126" i="1"/>
  <c r="I3125" i="1"/>
  <c r="H3125" i="1"/>
  <c r="G3125" i="1"/>
  <c r="I3124" i="1"/>
  <c r="H3124" i="1"/>
  <c r="G3124" i="1"/>
  <c r="I3123" i="1"/>
  <c r="H3123" i="1"/>
  <c r="G3123" i="1"/>
  <c r="I3122" i="1"/>
  <c r="H3122" i="1"/>
  <c r="G3122" i="1"/>
  <c r="I3121" i="1"/>
  <c r="H3121" i="1"/>
  <c r="G3121" i="1"/>
  <c r="I3120" i="1"/>
  <c r="H3120" i="1"/>
  <c r="G3120" i="1"/>
  <c r="I3119" i="1"/>
  <c r="H3119" i="1"/>
  <c r="G3119" i="1"/>
  <c r="I3118" i="1"/>
  <c r="H3118" i="1"/>
  <c r="G3118" i="1"/>
  <c r="I3117" i="1"/>
  <c r="H3117" i="1"/>
  <c r="G3117" i="1"/>
  <c r="I3116" i="1"/>
  <c r="H3116" i="1"/>
  <c r="G3116" i="1"/>
  <c r="I3115" i="1"/>
  <c r="H3115" i="1"/>
  <c r="G3115" i="1"/>
  <c r="I3114" i="1"/>
  <c r="H3114" i="1"/>
  <c r="G3114" i="1"/>
  <c r="I3113" i="1"/>
  <c r="H3113" i="1"/>
  <c r="G3113" i="1"/>
  <c r="I3112" i="1"/>
  <c r="H3112" i="1"/>
  <c r="G3112" i="1"/>
  <c r="I3111" i="1"/>
  <c r="H3111" i="1"/>
  <c r="G3111" i="1"/>
  <c r="I3110" i="1"/>
  <c r="H3110" i="1"/>
  <c r="G3110" i="1"/>
  <c r="I3109" i="1"/>
  <c r="H3109" i="1"/>
  <c r="G3109" i="1"/>
  <c r="I3108" i="1"/>
  <c r="H3108" i="1"/>
  <c r="G3108" i="1"/>
  <c r="I3107" i="1"/>
  <c r="H3107" i="1"/>
  <c r="G3107" i="1"/>
  <c r="I3106" i="1"/>
  <c r="H3106" i="1"/>
  <c r="G3106" i="1"/>
  <c r="I3105" i="1"/>
  <c r="H3105" i="1"/>
  <c r="G3105" i="1"/>
  <c r="I3104" i="1"/>
  <c r="H3104" i="1"/>
  <c r="G3104" i="1"/>
  <c r="I3103" i="1"/>
  <c r="H3103" i="1"/>
  <c r="G3103" i="1"/>
  <c r="I3102" i="1"/>
  <c r="H3102" i="1"/>
  <c r="G3102" i="1"/>
  <c r="I3101" i="1"/>
  <c r="H3101" i="1"/>
  <c r="G3101" i="1"/>
  <c r="I3100" i="1"/>
  <c r="H3100" i="1"/>
  <c r="G3100" i="1"/>
  <c r="I3099" i="1"/>
  <c r="H3099" i="1"/>
  <c r="G3099" i="1"/>
  <c r="I3098" i="1"/>
  <c r="H3098" i="1"/>
  <c r="G3098" i="1"/>
  <c r="I3097" i="1"/>
  <c r="H3097" i="1"/>
  <c r="G3097" i="1"/>
  <c r="I3096" i="1"/>
  <c r="H3096" i="1"/>
  <c r="G3096" i="1"/>
  <c r="I3095" i="1"/>
  <c r="H3095" i="1"/>
  <c r="G3095" i="1"/>
  <c r="I3094" i="1"/>
  <c r="H3094" i="1"/>
  <c r="G3094" i="1"/>
  <c r="I3093" i="1"/>
  <c r="H3093" i="1"/>
  <c r="G3093" i="1"/>
  <c r="I3092" i="1"/>
  <c r="H3092" i="1"/>
  <c r="G3092" i="1"/>
  <c r="I3091" i="1"/>
  <c r="H3091" i="1"/>
  <c r="G3091" i="1"/>
  <c r="I3090" i="1"/>
  <c r="H3090" i="1"/>
  <c r="G3090" i="1"/>
  <c r="I3089" i="1"/>
  <c r="H3089" i="1"/>
  <c r="G3089" i="1"/>
  <c r="I3088" i="1"/>
  <c r="H3088" i="1"/>
  <c r="G3088" i="1"/>
  <c r="I3087" i="1"/>
  <c r="H3087" i="1"/>
  <c r="G3087" i="1"/>
  <c r="I3086" i="1"/>
  <c r="H3086" i="1"/>
  <c r="G3086" i="1"/>
  <c r="I3085" i="1"/>
  <c r="H3085" i="1"/>
  <c r="G3085" i="1"/>
  <c r="I3084" i="1"/>
  <c r="H3084" i="1"/>
  <c r="G3084" i="1"/>
  <c r="I3083" i="1"/>
  <c r="H3083" i="1"/>
  <c r="G3083" i="1"/>
  <c r="I3082" i="1"/>
  <c r="H3082" i="1"/>
  <c r="G3082" i="1"/>
  <c r="I3081" i="1"/>
  <c r="H3081" i="1"/>
  <c r="G3081" i="1"/>
  <c r="I3080" i="1"/>
  <c r="H3080" i="1"/>
  <c r="G3080" i="1"/>
  <c r="I3079" i="1"/>
  <c r="H3079" i="1"/>
  <c r="G3079" i="1"/>
  <c r="I3078" i="1"/>
  <c r="H3078" i="1"/>
  <c r="G3078" i="1"/>
  <c r="I3077" i="1"/>
  <c r="H3077" i="1"/>
  <c r="G3077" i="1"/>
  <c r="I3076" i="1"/>
  <c r="H3076" i="1"/>
  <c r="G3076" i="1"/>
  <c r="I3075" i="1"/>
  <c r="H3075" i="1"/>
  <c r="G3075" i="1"/>
  <c r="I3074" i="1"/>
  <c r="H3074" i="1"/>
  <c r="G3074" i="1"/>
  <c r="I3073" i="1"/>
  <c r="H3073" i="1"/>
  <c r="G3073" i="1"/>
  <c r="I3072" i="1"/>
  <c r="H3072" i="1"/>
  <c r="G3072" i="1"/>
  <c r="I3071" i="1"/>
  <c r="H3071" i="1"/>
  <c r="G3071" i="1"/>
  <c r="I3070" i="1"/>
  <c r="H3070" i="1"/>
  <c r="G3070" i="1"/>
  <c r="I3069" i="1"/>
  <c r="H3069" i="1"/>
  <c r="G3069" i="1"/>
  <c r="I3068" i="1"/>
  <c r="H3068" i="1"/>
  <c r="G3068" i="1"/>
  <c r="I3067" i="1"/>
  <c r="H3067" i="1"/>
  <c r="G3067" i="1"/>
  <c r="I3066" i="1"/>
  <c r="H3066" i="1"/>
  <c r="G3066" i="1"/>
  <c r="I3065" i="1"/>
  <c r="H3065" i="1"/>
  <c r="G3065" i="1"/>
  <c r="I3064" i="1"/>
  <c r="H3064" i="1"/>
  <c r="G3064" i="1"/>
  <c r="I3063" i="1"/>
  <c r="H3063" i="1"/>
  <c r="G3063" i="1"/>
  <c r="I3062" i="1"/>
  <c r="H3062" i="1"/>
  <c r="G3062" i="1"/>
  <c r="I3061" i="1"/>
  <c r="H3061" i="1"/>
  <c r="G3061" i="1"/>
  <c r="I3060" i="1"/>
  <c r="H3060" i="1"/>
  <c r="G3060" i="1"/>
  <c r="I3059" i="1"/>
  <c r="H3059" i="1"/>
  <c r="G3059" i="1"/>
  <c r="I3058" i="1"/>
  <c r="H3058" i="1"/>
  <c r="G3058" i="1"/>
  <c r="I3057" i="1"/>
  <c r="H3057" i="1"/>
  <c r="G3057" i="1"/>
  <c r="I3056" i="1"/>
  <c r="H3056" i="1"/>
  <c r="G3056" i="1"/>
  <c r="I3055" i="1"/>
  <c r="H3055" i="1"/>
  <c r="G3055" i="1"/>
  <c r="I3054" i="1"/>
  <c r="H3054" i="1"/>
  <c r="G3054" i="1"/>
  <c r="I3053" i="1"/>
  <c r="H3053" i="1"/>
  <c r="G3053" i="1"/>
  <c r="I3052" i="1"/>
  <c r="H3052" i="1"/>
  <c r="G3052" i="1"/>
  <c r="I3051" i="1"/>
  <c r="H3051" i="1"/>
  <c r="G3051" i="1"/>
  <c r="I3050" i="1"/>
  <c r="H3050" i="1"/>
  <c r="G3050" i="1"/>
  <c r="I3049" i="1"/>
  <c r="H3049" i="1"/>
  <c r="G3049" i="1"/>
  <c r="I3048" i="1"/>
  <c r="H3048" i="1"/>
  <c r="G3048" i="1"/>
  <c r="I3047" i="1"/>
  <c r="H3047" i="1"/>
  <c r="G3047" i="1"/>
  <c r="I3046" i="1"/>
  <c r="H3046" i="1"/>
  <c r="G3046" i="1"/>
  <c r="I3045" i="1"/>
  <c r="H3045" i="1"/>
  <c r="G3045" i="1"/>
  <c r="I3044" i="1"/>
  <c r="H3044" i="1"/>
  <c r="G3044" i="1"/>
  <c r="I3043" i="1"/>
  <c r="H3043" i="1"/>
  <c r="G3043" i="1"/>
  <c r="I3042" i="1"/>
  <c r="H3042" i="1"/>
  <c r="G3042" i="1"/>
  <c r="I3041" i="1"/>
  <c r="H3041" i="1"/>
  <c r="G3041" i="1"/>
  <c r="I3040" i="1"/>
  <c r="H3040" i="1"/>
  <c r="G3040" i="1"/>
  <c r="I3039" i="1"/>
  <c r="H3039" i="1"/>
  <c r="G3039" i="1"/>
  <c r="I3038" i="1"/>
  <c r="H3038" i="1"/>
  <c r="G3038" i="1"/>
  <c r="I3037" i="1"/>
  <c r="H3037" i="1"/>
  <c r="G3037" i="1"/>
  <c r="I3036" i="1"/>
  <c r="H3036" i="1"/>
  <c r="G3036" i="1"/>
  <c r="I3035" i="1"/>
  <c r="H3035" i="1"/>
  <c r="G3035" i="1"/>
  <c r="I3034" i="1"/>
  <c r="H3034" i="1"/>
  <c r="G3034" i="1"/>
  <c r="I3033" i="1"/>
  <c r="H3033" i="1"/>
  <c r="G3033" i="1"/>
  <c r="I3032" i="1"/>
  <c r="H3032" i="1"/>
  <c r="G3032" i="1"/>
  <c r="I3031" i="1"/>
  <c r="H3031" i="1"/>
  <c r="G3031" i="1"/>
  <c r="I3030" i="1"/>
  <c r="H3030" i="1"/>
  <c r="G3030" i="1"/>
  <c r="I3029" i="1"/>
  <c r="H3029" i="1"/>
  <c r="G3029" i="1"/>
  <c r="I3028" i="1"/>
  <c r="H3028" i="1"/>
  <c r="G3028" i="1"/>
  <c r="I3027" i="1"/>
  <c r="H3027" i="1"/>
  <c r="G3027" i="1"/>
  <c r="I3026" i="1"/>
  <c r="H3026" i="1"/>
  <c r="G3026" i="1"/>
  <c r="I3025" i="1"/>
  <c r="H3025" i="1"/>
  <c r="G3025" i="1"/>
  <c r="I3024" i="1"/>
  <c r="H3024" i="1"/>
  <c r="G3024" i="1"/>
  <c r="I3023" i="1"/>
  <c r="H3023" i="1"/>
  <c r="G3023" i="1"/>
  <c r="I3022" i="1"/>
  <c r="H3022" i="1"/>
  <c r="G3022" i="1"/>
  <c r="I3021" i="1"/>
  <c r="H3021" i="1"/>
  <c r="G3021" i="1"/>
  <c r="I3020" i="1"/>
  <c r="H3020" i="1"/>
  <c r="G3020" i="1"/>
  <c r="I3019" i="1"/>
  <c r="H3019" i="1"/>
  <c r="G3019" i="1"/>
  <c r="I3018" i="1"/>
  <c r="H3018" i="1"/>
  <c r="G3018" i="1"/>
  <c r="I3017" i="1"/>
  <c r="H3017" i="1"/>
  <c r="G3017" i="1"/>
  <c r="I3016" i="1"/>
  <c r="H3016" i="1"/>
  <c r="G3016" i="1"/>
  <c r="I3015" i="1"/>
  <c r="H3015" i="1"/>
  <c r="G3015" i="1"/>
  <c r="I3014" i="1"/>
  <c r="H3014" i="1"/>
  <c r="G3014" i="1"/>
  <c r="I3013" i="1"/>
  <c r="H3013" i="1"/>
  <c r="G3013" i="1"/>
  <c r="I3012" i="1"/>
  <c r="H3012" i="1"/>
  <c r="G3012" i="1"/>
  <c r="I3011" i="1"/>
  <c r="H3011" i="1"/>
  <c r="G3011" i="1"/>
  <c r="I3010" i="1"/>
  <c r="H3010" i="1"/>
  <c r="G3010" i="1"/>
  <c r="I3009" i="1"/>
  <c r="H3009" i="1"/>
  <c r="G3009" i="1"/>
  <c r="I3008" i="1"/>
  <c r="H3008" i="1"/>
  <c r="G3008" i="1"/>
  <c r="I3007" i="1"/>
  <c r="H3007" i="1"/>
  <c r="G3007" i="1"/>
  <c r="I3006" i="1"/>
  <c r="H3006" i="1"/>
  <c r="G3006" i="1"/>
  <c r="I3005" i="1"/>
  <c r="H3005" i="1"/>
  <c r="G3005" i="1"/>
  <c r="I3004" i="1"/>
  <c r="H3004" i="1"/>
  <c r="G3004" i="1"/>
  <c r="I3003" i="1"/>
  <c r="H3003" i="1"/>
  <c r="G3003" i="1"/>
  <c r="I3002" i="1"/>
  <c r="H3002" i="1"/>
  <c r="G3002" i="1"/>
  <c r="I3001" i="1"/>
  <c r="H3001" i="1"/>
  <c r="G3001" i="1"/>
  <c r="I3000" i="1"/>
  <c r="H3000" i="1"/>
  <c r="G3000" i="1"/>
  <c r="I2999" i="1"/>
  <c r="H2999" i="1"/>
  <c r="G2999" i="1"/>
  <c r="I2998" i="1"/>
  <c r="H2998" i="1"/>
  <c r="G2998" i="1"/>
  <c r="I2997" i="1"/>
  <c r="H2997" i="1"/>
  <c r="G2997" i="1"/>
  <c r="I2996" i="1"/>
  <c r="H2996" i="1"/>
  <c r="G2996" i="1"/>
  <c r="I2995" i="1"/>
  <c r="H2995" i="1"/>
  <c r="G2995" i="1"/>
  <c r="I2994" i="1"/>
  <c r="H2994" i="1"/>
  <c r="G2994" i="1"/>
  <c r="I2993" i="1"/>
  <c r="H2993" i="1"/>
  <c r="G2993" i="1"/>
  <c r="I2992" i="1"/>
  <c r="H2992" i="1"/>
  <c r="G2992" i="1"/>
  <c r="I2991" i="1"/>
  <c r="H2991" i="1"/>
  <c r="G2991" i="1"/>
  <c r="I2990" i="1"/>
  <c r="H2990" i="1"/>
  <c r="G2990" i="1"/>
  <c r="I2989" i="1"/>
  <c r="H2989" i="1"/>
  <c r="G2989" i="1"/>
  <c r="I2988" i="1"/>
  <c r="H2988" i="1"/>
  <c r="G2988" i="1"/>
  <c r="I2987" i="1"/>
  <c r="H2987" i="1"/>
  <c r="G2987" i="1"/>
  <c r="I2986" i="1"/>
  <c r="H2986" i="1"/>
  <c r="G2986" i="1"/>
  <c r="I2985" i="1"/>
  <c r="H2985" i="1"/>
  <c r="G2985" i="1"/>
  <c r="I2984" i="1"/>
  <c r="H2984" i="1"/>
  <c r="G2984" i="1"/>
  <c r="I2983" i="1"/>
  <c r="H2983" i="1"/>
  <c r="G2983" i="1"/>
  <c r="I2982" i="1"/>
  <c r="H2982" i="1"/>
  <c r="G2982" i="1"/>
  <c r="I2981" i="1"/>
  <c r="H2981" i="1"/>
  <c r="G2981" i="1"/>
  <c r="I2980" i="1"/>
  <c r="H2980" i="1"/>
  <c r="G2980" i="1"/>
  <c r="I2979" i="1"/>
  <c r="H2979" i="1"/>
  <c r="G2979" i="1"/>
  <c r="I2978" i="1"/>
  <c r="H2978" i="1"/>
  <c r="G2978" i="1"/>
  <c r="I2977" i="1"/>
  <c r="H2977" i="1"/>
  <c r="G2977" i="1"/>
  <c r="I2976" i="1"/>
  <c r="H2976" i="1"/>
  <c r="G2976" i="1"/>
  <c r="I2975" i="1"/>
  <c r="H2975" i="1"/>
  <c r="G2975" i="1"/>
  <c r="I2974" i="1"/>
  <c r="H2974" i="1"/>
  <c r="G2974" i="1"/>
  <c r="I2973" i="1"/>
  <c r="H2973" i="1"/>
  <c r="G2973" i="1"/>
  <c r="I2972" i="1"/>
  <c r="H2972" i="1"/>
  <c r="G2972" i="1"/>
  <c r="I2971" i="1"/>
  <c r="H2971" i="1"/>
  <c r="G2971" i="1"/>
  <c r="I2970" i="1"/>
  <c r="H2970" i="1"/>
  <c r="G2970" i="1"/>
  <c r="I2969" i="1"/>
  <c r="H2969" i="1"/>
  <c r="G2969" i="1"/>
  <c r="I2968" i="1"/>
  <c r="H2968" i="1"/>
  <c r="G2968" i="1"/>
  <c r="I2967" i="1"/>
  <c r="H2967" i="1"/>
  <c r="G2967" i="1"/>
  <c r="I2966" i="1"/>
  <c r="H2966" i="1"/>
  <c r="G2966" i="1"/>
  <c r="I2965" i="1"/>
  <c r="H2965" i="1"/>
  <c r="G2965" i="1"/>
  <c r="I2964" i="1"/>
  <c r="H2964" i="1"/>
  <c r="G2964" i="1"/>
  <c r="I2963" i="1"/>
  <c r="H2963" i="1"/>
  <c r="G2963" i="1"/>
  <c r="I2962" i="1"/>
  <c r="H2962" i="1"/>
  <c r="G2962" i="1"/>
  <c r="I2961" i="1"/>
  <c r="H2961" i="1"/>
  <c r="G2961" i="1"/>
  <c r="I2960" i="1"/>
  <c r="H2960" i="1"/>
  <c r="G2960" i="1"/>
  <c r="I2959" i="1"/>
  <c r="H2959" i="1"/>
  <c r="G2959" i="1"/>
  <c r="I2958" i="1"/>
  <c r="H2958" i="1"/>
  <c r="G2958" i="1"/>
  <c r="I2957" i="1"/>
  <c r="H2957" i="1"/>
  <c r="G2957" i="1"/>
  <c r="I2956" i="1"/>
  <c r="H2956" i="1"/>
  <c r="G2956" i="1"/>
  <c r="I2955" i="1"/>
  <c r="H2955" i="1"/>
  <c r="G2955" i="1"/>
  <c r="I2954" i="1"/>
  <c r="H2954" i="1"/>
  <c r="G2954" i="1"/>
  <c r="I2953" i="1"/>
  <c r="H2953" i="1"/>
  <c r="G2953" i="1"/>
  <c r="I2952" i="1"/>
  <c r="H2952" i="1"/>
  <c r="G2952" i="1"/>
  <c r="I2951" i="1"/>
  <c r="H2951" i="1"/>
  <c r="G2951" i="1"/>
  <c r="I2950" i="1"/>
  <c r="H2950" i="1"/>
  <c r="G2950" i="1"/>
  <c r="I2949" i="1"/>
  <c r="H2949" i="1"/>
  <c r="G2949" i="1"/>
  <c r="I2948" i="1"/>
  <c r="H2948" i="1"/>
  <c r="G2948" i="1"/>
  <c r="I2947" i="1"/>
  <c r="H2947" i="1"/>
  <c r="G2947" i="1"/>
  <c r="I2946" i="1"/>
  <c r="H2946" i="1"/>
  <c r="G2946" i="1"/>
  <c r="I2945" i="1"/>
  <c r="H2945" i="1"/>
  <c r="G2945" i="1"/>
  <c r="I2944" i="1"/>
  <c r="H2944" i="1"/>
  <c r="G2944" i="1"/>
  <c r="I2943" i="1"/>
  <c r="H2943" i="1"/>
  <c r="G2943" i="1"/>
  <c r="I2942" i="1"/>
  <c r="H2942" i="1"/>
  <c r="G2942" i="1"/>
  <c r="I2941" i="1"/>
  <c r="H2941" i="1"/>
  <c r="G2941" i="1"/>
  <c r="I2940" i="1"/>
  <c r="H2940" i="1"/>
  <c r="G2940" i="1"/>
  <c r="I2939" i="1"/>
  <c r="H2939" i="1"/>
  <c r="G2939" i="1"/>
  <c r="I2938" i="1"/>
  <c r="H2938" i="1"/>
  <c r="G2938" i="1"/>
  <c r="I2937" i="1"/>
  <c r="H2937" i="1"/>
  <c r="G2937" i="1"/>
  <c r="I2936" i="1"/>
  <c r="H2936" i="1"/>
  <c r="G2936" i="1"/>
  <c r="I2935" i="1"/>
  <c r="H2935" i="1"/>
  <c r="G2935" i="1"/>
  <c r="I2934" i="1"/>
  <c r="H2934" i="1"/>
  <c r="G2934" i="1"/>
  <c r="I2933" i="1"/>
  <c r="H2933" i="1"/>
  <c r="G2933" i="1"/>
  <c r="I2932" i="1"/>
  <c r="H2932" i="1"/>
  <c r="G2932" i="1"/>
  <c r="I2931" i="1"/>
  <c r="H2931" i="1"/>
  <c r="G2931" i="1"/>
  <c r="I2930" i="1"/>
  <c r="H2930" i="1"/>
  <c r="G2930" i="1"/>
  <c r="I2929" i="1"/>
  <c r="H2929" i="1"/>
  <c r="G2929" i="1"/>
  <c r="I2928" i="1"/>
  <c r="H2928" i="1"/>
  <c r="G2928" i="1"/>
  <c r="I2927" i="1"/>
  <c r="H2927" i="1"/>
  <c r="G2927" i="1"/>
  <c r="I2926" i="1"/>
  <c r="H2926" i="1"/>
  <c r="G2926" i="1"/>
  <c r="I2925" i="1"/>
  <c r="H2925" i="1"/>
  <c r="G2925" i="1"/>
  <c r="I2924" i="1"/>
  <c r="H2924" i="1"/>
  <c r="G2924" i="1"/>
  <c r="I2923" i="1"/>
  <c r="H2923" i="1"/>
  <c r="G2923" i="1"/>
  <c r="I2922" i="1"/>
  <c r="H2922" i="1"/>
  <c r="G2922" i="1"/>
  <c r="I2921" i="1"/>
  <c r="H2921" i="1"/>
  <c r="G2921" i="1"/>
  <c r="I2920" i="1"/>
  <c r="H2920" i="1"/>
  <c r="G2920" i="1"/>
  <c r="I2919" i="1"/>
  <c r="H2919" i="1"/>
  <c r="G2919" i="1"/>
  <c r="I2918" i="1"/>
  <c r="H2918" i="1"/>
  <c r="G2918" i="1"/>
  <c r="I2917" i="1"/>
  <c r="H2917" i="1"/>
  <c r="G2917" i="1"/>
  <c r="I2916" i="1"/>
  <c r="H2916" i="1"/>
  <c r="G2916" i="1"/>
  <c r="I2915" i="1"/>
  <c r="H2915" i="1"/>
  <c r="G2915" i="1"/>
  <c r="I2914" i="1"/>
  <c r="H2914" i="1"/>
  <c r="G2914" i="1"/>
  <c r="I2913" i="1"/>
  <c r="H2913" i="1"/>
  <c r="G2913" i="1"/>
  <c r="I2912" i="1"/>
  <c r="H2912" i="1"/>
  <c r="G2912" i="1"/>
  <c r="I2911" i="1"/>
  <c r="H2911" i="1"/>
  <c r="G2911" i="1"/>
  <c r="I2910" i="1"/>
  <c r="H2910" i="1"/>
  <c r="G2910" i="1"/>
  <c r="I2909" i="1"/>
  <c r="H2909" i="1"/>
  <c r="G2909" i="1"/>
  <c r="I2908" i="1"/>
  <c r="H2908" i="1"/>
  <c r="G2908" i="1"/>
  <c r="I2907" i="1"/>
  <c r="H2907" i="1"/>
  <c r="G2907" i="1"/>
  <c r="I2906" i="1"/>
  <c r="H2906" i="1"/>
  <c r="G2906" i="1"/>
  <c r="I2905" i="1"/>
  <c r="H2905" i="1"/>
  <c r="G2905" i="1"/>
  <c r="I2904" i="1"/>
  <c r="H2904" i="1"/>
  <c r="G2904" i="1"/>
  <c r="I2903" i="1"/>
  <c r="H2903" i="1"/>
  <c r="G2903" i="1"/>
  <c r="I2902" i="1"/>
  <c r="H2902" i="1"/>
  <c r="G2902" i="1"/>
  <c r="I2901" i="1"/>
  <c r="H2901" i="1"/>
  <c r="G2901" i="1"/>
  <c r="I2900" i="1"/>
  <c r="H2900" i="1"/>
  <c r="G2900" i="1"/>
  <c r="I2899" i="1"/>
  <c r="H2899" i="1"/>
  <c r="G2899" i="1"/>
  <c r="I2898" i="1"/>
  <c r="H2898" i="1"/>
  <c r="G2898" i="1"/>
  <c r="I2897" i="1"/>
  <c r="H2897" i="1"/>
  <c r="G2897" i="1"/>
  <c r="I2896" i="1"/>
  <c r="H2896" i="1"/>
  <c r="G2896" i="1"/>
  <c r="I2895" i="1"/>
  <c r="H2895" i="1"/>
  <c r="G2895" i="1"/>
  <c r="I2894" i="1"/>
  <c r="H2894" i="1"/>
  <c r="G2894" i="1"/>
  <c r="I2893" i="1"/>
  <c r="H2893" i="1"/>
  <c r="G2893" i="1"/>
  <c r="I2892" i="1"/>
  <c r="H2892" i="1"/>
  <c r="G2892" i="1"/>
  <c r="I2891" i="1"/>
  <c r="H2891" i="1"/>
  <c r="G2891" i="1"/>
  <c r="I2890" i="1"/>
  <c r="H2890" i="1"/>
  <c r="G2890" i="1"/>
  <c r="I2889" i="1"/>
  <c r="H2889" i="1"/>
  <c r="G2889" i="1"/>
  <c r="I2888" i="1"/>
  <c r="H2888" i="1"/>
  <c r="G2888" i="1"/>
  <c r="I2887" i="1"/>
  <c r="H2887" i="1"/>
  <c r="G2887" i="1"/>
  <c r="I2886" i="1"/>
  <c r="H2886" i="1"/>
  <c r="G2886" i="1"/>
  <c r="I2885" i="1"/>
  <c r="H2885" i="1"/>
  <c r="G2885" i="1"/>
  <c r="I2884" i="1"/>
  <c r="H2884" i="1"/>
  <c r="G2884" i="1"/>
  <c r="I2883" i="1"/>
  <c r="H2883" i="1"/>
  <c r="G2883" i="1"/>
  <c r="I2882" i="1"/>
  <c r="H2882" i="1"/>
  <c r="G2882" i="1"/>
  <c r="I2881" i="1"/>
  <c r="H2881" i="1"/>
  <c r="G2881" i="1"/>
  <c r="I2880" i="1"/>
  <c r="H2880" i="1"/>
  <c r="G2880" i="1"/>
  <c r="I2879" i="1"/>
  <c r="H2879" i="1"/>
  <c r="G2879" i="1"/>
  <c r="I2878" i="1"/>
  <c r="H2878" i="1"/>
  <c r="G2878" i="1"/>
  <c r="I2877" i="1"/>
  <c r="H2877" i="1"/>
  <c r="G2877" i="1"/>
  <c r="I2876" i="1"/>
  <c r="H2876" i="1"/>
  <c r="G2876" i="1"/>
  <c r="I2875" i="1"/>
  <c r="H2875" i="1"/>
  <c r="G2875" i="1"/>
  <c r="I2874" i="1"/>
  <c r="H2874" i="1"/>
  <c r="G2874" i="1"/>
  <c r="I2873" i="1"/>
  <c r="H2873" i="1"/>
  <c r="G2873" i="1"/>
  <c r="I2872" i="1"/>
  <c r="H2872" i="1"/>
  <c r="G2872" i="1"/>
  <c r="I2871" i="1"/>
  <c r="H2871" i="1"/>
  <c r="G2871" i="1"/>
  <c r="I2870" i="1"/>
  <c r="H2870" i="1"/>
  <c r="G2870" i="1"/>
  <c r="I2869" i="1"/>
  <c r="H2869" i="1"/>
  <c r="G2869" i="1"/>
  <c r="I2868" i="1"/>
  <c r="H2868" i="1"/>
  <c r="G2868" i="1"/>
  <c r="I2867" i="1"/>
  <c r="H2867" i="1"/>
  <c r="G2867" i="1"/>
  <c r="I2866" i="1"/>
  <c r="H2866" i="1"/>
  <c r="G2866" i="1"/>
  <c r="I2865" i="1"/>
  <c r="H2865" i="1"/>
  <c r="G2865" i="1"/>
  <c r="I2864" i="1"/>
  <c r="H2864" i="1"/>
  <c r="G2864" i="1"/>
  <c r="I2863" i="1"/>
  <c r="H2863" i="1"/>
  <c r="G2863" i="1"/>
  <c r="I2862" i="1"/>
  <c r="H2862" i="1"/>
  <c r="G2862" i="1"/>
  <c r="I2861" i="1"/>
  <c r="H2861" i="1"/>
  <c r="G2861" i="1"/>
  <c r="I2860" i="1"/>
  <c r="H2860" i="1"/>
  <c r="G2860" i="1"/>
  <c r="I2859" i="1"/>
  <c r="H2859" i="1"/>
  <c r="G2859" i="1"/>
  <c r="I2858" i="1"/>
  <c r="H2858" i="1"/>
  <c r="G2858" i="1"/>
  <c r="I2857" i="1"/>
  <c r="H2857" i="1"/>
  <c r="G2857" i="1"/>
  <c r="I2856" i="1"/>
  <c r="H2856" i="1"/>
  <c r="G2856" i="1"/>
  <c r="I2855" i="1"/>
  <c r="H2855" i="1"/>
  <c r="G2855" i="1"/>
  <c r="I2854" i="1"/>
  <c r="H2854" i="1"/>
  <c r="G2854" i="1"/>
  <c r="I2853" i="1"/>
  <c r="H2853" i="1"/>
  <c r="G2853" i="1"/>
  <c r="I2852" i="1"/>
  <c r="H2852" i="1"/>
  <c r="G2852" i="1"/>
  <c r="I2851" i="1"/>
  <c r="H2851" i="1"/>
  <c r="G2851" i="1"/>
  <c r="I2850" i="1"/>
  <c r="H2850" i="1"/>
  <c r="G2850" i="1"/>
  <c r="I2849" i="1"/>
  <c r="H2849" i="1"/>
  <c r="G2849" i="1"/>
  <c r="I2848" i="1"/>
  <c r="H2848" i="1"/>
  <c r="G2848" i="1"/>
  <c r="I2847" i="1"/>
  <c r="H2847" i="1"/>
  <c r="G2847" i="1"/>
  <c r="I2846" i="1"/>
  <c r="H2846" i="1"/>
  <c r="G2846" i="1"/>
  <c r="I2845" i="1"/>
  <c r="H2845" i="1"/>
  <c r="G2845" i="1"/>
  <c r="I2844" i="1"/>
  <c r="H2844" i="1"/>
  <c r="G2844" i="1"/>
  <c r="I2843" i="1"/>
  <c r="H2843" i="1"/>
  <c r="G2843" i="1"/>
  <c r="I2842" i="1"/>
  <c r="H2842" i="1"/>
  <c r="G2842" i="1"/>
  <c r="I2841" i="1"/>
  <c r="H2841" i="1"/>
  <c r="G2841" i="1"/>
  <c r="I2840" i="1"/>
  <c r="H2840" i="1"/>
  <c r="G2840" i="1"/>
  <c r="I2839" i="1"/>
  <c r="H2839" i="1"/>
  <c r="G2839" i="1"/>
  <c r="I2838" i="1"/>
  <c r="H2838" i="1"/>
  <c r="G2838" i="1"/>
  <c r="I2837" i="1"/>
  <c r="H2837" i="1"/>
  <c r="G2837" i="1"/>
  <c r="I2836" i="1"/>
  <c r="H2836" i="1"/>
  <c r="G2836" i="1"/>
  <c r="I2835" i="1"/>
  <c r="H2835" i="1"/>
  <c r="G2835" i="1"/>
  <c r="I2834" i="1"/>
  <c r="H2834" i="1"/>
  <c r="G2834" i="1"/>
  <c r="I2833" i="1"/>
  <c r="H2833" i="1"/>
  <c r="G2833" i="1"/>
  <c r="I2832" i="1"/>
  <c r="H2832" i="1"/>
  <c r="G2832" i="1"/>
  <c r="I2831" i="1"/>
  <c r="H2831" i="1"/>
  <c r="G2831" i="1"/>
  <c r="I2830" i="1"/>
  <c r="H2830" i="1"/>
  <c r="G2830" i="1"/>
  <c r="I2829" i="1"/>
  <c r="H2829" i="1"/>
  <c r="G2829" i="1"/>
  <c r="I2828" i="1"/>
  <c r="H2828" i="1"/>
  <c r="G2828" i="1"/>
  <c r="I2827" i="1"/>
  <c r="H2827" i="1"/>
  <c r="G2827" i="1"/>
  <c r="I2826" i="1"/>
  <c r="H2826" i="1"/>
  <c r="G2826" i="1"/>
  <c r="I2825" i="1"/>
  <c r="H2825" i="1"/>
  <c r="G2825" i="1"/>
  <c r="I2824" i="1"/>
  <c r="H2824" i="1"/>
  <c r="G2824" i="1"/>
  <c r="I2823" i="1"/>
  <c r="H2823" i="1"/>
  <c r="G2823" i="1"/>
  <c r="I2822" i="1"/>
  <c r="H2822" i="1"/>
  <c r="G2822" i="1"/>
  <c r="I2821" i="1"/>
  <c r="H2821" i="1"/>
  <c r="G2821" i="1"/>
  <c r="I2820" i="1"/>
  <c r="H2820" i="1"/>
  <c r="G2820" i="1"/>
  <c r="I2819" i="1"/>
  <c r="H2819" i="1"/>
  <c r="G2819" i="1"/>
  <c r="I2818" i="1"/>
  <c r="H2818" i="1"/>
  <c r="G2818" i="1"/>
  <c r="I2817" i="1"/>
  <c r="H2817" i="1"/>
  <c r="G2817" i="1"/>
  <c r="I2816" i="1"/>
  <c r="H2816" i="1"/>
  <c r="G2816" i="1"/>
  <c r="I2815" i="1"/>
  <c r="H2815" i="1"/>
  <c r="G2815" i="1"/>
  <c r="I2814" i="1"/>
  <c r="H2814" i="1"/>
  <c r="G2814" i="1"/>
  <c r="I2813" i="1"/>
  <c r="H2813" i="1"/>
  <c r="G2813" i="1"/>
  <c r="I2812" i="1"/>
  <c r="H2812" i="1"/>
  <c r="G2812" i="1"/>
  <c r="I2811" i="1"/>
  <c r="H2811" i="1"/>
  <c r="G2811" i="1"/>
  <c r="I2810" i="1"/>
  <c r="H2810" i="1"/>
  <c r="G2810" i="1"/>
  <c r="I2809" i="1"/>
  <c r="H2809" i="1"/>
  <c r="G2809" i="1"/>
  <c r="I2808" i="1"/>
  <c r="H2808" i="1"/>
  <c r="G2808" i="1"/>
  <c r="I2807" i="1"/>
  <c r="H2807" i="1"/>
  <c r="G2807" i="1"/>
  <c r="I2806" i="1"/>
  <c r="H2806" i="1"/>
  <c r="G2806" i="1"/>
  <c r="I2805" i="1"/>
  <c r="H2805" i="1"/>
  <c r="G2805" i="1"/>
  <c r="I2804" i="1"/>
  <c r="H2804" i="1"/>
  <c r="G2804" i="1"/>
  <c r="I2803" i="1"/>
  <c r="H2803" i="1"/>
  <c r="G2803" i="1"/>
  <c r="I2802" i="1"/>
  <c r="H2802" i="1"/>
  <c r="G2802" i="1"/>
  <c r="I2801" i="1"/>
  <c r="H2801" i="1"/>
  <c r="G2801" i="1"/>
  <c r="I2800" i="1"/>
  <c r="H2800" i="1"/>
  <c r="G2800" i="1"/>
  <c r="I2799" i="1"/>
  <c r="H2799" i="1"/>
  <c r="G2799" i="1"/>
  <c r="I2798" i="1"/>
  <c r="H2798" i="1"/>
  <c r="G2798" i="1"/>
  <c r="I2797" i="1"/>
  <c r="H2797" i="1"/>
  <c r="G2797" i="1"/>
  <c r="I2796" i="1"/>
  <c r="H2796" i="1"/>
  <c r="G2796" i="1"/>
  <c r="I2795" i="1"/>
  <c r="H2795" i="1"/>
  <c r="G2795" i="1"/>
  <c r="I2794" i="1"/>
  <c r="H2794" i="1"/>
  <c r="G2794" i="1"/>
  <c r="I2793" i="1"/>
  <c r="H2793" i="1"/>
  <c r="G2793" i="1"/>
  <c r="I2792" i="1"/>
  <c r="H2792" i="1"/>
  <c r="G2792" i="1"/>
  <c r="I2791" i="1"/>
  <c r="H2791" i="1"/>
  <c r="G2791" i="1"/>
  <c r="I2790" i="1"/>
  <c r="H2790" i="1"/>
  <c r="G2790" i="1"/>
  <c r="I2789" i="1"/>
  <c r="H2789" i="1"/>
  <c r="G2789" i="1"/>
  <c r="I2788" i="1"/>
  <c r="H2788" i="1"/>
  <c r="G2788" i="1"/>
  <c r="I2787" i="1"/>
  <c r="H2787" i="1"/>
  <c r="G2787" i="1"/>
  <c r="I2786" i="1"/>
  <c r="H2786" i="1"/>
  <c r="G2786" i="1"/>
  <c r="I2785" i="1"/>
  <c r="H2785" i="1"/>
  <c r="G2785" i="1"/>
  <c r="I2784" i="1"/>
  <c r="H2784" i="1"/>
  <c r="G2784" i="1"/>
  <c r="I2783" i="1"/>
  <c r="H2783" i="1"/>
  <c r="G2783" i="1"/>
  <c r="I2782" i="1"/>
  <c r="H2782" i="1"/>
  <c r="G2782" i="1"/>
  <c r="I2781" i="1"/>
  <c r="H2781" i="1"/>
  <c r="G2781" i="1"/>
  <c r="I2780" i="1"/>
  <c r="H2780" i="1"/>
  <c r="G2780" i="1"/>
  <c r="I2779" i="1"/>
  <c r="H2779" i="1"/>
  <c r="G2779" i="1"/>
  <c r="I2778" i="1"/>
  <c r="H2778" i="1"/>
  <c r="G2778" i="1"/>
  <c r="I2777" i="1"/>
  <c r="H2777" i="1"/>
  <c r="G2777" i="1"/>
  <c r="I2776" i="1"/>
  <c r="H2776" i="1"/>
  <c r="G2776" i="1"/>
  <c r="I2775" i="1"/>
  <c r="H2775" i="1"/>
  <c r="G2775" i="1"/>
  <c r="I2774" i="1"/>
  <c r="H2774" i="1"/>
  <c r="G2774" i="1"/>
  <c r="I2773" i="1"/>
  <c r="H2773" i="1"/>
  <c r="G2773" i="1"/>
  <c r="I2772" i="1"/>
  <c r="H2772" i="1"/>
  <c r="G2772" i="1"/>
  <c r="I2771" i="1"/>
  <c r="H2771" i="1"/>
  <c r="G2771" i="1"/>
  <c r="I2770" i="1"/>
  <c r="H2770" i="1"/>
  <c r="G2770" i="1"/>
  <c r="I2769" i="1"/>
  <c r="H2769" i="1"/>
  <c r="G2769" i="1"/>
  <c r="I2768" i="1"/>
  <c r="H2768" i="1"/>
  <c r="G2768" i="1"/>
  <c r="I2767" i="1"/>
  <c r="H2767" i="1"/>
  <c r="G2767" i="1"/>
  <c r="I2766" i="1"/>
  <c r="H2766" i="1"/>
  <c r="G2766" i="1"/>
  <c r="I2765" i="1"/>
  <c r="H2765" i="1"/>
  <c r="G2765" i="1"/>
  <c r="I2764" i="1"/>
  <c r="H2764" i="1"/>
  <c r="G2764" i="1"/>
  <c r="I2763" i="1"/>
  <c r="H2763" i="1"/>
  <c r="G2763" i="1"/>
  <c r="I2762" i="1"/>
  <c r="H2762" i="1"/>
  <c r="G2762" i="1"/>
  <c r="I2761" i="1"/>
  <c r="H2761" i="1"/>
  <c r="G2761" i="1"/>
  <c r="I2760" i="1"/>
  <c r="H2760" i="1"/>
  <c r="G2760" i="1"/>
  <c r="I2759" i="1"/>
  <c r="H2759" i="1"/>
  <c r="G2759" i="1"/>
  <c r="I2758" i="1"/>
  <c r="H2758" i="1"/>
  <c r="G2758" i="1"/>
  <c r="I2757" i="1"/>
  <c r="H2757" i="1"/>
  <c r="G2757" i="1"/>
  <c r="I2756" i="1"/>
  <c r="H2756" i="1"/>
  <c r="G2756" i="1"/>
  <c r="I2755" i="1"/>
  <c r="H2755" i="1"/>
  <c r="G2755" i="1"/>
  <c r="I2754" i="1"/>
  <c r="H2754" i="1"/>
  <c r="G2754" i="1"/>
  <c r="I2753" i="1"/>
  <c r="H2753" i="1"/>
  <c r="G2753" i="1"/>
  <c r="I2752" i="1"/>
  <c r="H2752" i="1"/>
  <c r="G2752" i="1"/>
  <c r="I2751" i="1"/>
  <c r="H2751" i="1"/>
  <c r="G2751" i="1"/>
  <c r="I2750" i="1"/>
  <c r="H2750" i="1"/>
  <c r="G2750" i="1"/>
  <c r="I2749" i="1"/>
  <c r="H2749" i="1"/>
  <c r="G2749" i="1"/>
  <c r="I2748" i="1"/>
  <c r="H2748" i="1"/>
  <c r="G2748" i="1"/>
  <c r="I2747" i="1"/>
  <c r="H2747" i="1"/>
  <c r="G2747" i="1"/>
  <c r="I2746" i="1"/>
  <c r="H2746" i="1"/>
  <c r="G2746" i="1"/>
  <c r="I2745" i="1"/>
  <c r="H2745" i="1"/>
  <c r="G2745" i="1"/>
  <c r="I2744" i="1"/>
  <c r="H2744" i="1"/>
  <c r="G2744" i="1"/>
  <c r="I2743" i="1"/>
  <c r="H2743" i="1"/>
  <c r="G2743" i="1"/>
  <c r="I2742" i="1"/>
  <c r="H2742" i="1"/>
  <c r="G2742" i="1"/>
  <c r="I2741" i="1"/>
  <c r="H2741" i="1"/>
  <c r="G2741" i="1"/>
  <c r="I2740" i="1"/>
  <c r="H2740" i="1"/>
  <c r="G2740" i="1"/>
  <c r="I2739" i="1"/>
  <c r="H2739" i="1"/>
  <c r="G2739" i="1"/>
  <c r="I2738" i="1"/>
  <c r="H2738" i="1"/>
  <c r="G2738" i="1"/>
  <c r="I2737" i="1"/>
  <c r="H2737" i="1"/>
  <c r="G2737" i="1"/>
  <c r="I2736" i="1"/>
  <c r="H2736" i="1"/>
  <c r="G2736" i="1"/>
  <c r="I2735" i="1"/>
  <c r="H2735" i="1"/>
  <c r="G2735" i="1"/>
  <c r="I2734" i="1"/>
  <c r="H2734" i="1"/>
  <c r="G2734" i="1"/>
  <c r="I2733" i="1"/>
  <c r="H2733" i="1"/>
  <c r="G2733" i="1"/>
  <c r="I2732" i="1"/>
  <c r="H2732" i="1"/>
  <c r="G2732" i="1"/>
  <c r="I2731" i="1"/>
  <c r="H2731" i="1"/>
  <c r="G2731" i="1"/>
  <c r="I2730" i="1"/>
  <c r="H2730" i="1"/>
  <c r="G2730" i="1"/>
  <c r="I2729" i="1"/>
  <c r="H2729" i="1"/>
  <c r="G2729" i="1"/>
  <c r="I2728" i="1"/>
  <c r="H2728" i="1"/>
  <c r="G2728" i="1"/>
  <c r="I2727" i="1"/>
  <c r="H2727" i="1"/>
  <c r="G2727" i="1"/>
  <c r="I2726" i="1"/>
  <c r="H2726" i="1"/>
  <c r="G2726" i="1"/>
  <c r="I2725" i="1"/>
  <c r="H2725" i="1"/>
  <c r="G2725" i="1"/>
  <c r="I2724" i="1"/>
  <c r="H2724" i="1"/>
  <c r="G2724" i="1"/>
  <c r="I2723" i="1"/>
  <c r="H2723" i="1"/>
  <c r="G2723" i="1"/>
  <c r="I2722" i="1"/>
  <c r="H2722" i="1"/>
  <c r="G2722" i="1"/>
  <c r="I2721" i="1"/>
  <c r="H2721" i="1"/>
  <c r="G2721" i="1"/>
  <c r="I2720" i="1"/>
  <c r="H2720" i="1"/>
  <c r="G2720" i="1"/>
  <c r="I2719" i="1"/>
  <c r="H2719" i="1"/>
  <c r="G2719" i="1"/>
  <c r="I2718" i="1"/>
  <c r="H2718" i="1"/>
  <c r="G2718" i="1"/>
  <c r="I2717" i="1"/>
  <c r="H2717" i="1"/>
  <c r="G2717" i="1"/>
  <c r="I2716" i="1"/>
  <c r="H2716" i="1"/>
  <c r="G2716" i="1"/>
  <c r="I2715" i="1"/>
  <c r="H2715" i="1"/>
  <c r="G2715" i="1"/>
  <c r="I2714" i="1"/>
  <c r="H2714" i="1"/>
  <c r="G2714" i="1"/>
  <c r="I2713" i="1"/>
  <c r="H2713" i="1"/>
  <c r="G2713" i="1"/>
  <c r="I2712" i="1"/>
  <c r="H2712" i="1"/>
  <c r="G2712" i="1"/>
  <c r="I2711" i="1"/>
  <c r="H2711" i="1"/>
  <c r="G2711" i="1"/>
  <c r="I2710" i="1"/>
  <c r="H2710" i="1"/>
  <c r="G2710" i="1"/>
  <c r="I2709" i="1"/>
  <c r="H2709" i="1"/>
  <c r="G2709" i="1"/>
  <c r="I2708" i="1"/>
  <c r="H2708" i="1"/>
  <c r="G2708" i="1"/>
  <c r="I2707" i="1"/>
  <c r="H2707" i="1"/>
  <c r="G2707" i="1"/>
  <c r="I2706" i="1"/>
  <c r="H2706" i="1"/>
  <c r="G2706" i="1"/>
  <c r="I2705" i="1"/>
  <c r="H2705" i="1"/>
  <c r="G2705" i="1"/>
  <c r="I2704" i="1"/>
  <c r="H2704" i="1"/>
  <c r="G2704" i="1"/>
  <c r="I2703" i="1"/>
  <c r="H2703" i="1"/>
  <c r="G2703" i="1"/>
  <c r="I2702" i="1"/>
  <c r="H2702" i="1"/>
  <c r="G2702" i="1"/>
  <c r="I2701" i="1"/>
  <c r="H2701" i="1"/>
  <c r="G2701" i="1"/>
  <c r="I2700" i="1"/>
  <c r="H2700" i="1"/>
  <c r="G2700" i="1"/>
  <c r="I2699" i="1"/>
  <c r="H2699" i="1"/>
  <c r="G2699" i="1"/>
  <c r="I2698" i="1"/>
  <c r="H2698" i="1"/>
  <c r="G2698" i="1"/>
  <c r="I2697" i="1"/>
  <c r="H2697" i="1"/>
  <c r="G2697" i="1"/>
  <c r="I2696" i="1"/>
  <c r="H2696" i="1"/>
  <c r="G2696" i="1"/>
  <c r="I2695" i="1"/>
  <c r="H2695" i="1"/>
  <c r="G2695" i="1"/>
  <c r="I2694" i="1"/>
  <c r="H2694" i="1"/>
  <c r="G2694" i="1"/>
  <c r="I2693" i="1"/>
  <c r="H2693" i="1"/>
  <c r="G2693" i="1"/>
  <c r="I2692" i="1"/>
  <c r="H2692" i="1"/>
  <c r="G2692" i="1"/>
  <c r="I2691" i="1"/>
  <c r="H2691" i="1"/>
  <c r="G2691" i="1"/>
  <c r="I2690" i="1"/>
  <c r="H2690" i="1"/>
  <c r="G2690" i="1"/>
  <c r="I2689" i="1"/>
  <c r="H2689" i="1"/>
  <c r="G2689" i="1"/>
  <c r="I2688" i="1"/>
  <c r="H2688" i="1"/>
  <c r="G2688" i="1"/>
  <c r="I2687" i="1"/>
  <c r="H2687" i="1"/>
  <c r="G2687" i="1"/>
  <c r="I2686" i="1"/>
  <c r="H2686" i="1"/>
  <c r="G2686" i="1"/>
  <c r="I2685" i="1"/>
  <c r="H2685" i="1"/>
  <c r="G2685" i="1"/>
  <c r="I2684" i="1"/>
  <c r="H2684" i="1"/>
  <c r="G2684" i="1"/>
  <c r="I2683" i="1"/>
  <c r="H2683" i="1"/>
  <c r="G2683" i="1"/>
  <c r="I2682" i="1"/>
  <c r="H2682" i="1"/>
  <c r="G2682" i="1"/>
  <c r="I2681" i="1"/>
  <c r="H2681" i="1"/>
  <c r="G2681" i="1"/>
  <c r="I2680" i="1"/>
  <c r="H2680" i="1"/>
  <c r="G2680" i="1"/>
  <c r="I2679" i="1"/>
  <c r="H2679" i="1"/>
  <c r="G2679" i="1"/>
  <c r="I2678" i="1"/>
  <c r="H2678" i="1"/>
  <c r="G2678" i="1"/>
  <c r="I2677" i="1"/>
  <c r="H2677" i="1"/>
  <c r="G2677" i="1"/>
  <c r="I2676" i="1"/>
  <c r="H2676" i="1"/>
  <c r="G2676" i="1"/>
  <c r="I2675" i="1"/>
  <c r="H2675" i="1"/>
  <c r="G2675" i="1"/>
  <c r="I2674" i="1"/>
  <c r="H2674" i="1"/>
  <c r="G2674" i="1"/>
  <c r="I2673" i="1"/>
  <c r="H2673" i="1"/>
  <c r="G2673" i="1"/>
  <c r="I2672" i="1"/>
  <c r="H2672" i="1"/>
  <c r="G2672" i="1"/>
  <c r="I2671" i="1"/>
  <c r="H2671" i="1"/>
  <c r="G2671" i="1"/>
  <c r="I2670" i="1"/>
  <c r="H2670" i="1"/>
  <c r="G2670" i="1"/>
  <c r="I2669" i="1"/>
  <c r="H2669" i="1"/>
  <c r="G2669" i="1"/>
  <c r="I2668" i="1"/>
  <c r="H2668" i="1"/>
  <c r="G2668" i="1"/>
  <c r="I2667" i="1"/>
  <c r="H2667" i="1"/>
  <c r="G2667" i="1"/>
  <c r="I2666" i="1"/>
  <c r="H2666" i="1"/>
  <c r="G2666" i="1"/>
  <c r="I2665" i="1"/>
  <c r="H2665" i="1"/>
  <c r="G2665" i="1"/>
  <c r="I2664" i="1"/>
  <c r="H2664" i="1"/>
  <c r="G2664" i="1"/>
  <c r="I2663" i="1"/>
  <c r="H2663" i="1"/>
  <c r="G2663" i="1"/>
  <c r="I2662" i="1"/>
  <c r="H2662" i="1"/>
  <c r="G2662" i="1"/>
  <c r="I2661" i="1"/>
  <c r="H2661" i="1"/>
  <c r="G2661" i="1"/>
  <c r="I2660" i="1"/>
  <c r="H2660" i="1"/>
  <c r="G2660" i="1"/>
  <c r="I2659" i="1"/>
  <c r="H2659" i="1"/>
  <c r="G2659" i="1"/>
  <c r="I2658" i="1"/>
  <c r="H2658" i="1"/>
  <c r="G2658" i="1"/>
  <c r="I2657" i="1"/>
  <c r="H2657" i="1"/>
  <c r="G2657" i="1"/>
  <c r="I2656" i="1"/>
  <c r="H2656" i="1"/>
  <c r="G2656" i="1"/>
  <c r="I2655" i="1"/>
  <c r="H2655" i="1"/>
  <c r="G2655" i="1"/>
  <c r="I2654" i="1"/>
  <c r="H2654" i="1"/>
  <c r="G2654" i="1"/>
  <c r="I2653" i="1"/>
  <c r="H2653" i="1"/>
  <c r="G2653" i="1"/>
  <c r="I2652" i="1"/>
  <c r="H2652" i="1"/>
  <c r="G2652" i="1"/>
  <c r="I2651" i="1"/>
  <c r="H2651" i="1"/>
  <c r="G2651" i="1"/>
  <c r="I2650" i="1"/>
  <c r="H2650" i="1"/>
  <c r="G2650" i="1"/>
  <c r="I2649" i="1"/>
  <c r="H2649" i="1"/>
  <c r="G2649" i="1"/>
  <c r="I2648" i="1"/>
  <c r="H2648" i="1"/>
  <c r="G2648" i="1"/>
  <c r="I2647" i="1"/>
  <c r="H2647" i="1"/>
  <c r="G2647" i="1"/>
  <c r="I2646" i="1"/>
  <c r="H2646" i="1"/>
  <c r="G2646" i="1"/>
  <c r="I2645" i="1"/>
  <c r="H2645" i="1"/>
  <c r="G2645" i="1"/>
  <c r="I2644" i="1"/>
  <c r="H2644" i="1"/>
  <c r="G2644" i="1"/>
  <c r="I2643" i="1"/>
  <c r="H2643" i="1"/>
  <c r="G2643" i="1"/>
  <c r="I2642" i="1"/>
  <c r="H2642" i="1"/>
  <c r="G2642" i="1"/>
  <c r="I2641" i="1"/>
  <c r="H2641" i="1"/>
  <c r="G2641" i="1"/>
  <c r="I2640" i="1"/>
  <c r="H2640" i="1"/>
  <c r="G2640" i="1"/>
  <c r="I2639" i="1"/>
  <c r="H2639" i="1"/>
  <c r="G2639" i="1"/>
  <c r="I2638" i="1"/>
  <c r="H2638" i="1"/>
  <c r="G2638" i="1"/>
  <c r="I2637" i="1"/>
  <c r="H2637" i="1"/>
  <c r="G2637" i="1"/>
  <c r="I2636" i="1"/>
  <c r="H2636" i="1"/>
  <c r="G2636" i="1"/>
  <c r="I2635" i="1"/>
  <c r="H2635" i="1"/>
  <c r="G2635" i="1"/>
  <c r="I2634" i="1"/>
  <c r="H2634" i="1"/>
  <c r="G2634" i="1"/>
  <c r="I2633" i="1"/>
  <c r="H2633" i="1"/>
  <c r="G2633" i="1"/>
  <c r="I2632" i="1"/>
  <c r="H2632" i="1"/>
  <c r="G2632" i="1"/>
  <c r="I2631" i="1"/>
  <c r="H2631" i="1"/>
  <c r="G2631" i="1"/>
  <c r="I2630" i="1"/>
  <c r="H2630" i="1"/>
  <c r="G2630" i="1"/>
  <c r="I2629" i="1"/>
  <c r="H2629" i="1"/>
  <c r="G2629" i="1"/>
  <c r="I2628" i="1"/>
  <c r="H2628" i="1"/>
  <c r="G2628" i="1"/>
  <c r="I2627" i="1"/>
  <c r="H2627" i="1"/>
  <c r="G2627" i="1"/>
  <c r="I2626" i="1"/>
  <c r="H2626" i="1"/>
  <c r="G2626" i="1"/>
  <c r="I2625" i="1"/>
  <c r="H2625" i="1"/>
  <c r="G2625" i="1"/>
  <c r="I2624" i="1"/>
  <c r="H2624" i="1"/>
  <c r="G2624" i="1"/>
  <c r="I2623" i="1"/>
  <c r="H2623" i="1"/>
  <c r="G2623" i="1"/>
  <c r="I2622" i="1"/>
  <c r="H2622" i="1"/>
  <c r="G2622" i="1"/>
  <c r="I2621" i="1"/>
  <c r="H2621" i="1"/>
  <c r="G2621" i="1"/>
  <c r="I2620" i="1"/>
  <c r="H2620" i="1"/>
  <c r="G2620" i="1"/>
  <c r="I2619" i="1"/>
  <c r="H2619" i="1"/>
  <c r="G2619" i="1"/>
  <c r="I2618" i="1"/>
  <c r="H2618" i="1"/>
  <c r="G2618" i="1"/>
  <c r="I2617" i="1"/>
  <c r="H2617" i="1"/>
  <c r="G2617" i="1"/>
  <c r="I2616" i="1"/>
  <c r="H2616" i="1"/>
  <c r="G2616" i="1"/>
  <c r="I2615" i="1"/>
  <c r="H2615" i="1"/>
  <c r="G2615" i="1"/>
  <c r="I2614" i="1"/>
  <c r="H2614" i="1"/>
  <c r="G2614" i="1"/>
  <c r="I2613" i="1"/>
  <c r="H2613" i="1"/>
  <c r="G2613" i="1"/>
  <c r="I2612" i="1"/>
  <c r="H2612" i="1"/>
  <c r="G2612" i="1"/>
  <c r="I2611" i="1"/>
  <c r="H2611" i="1"/>
  <c r="G2611" i="1"/>
  <c r="I2610" i="1"/>
  <c r="H2610" i="1"/>
  <c r="G2610" i="1"/>
  <c r="I2609" i="1"/>
  <c r="H2609" i="1"/>
  <c r="G2609" i="1"/>
  <c r="I2608" i="1"/>
  <c r="H2608" i="1"/>
  <c r="G2608" i="1"/>
  <c r="I2607" i="1"/>
  <c r="H2607" i="1"/>
  <c r="G2607" i="1"/>
  <c r="I2606" i="1"/>
  <c r="H2606" i="1"/>
  <c r="G2606" i="1"/>
  <c r="I2605" i="1"/>
  <c r="H2605" i="1"/>
  <c r="G2605" i="1"/>
  <c r="I2604" i="1"/>
  <c r="H2604" i="1"/>
  <c r="G2604" i="1"/>
  <c r="I2603" i="1"/>
  <c r="H2603" i="1"/>
  <c r="G2603" i="1"/>
  <c r="I2602" i="1"/>
  <c r="H2602" i="1"/>
  <c r="G2602" i="1"/>
  <c r="I2601" i="1"/>
  <c r="H2601" i="1"/>
  <c r="G2601" i="1"/>
  <c r="I2600" i="1"/>
  <c r="H2600" i="1"/>
  <c r="G2600" i="1"/>
  <c r="I2599" i="1"/>
  <c r="H2599" i="1"/>
  <c r="G2599" i="1"/>
  <c r="I2598" i="1"/>
  <c r="H2598" i="1"/>
  <c r="G2598" i="1"/>
  <c r="I2597" i="1"/>
  <c r="H2597" i="1"/>
  <c r="G2597" i="1"/>
  <c r="I2596" i="1"/>
  <c r="H2596" i="1"/>
  <c r="G2596" i="1"/>
  <c r="I2595" i="1"/>
  <c r="H2595" i="1"/>
  <c r="G2595" i="1"/>
  <c r="I2594" i="1"/>
  <c r="H2594" i="1"/>
  <c r="G2594" i="1"/>
  <c r="I2593" i="1"/>
  <c r="H2593" i="1"/>
  <c r="G2593" i="1"/>
  <c r="I2592" i="1"/>
  <c r="H2592" i="1"/>
  <c r="G2592" i="1"/>
  <c r="I2591" i="1"/>
  <c r="H2591" i="1"/>
  <c r="G2591" i="1"/>
  <c r="I2590" i="1"/>
  <c r="H2590" i="1"/>
  <c r="G2590" i="1"/>
  <c r="I2589" i="1"/>
  <c r="H2589" i="1"/>
  <c r="G2589" i="1"/>
  <c r="I2588" i="1"/>
  <c r="H2588" i="1"/>
  <c r="G2588" i="1"/>
  <c r="I2587" i="1"/>
  <c r="H2587" i="1"/>
  <c r="G2587" i="1"/>
  <c r="I2586" i="1"/>
  <c r="H2586" i="1"/>
  <c r="G2586" i="1"/>
  <c r="I2585" i="1"/>
  <c r="H2585" i="1"/>
  <c r="G2585" i="1"/>
  <c r="I2584" i="1"/>
  <c r="H2584" i="1"/>
  <c r="G2584" i="1"/>
  <c r="I2583" i="1"/>
  <c r="H2583" i="1"/>
  <c r="G2583" i="1"/>
  <c r="I2582" i="1"/>
  <c r="H2582" i="1"/>
  <c r="G2582" i="1"/>
  <c r="I2581" i="1"/>
  <c r="H2581" i="1"/>
  <c r="G2581" i="1"/>
  <c r="I2580" i="1"/>
  <c r="H2580" i="1"/>
  <c r="G2580" i="1"/>
  <c r="I2579" i="1"/>
  <c r="H2579" i="1"/>
  <c r="G2579" i="1"/>
  <c r="I2578" i="1"/>
  <c r="H2578" i="1"/>
  <c r="G2578" i="1"/>
  <c r="I2577" i="1"/>
  <c r="H2577" i="1"/>
  <c r="G2577" i="1"/>
  <c r="I2576" i="1"/>
  <c r="H2576" i="1"/>
  <c r="G2576" i="1"/>
  <c r="I2575" i="1"/>
  <c r="H2575" i="1"/>
  <c r="G2575" i="1"/>
  <c r="I2574" i="1"/>
  <c r="H2574" i="1"/>
  <c r="G2574" i="1"/>
  <c r="I2573" i="1"/>
  <c r="H2573" i="1"/>
  <c r="G2573" i="1"/>
  <c r="I2572" i="1"/>
  <c r="H2572" i="1"/>
  <c r="G2572" i="1"/>
  <c r="I2571" i="1"/>
  <c r="H2571" i="1"/>
  <c r="G2571" i="1"/>
  <c r="I2570" i="1"/>
  <c r="H2570" i="1"/>
  <c r="G2570" i="1"/>
  <c r="I2569" i="1"/>
  <c r="H2569" i="1"/>
  <c r="G2569" i="1"/>
  <c r="I2568" i="1"/>
  <c r="H2568" i="1"/>
  <c r="G2568" i="1"/>
  <c r="I2567" i="1"/>
  <c r="H2567" i="1"/>
  <c r="G2567" i="1"/>
  <c r="I2566" i="1"/>
  <c r="H2566" i="1"/>
  <c r="G2566" i="1"/>
  <c r="I2565" i="1"/>
  <c r="H2565" i="1"/>
  <c r="G2565" i="1"/>
  <c r="I2564" i="1"/>
  <c r="H2564" i="1"/>
  <c r="G2564" i="1"/>
  <c r="I2563" i="1"/>
  <c r="H2563" i="1"/>
  <c r="G2563" i="1"/>
  <c r="I2562" i="1"/>
  <c r="H2562" i="1"/>
  <c r="G2562" i="1"/>
  <c r="I2561" i="1"/>
  <c r="H2561" i="1"/>
  <c r="G2561" i="1"/>
  <c r="I2560" i="1"/>
  <c r="H2560" i="1"/>
  <c r="G2560" i="1"/>
  <c r="I2559" i="1"/>
  <c r="H2559" i="1"/>
  <c r="G2559" i="1"/>
  <c r="I2558" i="1"/>
  <c r="H2558" i="1"/>
  <c r="G2558" i="1"/>
  <c r="I2557" i="1"/>
  <c r="H2557" i="1"/>
  <c r="G2557" i="1"/>
  <c r="I2556" i="1"/>
  <c r="H2556" i="1"/>
  <c r="G2556" i="1"/>
  <c r="I2555" i="1"/>
  <c r="H2555" i="1"/>
  <c r="G2555" i="1"/>
  <c r="I2554" i="1"/>
  <c r="H2554" i="1"/>
  <c r="G2554" i="1"/>
  <c r="I2553" i="1"/>
  <c r="H2553" i="1"/>
  <c r="G2553" i="1"/>
  <c r="I2552" i="1"/>
  <c r="H2552" i="1"/>
  <c r="G2552" i="1"/>
  <c r="I2551" i="1"/>
  <c r="H2551" i="1"/>
  <c r="G2551" i="1"/>
  <c r="I2550" i="1"/>
  <c r="H2550" i="1"/>
  <c r="G2550" i="1"/>
  <c r="I2549" i="1"/>
  <c r="H2549" i="1"/>
  <c r="G2549" i="1"/>
  <c r="I2548" i="1"/>
  <c r="H2548" i="1"/>
  <c r="G2548" i="1"/>
  <c r="I2547" i="1"/>
  <c r="H2547" i="1"/>
  <c r="G2547" i="1"/>
  <c r="I2546" i="1"/>
  <c r="H2546" i="1"/>
  <c r="G2546" i="1"/>
  <c r="I2545" i="1"/>
  <c r="H2545" i="1"/>
  <c r="G2545" i="1"/>
  <c r="I2544" i="1"/>
  <c r="H2544" i="1"/>
  <c r="G2544" i="1"/>
  <c r="I2543" i="1"/>
  <c r="H2543" i="1"/>
  <c r="G2543" i="1"/>
  <c r="I2542" i="1"/>
  <c r="H2542" i="1"/>
  <c r="G2542" i="1"/>
  <c r="I2541" i="1"/>
  <c r="H2541" i="1"/>
  <c r="G2541" i="1"/>
  <c r="I2540" i="1"/>
  <c r="H2540" i="1"/>
  <c r="G2540" i="1"/>
  <c r="I2539" i="1"/>
  <c r="H2539" i="1"/>
  <c r="G2539" i="1"/>
  <c r="I2538" i="1"/>
  <c r="H2538" i="1"/>
  <c r="G2538" i="1"/>
  <c r="I2537" i="1"/>
  <c r="H2537" i="1"/>
  <c r="G2537" i="1"/>
  <c r="I2536" i="1"/>
  <c r="H2536" i="1"/>
  <c r="G2536" i="1"/>
  <c r="I2535" i="1"/>
  <c r="H2535" i="1"/>
  <c r="G2535" i="1"/>
  <c r="I2534" i="1"/>
  <c r="H2534" i="1"/>
  <c r="G2534" i="1"/>
  <c r="I2533" i="1"/>
  <c r="H2533" i="1"/>
  <c r="G2533" i="1"/>
  <c r="I2532" i="1"/>
  <c r="H2532" i="1"/>
  <c r="G2532" i="1"/>
  <c r="I2531" i="1"/>
  <c r="H2531" i="1"/>
  <c r="G2531" i="1"/>
  <c r="I2530" i="1"/>
  <c r="H2530" i="1"/>
  <c r="G2530" i="1"/>
  <c r="I2529" i="1"/>
  <c r="H2529" i="1"/>
  <c r="G2529" i="1"/>
  <c r="I2528" i="1"/>
  <c r="H2528" i="1"/>
  <c r="G2528" i="1"/>
  <c r="I2527" i="1"/>
  <c r="H2527" i="1"/>
  <c r="G2527" i="1"/>
  <c r="I2526" i="1"/>
  <c r="H2526" i="1"/>
  <c r="G2526" i="1"/>
  <c r="I2525" i="1"/>
  <c r="H2525" i="1"/>
  <c r="G2525" i="1"/>
  <c r="I2524" i="1"/>
  <c r="H2524" i="1"/>
  <c r="G2524" i="1"/>
  <c r="I2523" i="1"/>
  <c r="H2523" i="1"/>
  <c r="G2523" i="1"/>
  <c r="I2522" i="1"/>
  <c r="H2522" i="1"/>
  <c r="G2522" i="1"/>
  <c r="I2521" i="1"/>
  <c r="H2521" i="1"/>
  <c r="G2521" i="1"/>
  <c r="I2520" i="1"/>
  <c r="H2520" i="1"/>
  <c r="G2520" i="1"/>
  <c r="I2519" i="1"/>
  <c r="H2519" i="1"/>
  <c r="G2519" i="1"/>
  <c r="I2518" i="1"/>
  <c r="H2518" i="1"/>
  <c r="G2518" i="1"/>
  <c r="I2517" i="1"/>
  <c r="H2517" i="1"/>
  <c r="G2517" i="1"/>
  <c r="I2516" i="1"/>
  <c r="H2516" i="1"/>
  <c r="G2516" i="1"/>
  <c r="I2515" i="1"/>
  <c r="H2515" i="1"/>
  <c r="G2515" i="1"/>
  <c r="I2514" i="1"/>
  <c r="H2514" i="1"/>
  <c r="G2514" i="1"/>
  <c r="I2513" i="1"/>
  <c r="H2513" i="1"/>
  <c r="G2513" i="1"/>
  <c r="I2512" i="1"/>
  <c r="H2512" i="1"/>
  <c r="G2512" i="1"/>
  <c r="I2511" i="1"/>
  <c r="H2511" i="1"/>
  <c r="G2511" i="1"/>
  <c r="I2510" i="1"/>
  <c r="H2510" i="1"/>
  <c r="G2510" i="1"/>
  <c r="I2509" i="1"/>
  <c r="H2509" i="1"/>
  <c r="G2509" i="1"/>
  <c r="I2508" i="1"/>
  <c r="H2508" i="1"/>
  <c r="G2508" i="1"/>
  <c r="I2507" i="1"/>
  <c r="H2507" i="1"/>
  <c r="G2507" i="1"/>
  <c r="I2506" i="1"/>
  <c r="H2506" i="1"/>
  <c r="G2506" i="1"/>
  <c r="I2505" i="1"/>
  <c r="H2505" i="1"/>
  <c r="G2505" i="1"/>
  <c r="I2504" i="1"/>
  <c r="H2504" i="1"/>
  <c r="G2504" i="1"/>
  <c r="I2503" i="1"/>
  <c r="H2503" i="1"/>
  <c r="G2503" i="1"/>
  <c r="I2502" i="1"/>
  <c r="H2502" i="1"/>
  <c r="G2502" i="1"/>
  <c r="I2501" i="1"/>
  <c r="H2501" i="1"/>
  <c r="G2501" i="1"/>
  <c r="I2500" i="1"/>
  <c r="H2500" i="1"/>
  <c r="G2500" i="1"/>
  <c r="I2499" i="1"/>
  <c r="H2499" i="1"/>
  <c r="G2499" i="1"/>
  <c r="I2498" i="1"/>
  <c r="H2498" i="1"/>
  <c r="G2498" i="1"/>
  <c r="I2497" i="1"/>
  <c r="H2497" i="1"/>
  <c r="G2497" i="1"/>
  <c r="I2496" i="1"/>
  <c r="H2496" i="1"/>
  <c r="G2496" i="1"/>
  <c r="I2495" i="1"/>
  <c r="H2495" i="1"/>
  <c r="G2495" i="1"/>
  <c r="I2494" i="1"/>
  <c r="H2494" i="1"/>
  <c r="G2494" i="1"/>
  <c r="I2493" i="1"/>
  <c r="H2493" i="1"/>
  <c r="G2493" i="1"/>
  <c r="I2492" i="1"/>
  <c r="H2492" i="1"/>
  <c r="G2492" i="1"/>
  <c r="I2491" i="1"/>
  <c r="H2491" i="1"/>
  <c r="G2491" i="1"/>
  <c r="I2490" i="1"/>
  <c r="H2490" i="1"/>
  <c r="G2490" i="1"/>
  <c r="I2489" i="1"/>
  <c r="H2489" i="1"/>
  <c r="G2489" i="1"/>
  <c r="I2488" i="1"/>
  <c r="H2488" i="1"/>
  <c r="G2488" i="1"/>
  <c r="I2487" i="1"/>
  <c r="H2487" i="1"/>
  <c r="G2487" i="1"/>
  <c r="I2486" i="1"/>
  <c r="H2486" i="1"/>
  <c r="G2486" i="1"/>
  <c r="I2485" i="1"/>
  <c r="H2485" i="1"/>
  <c r="G2485" i="1"/>
  <c r="I2484" i="1"/>
  <c r="H2484" i="1"/>
  <c r="G2484" i="1"/>
  <c r="I2483" i="1"/>
  <c r="H2483" i="1"/>
  <c r="G2483" i="1"/>
  <c r="I2482" i="1"/>
  <c r="H2482" i="1"/>
  <c r="G2482" i="1"/>
  <c r="I2481" i="1"/>
  <c r="H2481" i="1"/>
  <c r="G2481" i="1"/>
  <c r="I2480" i="1"/>
  <c r="H2480" i="1"/>
  <c r="G2480" i="1"/>
  <c r="I2479" i="1"/>
  <c r="H2479" i="1"/>
  <c r="G2479" i="1"/>
  <c r="I2478" i="1"/>
  <c r="H2478" i="1"/>
  <c r="G2478" i="1"/>
  <c r="I2477" i="1"/>
  <c r="H2477" i="1"/>
  <c r="G2477" i="1"/>
  <c r="I2476" i="1"/>
  <c r="H2476" i="1"/>
  <c r="G2476" i="1"/>
  <c r="I2475" i="1"/>
  <c r="H2475" i="1"/>
  <c r="G2475" i="1"/>
  <c r="I2474" i="1"/>
  <c r="H2474" i="1"/>
  <c r="G2474" i="1"/>
  <c r="I2473" i="1"/>
  <c r="H2473" i="1"/>
  <c r="G2473" i="1"/>
  <c r="I2472" i="1"/>
  <c r="H2472" i="1"/>
  <c r="G2472" i="1"/>
  <c r="I2471" i="1"/>
  <c r="H2471" i="1"/>
  <c r="G2471" i="1"/>
  <c r="I2470" i="1"/>
  <c r="H2470" i="1"/>
  <c r="G2470" i="1"/>
  <c r="I2469" i="1"/>
  <c r="H2469" i="1"/>
  <c r="G2469" i="1"/>
  <c r="I2468" i="1"/>
  <c r="H2468" i="1"/>
  <c r="G2468" i="1"/>
  <c r="I2467" i="1"/>
  <c r="H2467" i="1"/>
  <c r="G2467" i="1"/>
  <c r="I2466" i="1"/>
  <c r="H2466" i="1"/>
  <c r="G2466" i="1"/>
  <c r="I2465" i="1"/>
  <c r="H2465" i="1"/>
  <c r="G2465" i="1"/>
  <c r="I2464" i="1"/>
  <c r="H2464" i="1"/>
  <c r="G2464" i="1"/>
  <c r="I2463" i="1"/>
  <c r="H2463" i="1"/>
  <c r="G2463" i="1"/>
  <c r="I2462" i="1"/>
  <c r="H2462" i="1"/>
  <c r="G2462" i="1"/>
  <c r="I2461" i="1"/>
  <c r="H2461" i="1"/>
  <c r="G2461" i="1"/>
  <c r="I2460" i="1"/>
  <c r="H2460" i="1"/>
  <c r="G2460" i="1"/>
  <c r="I2459" i="1"/>
  <c r="H2459" i="1"/>
  <c r="G2459" i="1"/>
  <c r="I2458" i="1"/>
  <c r="H2458" i="1"/>
  <c r="G2458" i="1"/>
  <c r="I2457" i="1"/>
  <c r="H2457" i="1"/>
  <c r="G2457" i="1"/>
  <c r="I2456" i="1"/>
  <c r="H2456" i="1"/>
  <c r="G2456" i="1"/>
  <c r="I2455" i="1"/>
  <c r="H2455" i="1"/>
  <c r="G2455" i="1"/>
  <c r="I2454" i="1"/>
  <c r="H2454" i="1"/>
  <c r="G2454" i="1"/>
  <c r="I2453" i="1"/>
  <c r="H2453" i="1"/>
  <c r="G2453" i="1"/>
  <c r="I2452" i="1"/>
  <c r="H2452" i="1"/>
  <c r="G2452" i="1"/>
  <c r="I2451" i="1"/>
  <c r="H2451" i="1"/>
  <c r="G2451" i="1"/>
  <c r="I2450" i="1"/>
  <c r="H2450" i="1"/>
  <c r="G2450" i="1"/>
  <c r="I2449" i="1"/>
  <c r="H2449" i="1"/>
  <c r="G2449" i="1"/>
  <c r="I2448" i="1"/>
  <c r="H2448" i="1"/>
  <c r="G2448" i="1"/>
  <c r="I2447" i="1"/>
  <c r="H2447" i="1"/>
  <c r="G2447" i="1"/>
  <c r="I2446" i="1"/>
  <c r="H2446" i="1"/>
  <c r="G2446" i="1"/>
  <c r="I2445" i="1"/>
  <c r="H2445" i="1"/>
  <c r="G2445" i="1"/>
  <c r="I2444" i="1"/>
  <c r="H2444" i="1"/>
  <c r="G2444" i="1"/>
  <c r="I2443" i="1"/>
  <c r="H2443" i="1"/>
  <c r="G2443" i="1"/>
  <c r="I2442" i="1"/>
  <c r="H2442" i="1"/>
  <c r="G2442" i="1"/>
  <c r="I2441" i="1"/>
  <c r="H2441" i="1"/>
  <c r="G2441" i="1"/>
  <c r="I2440" i="1"/>
  <c r="H2440" i="1"/>
  <c r="G2440" i="1"/>
  <c r="I2439" i="1"/>
  <c r="H2439" i="1"/>
  <c r="G2439" i="1"/>
  <c r="I2438" i="1"/>
  <c r="H2438" i="1"/>
  <c r="G2438" i="1"/>
  <c r="I2437" i="1"/>
  <c r="H2437" i="1"/>
  <c r="G2437" i="1"/>
  <c r="I2436" i="1"/>
  <c r="H2436" i="1"/>
  <c r="G2436" i="1"/>
  <c r="I2435" i="1"/>
  <c r="H2435" i="1"/>
  <c r="G2435" i="1"/>
  <c r="I2434" i="1"/>
  <c r="H2434" i="1"/>
  <c r="G2434" i="1"/>
  <c r="I2433" i="1"/>
  <c r="H2433" i="1"/>
  <c r="G2433" i="1"/>
  <c r="I2432" i="1"/>
  <c r="H2432" i="1"/>
  <c r="G2432" i="1"/>
  <c r="I2431" i="1"/>
  <c r="H2431" i="1"/>
  <c r="G2431" i="1"/>
  <c r="I2430" i="1"/>
  <c r="H2430" i="1"/>
  <c r="G2430" i="1"/>
  <c r="I2429" i="1"/>
  <c r="H2429" i="1"/>
  <c r="G2429" i="1"/>
  <c r="I2428" i="1"/>
  <c r="H2428" i="1"/>
  <c r="G2428" i="1"/>
  <c r="I2427" i="1"/>
  <c r="H2427" i="1"/>
  <c r="G2427" i="1"/>
  <c r="I2426" i="1"/>
  <c r="H2426" i="1"/>
  <c r="G2426" i="1"/>
  <c r="I2425" i="1"/>
  <c r="H2425" i="1"/>
  <c r="G2425" i="1"/>
  <c r="I2424" i="1"/>
  <c r="H2424" i="1"/>
  <c r="G2424" i="1"/>
  <c r="I2423" i="1"/>
  <c r="H2423" i="1"/>
  <c r="G2423" i="1"/>
  <c r="I2422" i="1"/>
  <c r="H2422" i="1"/>
  <c r="G2422" i="1"/>
  <c r="I2421" i="1"/>
  <c r="H2421" i="1"/>
  <c r="G2421" i="1"/>
  <c r="I2420" i="1"/>
  <c r="H2420" i="1"/>
  <c r="G2420" i="1"/>
  <c r="I2419" i="1"/>
  <c r="H2419" i="1"/>
  <c r="G2419" i="1"/>
  <c r="I2418" i="1"/>
  <c r="H2418" i="1"/>
  <c r="G2418" i="1"/>
  <c r="I2417" i="1"/>
  <c r="H2417" i="1"/>
  <c r="G2417" i="1"/>
  <c r="I2416" i="1"/>
  <c r="H2416" i="1"/>
  <c r="G2416" i="1"/>
  <c r="I2415" i="1"/>
  <c r="H2415" i="1"/>
  <c r="G2415" i="1"/>
  <c r="I2414" i="1"/>
  <c r="H2414" i="1"/>
  <c r="G2414" i="1"/>
  <c r="I2413" i="1"/>
  <c r="H2413" i="1"/>
  <c r="G2413" i="1"/>
  <c r="I2412" i="1"/>
  <c r="H2412" i="1"/>
  <c r="G2412" i="1"/>
  <c r="I2411" i="1"/>
  <c r="H2411" i="1"/>
  <c r="G2411" i="1"/>
  <c r="I2410" i="1"/>
  <c r="H2410" i="1"/>
  <c r="G2410" i="1"/>
  <c r="I2409" i="1"/>
  <c r="H2409" i="1"/>
  <c r="G2409" i="1"/>
  <c r="I2408" i="1"/>
  <c r="H2408" i="1"/>
  <c r="G2408" i="1"/>
  <c r="I2407" i="1"/>
  <c r="H2407" i="1"/>
  <c r="G2407" i="1"/>
  <c r="I2406" i="1"/>
  <c r="H2406" i="1"/>
  <c r="G2406" i="1"/>
  <c r="I2405" i="1"/>
  <c r="H2405" i="1"/>
  <c r="G2405" i="1"/>
  <c r="I2404" i="1"/>
  <c r="H2404" i="1"/>
  <c r="G2404" i="1"/>
  <c r="I2403" i="1"/>
  <c r="H2403" i="1"/>
  <c r="G2403" i="1"/>
  <c r="I2402" i="1"/>
  <c r="H2402" i="1"/>
  <c r="G2402" i="1"/>
  <c r="I2401" i="1"/>
  <c r="H2401" i="1"/>
  <c r="G2401" i="1"/>
  <c r="I2400" i="1"/>
  <c r="H2400" i="1"/>
  <c r="G2400" i="1"/>
  <c r="I2399" i="1"/>
  <c r="H2399" i="1"/>
  <c r="G2399" i="1"/>
  <c r="I2398" i="1"/>
  <c r="H2398" i="1"/>
  <c r="G2398" i="1"/>
  <c r="I2397" i="1"/>
  <c r="H2397" i="1"/>
  <c r="G2397" i="1"/>
  <c r="I2396" i="1"/>
  <c r="H2396" i="1"/>
  <c r="G2396" i="1"/>
  <c r="I2395" i="1"/>
  <c r="H2395" i="1"/>
  <c r="G2395" i="1"/>
  <c r="I2394" i="1"/>
  <c r="H2394" i="1"/>
  <c r="G2394" i="1"/>
  <c r="I2393" i="1"/>
  <c r="H2393" i="1"/>
  <c r="G2393" i="1"/>
  <c r="I2392" i="1"/>
  <c r="H2392" i="1"/>
  <c r="G2392" i="1"/>
  <c r="I2391" i="1"/>
  <c r="H2391" i="1"/>
  <c r="G2391" i="1"/>
  <c r="I2390" i="1"/>
  <c r="H2390" i="1"/>
  <c r="G2390" i="1"/>
  <c r="I2389" i="1"/>
  <c r="H2389" i="1"/>
  <c r="G2389" i="1"/>
  <c r="I2388" i="1"/>
  <c r="H2388" i="1"/>
  <c r="G2388" i="1"/>
  <c r="I2387" i="1"/>
  <c r="H2387" i="1"/>
  <c r="G2387" i="1"/>
  <c r="I2386" i="1"/>
  <c r="H2386" i="1"/>
  <c r="G2386" i="1"/>
  <c r="I2385" i="1"/>
  <c r="H2385" i="1"/>
  <c r="G2385" i="1"/>
  <c r="I2384" i="1"/>
  <c r="H2384" i="1"/>
  <c r="G2384" i="1"/>
  <c r="I2383" i="1"/>
  <c r="H2383" i="1"/>
  <c r="G2383" i="1"/>
  <c r="I2382" i="1"/>
  <c r="H2382" i="1"/>
  <c r="G2382" i="1"/>
  <c r="I2381" i="1"/>
  <c r="H2381" i="1"/>
  <c r="G2381" i="1"/>
  <c r="I2380" i="1"/>
  <c r="H2380" i="1"/>
  <c r="G2380" i="1"/>
  <c r="I2379" i="1"/>
  <c r="H2379" i="1"/>
  <c r="G2379" i="1"/>
  <c r="I2378" i="1"/>
  <c r="H2378" i="1"/>
  <c r="G2378" i="1"/>
  <c r="I2377" i="1"/>
  <c r="H2377" i="1"/>
  <c r="G2377" i="1"/>
  <c r="I2376" i="1"/>
  <c r="H2376" i="1"/>
  <c r="G2376" i="1"/>
  <c r="I2375" i="1"/>
  <c r="H2375" i="1"/>
  <c r="G2375" i="1"/>
  <c r="I2374" i="1"/>
  <c r="H2374" i="1"/>
  <c r="G2374" i="1"/>
  <c r="I2373" i="1"/>
  <c r="H2373" i="1"/>
  <c r="G2373" i="1"/>
  <c r="I2372" i="1"/>
  <c r="H2372" i="1"/>
  <c r="G2372" i="1"/>
  <c r="I2371" i="1"/>
  <c r="H2371" i="1"/>
  <c r="G2371" i="1"/>
  <c r="I2370" i="1"/>
  <c r="H2370" i="1"/>
  <c r="G2370" i="1"/>
  <c r="I2369" i="1"/>
  <c r="H2369" i="1"/>
  <c r="G2369" i="1"/>
  <c r="I2368" i="1"/>
  <c r="H2368" i="1"/>
  <c r="G2368" i="1"/>
  <c r="I2367" i="1"/>
  <c r="H2367" i="1"/>
  <c r="G2367" i="1"/>
  <c r="I2366" i="1"/>
  <c r="H2366" i="1"/>
  <c r="G2366" i="1"/>
  <c r="I2365" i="1"/>
  <c r="H2365" i="1"/>
  <c r="G2365" i="1"/>
  <c r="I2364" i="1"/>
  <c r="H2364" i="1"/>
  <c r="G2364" i="1"/>
  <c r="I2363" i="1"/>
  <c r="H2363" i="1"/>
  <c r="G2363" i="1"/>
  <c r="I2362" i="1"/>
  <c r="H2362" i="1"/>
  <c r="G2362" i="1"/>
  <c r="I2361" i="1"/>
  <c r="H2361" i="1"/>
  <c r="G2361" i="1"/>
  <c r="I2360" i="1"/>
  <c r="H2360" i="1"/>
  <c r="G2360" i="1"/>
  <c r="I2359" i="1"/>
  <c r="H2359" i="1"/>
  <c r="G2359" i="1"/>
  <c r="I2358" i="1"/>
  <c r="H2358" i="1"/>
  <c r="G2358" i="1"/>
  <c r="I2357" i="1"/>
  <c r="H2357" i="1"/>
  <c r="G2357" i="1"/>
  <c r="I2356" i="1"/>
  <c r="H2356" i="1"/>
  <c r="G2356" i="1"/>
  <c r="I2355" i="1"/>
  <c r="H2355" i="1"/>
  <c r="G2355" i="1"/>
  <c r="I2354" i="1"/>
  <c r="H2354" i="1"/>
  <c r="G2354" i="1"/>
  <c r="I2353" i="1"/>
  <c r="H2353" i="1"/>
  <c r="G2353" i="1"/>
  <c r="I2352" i="1"/>
  <c r="H2352" i="1"/>
  <c r="G2352" i="1"/>
  <c r="I2351" i="1"/>
  <c r="H2351" i="1"/>
  <c r="G2351" i="1"/>
  <c r="I2350" i="1"/>
  <c r="H2350" i="1"/>
  <c r="G2350" i="1"/>
  <c r="I2349" i="1"/>
  <c r="H2349" i="1"/>
  <c r="G2349" i="1"/>
  <c r="I2348" i="1"/>
  <c r="H2348" i="1"/>
  <c r="G2348" i="1"/>
  <c r="I2347" i="1"/>
  <c r="H2347" i="1"/>
  <c r="G2347" i="1"/>
  <c r="I2346" i="1"/>
  <c r="H2346" i="1"/>
  <c r="G2346" i="1"/>
  <c r="I2345" i="1"/>
  <c r="H2345" i="1"/>
  <c r="G2345" i="1"/>
  <c r="I2344" i="1"/>
  <c r="H2344" i="1"/>
  <c r="G2344" i="1"/>
  <c r="I2343" i="1"/>
  <c r="H2343" i="1"/>
  <c r="G2343" i="1"/>
  <c r="I2342" i="1"/>
  <c r="H2342" i="1"/>
  <c r="G2342" i="1"/>
  <c r="I2341" i="1"/>
  <c r="H2341" i="1"/>
  <c r="G2341" i="1"/>
  <c r="I2340" i="1"/>
  <c r="H2340" i="1"/>
  <c r="G2340" i="1"/>
  <c r="I2339" i="1"/>
  <c r="H2339" i="1"/>
  <c r="G2339" i="1"/>
  <c r="I2338" i="1"/>
  <c r="H2338" i="1"/>
  <c r="G2338" i="1"/>
  <c r="I2337" i="1"/>
  <c r="H2337" i="1"/>
  <c r="G2337" i="1"/>
  <c r="I2336" i="1"/>
  <c r="H2336" i="1"/>
  <c r="G2336" i="1"/>
  <c r="I2335" i="1"/>
  <c r="H2335" i="1"/>
  <c r="G2335" i="1"/>
  <c r="I2334" i="1"/>
  <c r="H2334" i="1"/>
  <c r="G2334" i="1"/>
  <c r="I2333" i="1"/>
  <c r="H2333" i="1"/>
  <c r="G2333" i="1"/>
  <c r="I2332" i="1"/>
  <c r="H2332" i="1"/>
  <c r="G2332" i="1"/>
  <c r="I2331" i="1"/>
  <c r="H2331" i="1"/>
  <c r="G2331" i="1"/>
  <c r="I2330" i="1"/>
  <c r="H2330" i="1"/>
  <c r="G2330" i="1"/>
  <c r="I2329" i="1"/>
  <c r="H2329" i="1"/>
  <c r="G2329" i="1"/>
  <c r="I2328" i="1"/>
  <c r="H2328" i="1"/>
  <c r="G2328" i="1"/>
  <c r="I2327" i="1"/>
  <c r="H2327" i="1"/>
  <c r="G2327" i="1"/>
  <c r="I2326" i="1"/>
  <c r="H2326" i="1"/>
  <c r="G2326" i="1"/>
  <c r="I2325" i="1"/>
  <c r="H2325" i="1"/>
  <c r="G2325" i="1"/>
  <c r="I2324" i="1"/>
  <c r="H2324" i="1"/>
  <c r="G2324" i="1"/>
  <c r="I2323" i="1"/>
  <c r="H2323" i="1"/>
  <c r="G2323" i="1"/>
  <c r="I2322" i="1"/>
  <c r="H2322" i="1"/>
  <c r="G2322" i="1"/>
  <c r="I2321" i="1"/>
  <c r="H2321" i="1"/>
  <c r="G2321" i="1"/>
  <c r="I2320" i="1"/>
  <c r="H2320" i="1"/>
  <c r="G2320" i="1"/>
  <c r="I2319" i="1"/>
  <c r="H2319" i="1"/>
  <c r="G2319" i="1"/>
  <c r="I2318" i="1"/>
  <c r="H2318" i="1"/>
  <c r="G2318" i="1"/>
  <c r="I2317" i="1"/>
  <c r="H2317" i="1"/>
  <c r="G2317" i="1"/>
  <c r="I2316" i="1"/>
  <c r="H2316" i="1"/>
  <c r="G2316" i="1"/>
  <c r="I2315" i="1"/>
  <c r="H2315" i="1"/>
  <c r="G2315" i="1"/>
  <c r="I2314" i="1"/>
  <c r="H2314" i="1"/>
  <c r="G2314" i="1"/>
  <c r="I2313" i="1"/>
  <c r="H2313" i="1"/>
  <c r="G2313" i="1"/>
  <c r="I2312" i="1"/>
  <c r="H2312" i="1"/>
  <c r="G2312" i="1"/>
  <c r="I2311" i="1"/>
  <c r="H2311" i="1"/>
  <c r="G2311" i="1"/>
  <c r="I2310" i="1"/>
  <c r="H2310" i="1"/>
  <c r="G2310" i="1"/>
  <c r="I2309" i="1"/>
  <c r="H2309" i="1"/>
  <c r="G2309" i="1"/>
  <c r="I2308" i="1"/>
  <c r="H2308" i="1"/>
  <c r="G2308" i="1"/>
  <c r="I2307" i="1"/>
  <c r="H2307" i="1"/>
  <c r="G2307" i="1"/>
  <c r="I2306" i="1"/>
  <c r="H2306" i="1"/>
  <c r="G2306" i="1"/>
  <c r="I2305" i="1"/>
  <c r="H2305" i="1"/>
  <c r="G2305" i="1"/>
  <c r="I2304" i="1"/>
  <c r="H2304" i="1"/>
  <c r="G2304" i="1"/>
  <c r="I2303" i="1"/>
  <c r="H2303" i="1"/>
  <c r="G2303" i="1"/>
  <c r="I2302" i="1"/>
  <c r="H2302" i="1"/>
  <c r="G2302" i="1"/>
  <c r="I2301" i="1"/>
  <c r="H2301" i="1"/>
  <c r="G2301" i="1"/>
  <c r="I2300" i="1"/>
  <c r="H2300" i="1"/>
  <c r="G2300" i="1"/>
  <c r="I2299" i="1"/>
  <c r="H2299" i="1"/>
  <c r="G2299" i="1"/>
  <c r="I2298" i="1"/>
  <c r="H2298" i="1"/>
  <c r="G2298" i="1"/>
  <c r="I2297" i="1"/>
  <c r="H2297" i="1"/>
  <c r="G2297" i="1"/>
  <c r="I2296" i="1"/>
  <c r="H2296" i="1"/>
  <c r="G2296" i="1"/>
  <c r="I2295" i="1"/>
  <c r="H2295" i="1"/>
  <c r="G2295" i="1"/>
  <c r="I2294" i="1"/>
  <c r="H2294" i="1"/>
  <c r="G2294" i="1"/>
  <c r="I2293" i="1"/>
  <c r="H2293" i="1"/>
  <c r="G2293" i="1"/>
  <c r="I2292" i="1"/>
  <c r="H2292" i="1"/>
  <c r="G2292" i="1"/>
  <c r="I2291" i="1"/>
  <c r="H2291" i="1"/>
  <c r="G2291" i="1"/>
  <c r="I2290" i="1"/>
  <c r="H2290" i="1"/>
  <c r="G2290" i="1"/>
  <c r="I2289" i="1"/>
  <c r="H2289" i="1"/>
  <c r="G2289" i="1"/>
  <c r="I2288" i="1"/>
  <c r="H2288" i="1"/>
  <c r="G2288" i="1"/>
  <c r="I2287" i="1"/>
  <c r="H2287" i="1"/>
  <c r="G2287" i="1"/>
  <c r="I2286" i="1"/>
  <c r="H2286" i="1"/>
  <c r="G2286" i="1"/>
  <c r="I2285" i="1"/>
  <c r="H2285" i="1"/>
  <c r="G2285" i="1"/>
  <c r="I2284" i="1"/>
  <c r="H2284" i="1"/>
  <c r="G2284" i="1"/>
  <c r="I2283" i="1"/>
  <c r="H2283" i="1"/>
  <c r="G2283" i="1"/>
  <c r="I2282" i="1"/>
  <c r="H2282" i="1"/>
  <c r="G2282" i="1"/>
  <c r="I2281" i="1"/>
  <c r="H2281" i="1"/>
  <c r="G2281" i="1"/>
  <c r="I2280" i="1"/>
  <c r="H2280" i="1"/>
  <c r="G2280" i="1"/>
  <c r="I2279" i="1"/>
  <c r="H2279" i="1"/>
  <c r="G2279" i="1"/>
  <c r="I2278" i="1"/>
  <c r="H2278" i="1"/>
  <c r="G2278" i="1"/>
  <c r="I2277" i="1"/>
  <c r="H2277" i="1"/>
  <c r="G2277" i="1"/>
  <c r="I2276" i="1"/>
  <c r="H2276" i="1"/>
  <c r="G2276" i="1"/>
  <c r="I2275" i="1"/>
  <c r="H2275" i="1"/>
  <c r="G2275" i="1"/>
  <c r="I2274" i="1"/>
  <c r="H2274" i="1"/>
  <c r="G2274" i="1"/>
  <c r="I2273" i="1"/>
  <c r="H2273" i="1"/>
  <c r="G2273" i="1"/>
  <c r="I2272" i="1"/>
  <c r="H2272" i="1"/>
  <c r="G2272" i="1"/>
  <c r="I2271" i="1"/>
  <c r="H2271" i="1"/>
  <c r="G2271" i="1"/>
  <c r="I2270" i="1"/>
  <c r="H2270" i="1"/>
  <c r="G2270" i="1"/>
  <c r="I2269" i="1"/>
  <c r="H2269" i="1"/>
  <c r="G2269" i="1"/>
  <c r="I2268" i="1"/>
  <c r="H2268" i="1"/>
  <c r="G2268" i="1"/>
  <c r="I2267" i="1"/>
  <c r="H2267" i="1"/>
  <c r="G2267" i="1"/>
  <c r="I2266" i="1"/>
  <c r="H2266" i="1"/>
  <c r="G2266" i="1"/>
  <c r="I2265" i="1"/>
  <c r="H2265" i="1"/>
  <c r="G2265" i="1"/>
  <c r="I2264" i="1"/>
  <c r="H2264" i="1"/>
  <c r="G2264" i="1"/>
  <c r="I2263" i="1"/>
  <c r="H2263" i="1"/>
  <c r="G2263" i="1"/>
  <c r="I2262" i="1"/>
  <c r="H2262" i="1"/>
  <c r="G2262" i="1"/>
  <c r="I2261" i="1"/>
  <c r="H2261" i="1"/>
  <c r="G2261" i="1"/>
  <c r="I2260" i="1"/>
  <c r="H2260" i="1"/>
  <c r="G2260" i="1"/>
  <c r="I2259" i="1"/>
  <c r="H2259" i="1"/>
  <c r="G2259" i="1"/>
  <c r="I2258" i="1"/>
  <c r="H2258" i="1"/>
  <c r="G2258" i="1"/>
  <c r="I2257" i="1"/>
  <c r="H2257" i="1"/>
  <c r="G2257" i="1"/>
  <c r="I2256" i="1"/>
  <c r="H2256" i="1"/>
  <c r="G2256" i="1"/>
  <c r="I2255" i="1"/>
  <c r="H2255" i="1"/>
  <c r="G2255" i="1"/>
  <c r="I2254" i="1"/>
  <c r="H2254" i="1"/>
  <c r="G2254" i="1"/>
  <c r="I2253" i="1"/>
  <c r="H2253" i="1"/>
  <c r="G2253" i="1"/>
  <c r="I2252" i="1"/>
  <c r="H2252" i="1"/>
  <c r="G2252" i="1"/>
  <c r="I2251" i="1"/>
  <c r="H2251" i="1"/>
  <c r="G2251" i="1"/>
  <c r="I2250" i="1"/>
  <c r="H2250" i="1"/>
  <c r="G2250" i="1"/>
  <c r="I2249" i="1"/>
  <c r="H2249" i="1"/>
  <c r="G2249" i="1"/>
  <c r="I2248" i="1"/>
  <c r="H2248" i="1"/>
  <c r="G2248" i="1"/>
  <c r="I2247" i="1"/>
  <c r="H2247" i="1"/>
  <c r="G2247" i="1"/>
  <c r="I2246" i="1"/>
  <c r="H2246" i="1"/>
  <c r="G2246" i="1"/>
  <c r="I2245" i="1"/>
  <c r="H2245" i="1"/>
  <c r="G2245" i="1"/>
  <c r="I2244" i="1"/>
  <c r="H2244" i="1"/>
  <c r="G2244" i="1"/>
  <c r="I2243" i="1"/>
  <c r="H2243" i="1"/>
  <c r="G2243" i="1"/>
  <c r="I2242" i="1"/>
  <c r="H2242" i="1"/>
  <c r="G2242" i="1"/>
  <c r="I2241" i="1"/>
  <c r="H2241" i="1"/>
  <c r="G2241" i="1"/>
  <c r="I2240" i="1"/>
  <c r="H2240" i="1"/>
  <c r="G2240" i="1"/>
  <c r="I2239" i="1"/>
  <c r="H2239" i="1"/>
  <c r="G2239" i="1"/>
  <c r="I2238" i="1"/>
  <c r="H2238" i="1"/>
  <c r="G2238" i="1"/>
  <c r="I2237" i="1"/>
  <c r="H2237" i="1"/>
  <c r="G2237" i="1"/>
  <c r="I2236" i="1"/>
  <c r="H2236" i="1"/>
  <c r="G2236" i="1"/>
  <c r="I2235" i="1"/>
  <c r="H2235" i="1"/>
  <c r="G2235" i="1"/>
  <c r="I2234" i="1"/>
  <c r="H2234" i="1"/>
  <c r="G2234" i="1"/>
  <c r="I2233" i="1"/>
  <c r="H2233" i="1"/>
  <c r="G2233" i="1"/>
  <c r="I2232" i="1"/>
  <c r="H2232" i="1"/>
  <c r="G2232" i="1"/>
  <c r="I2231" i="1"/>
  <c r="H2231" i="1"/>
  <c r="G2231" i="1"/>
  <c r="I2230" i="1"/>
  <c r="H2230" i="1"/>
  <c r="G2230" i="1"/>
  <c r="I2229" i="1"/>
  <c r="H2229" i="1"/>
  <c r="G2229" i="1"/>
  <c r="I2228" i="1"/>
  <c r="H2228" i="1"/>
  <c r="G2228" i="1"/>
  <c r="I2227" i="1"/>
  <c r="H2227" i="1"/>
  <c r="G2227" i="1"/>
  <c r="I2226" i="1"/>
  <c r="H2226" i="1"/>
  <c r="G2226" i="1"/>
  <c r="I2225" i="1"/>
  <c r="H2225" i="1"/>
  <c r="G2225" i="1"/>
  <c r="I2224" i="1"/>
  <c r="H2224" i="1"/>
  <c r="G2224" i="1"/>
  <c r="I2223" i="1"/>
  <c r="H2223" i="1"/>
  <c r="G2223" i="1"/>
  <c r="I2222" i="1"/>
  <c r="H2222" i="1"/>
  <c r="G2222" i="1"/>
  <c r="I2221" i="1"/>
  <c r="H2221" i="1"/>
  <c r="G2221" i="1"/>
  <c r="I2220" i="1"/>
  <c r="H2220" i="1"/>
  <c r="G2220" i="1"/>
  <c r="I2219" i="1"/>
  <c r="H2219" i="1"/>
  <c r="G2219" i="1"/>
  <c r="I2218" i="1"/>
  <c r="H2218" i="1"/>
  <c r="G2218" i="1"/>
  <c r="I2217" i="1"/>
  <c r="H2217" i="1"/>
  <c r="G2217" i="1"/>
  <c r="I2216" i="1"/>
  <c r="H2216" i="1"/>
  <c r="G2216" i="1"/>
  <c r="I2215" i="1"/>
  <c r="H2215" i="1"/>
  <c r="G2215" i="1"/>
  <c r="I2214" i="1"/>
  <c r="H2214" i="1"/>
  <c r="G2214" i="1"/>
  <c r="I2213" i="1"/>
  <c r="H2213" i="1"/>
  <c r="G2213" i="1"/>
  <c r="I2212" i="1"/>
  <c r="H2212" i="1"/>
  <c r="G2212" i="1"/>
  <c r="I2211" i="1"/>
  <c r="H2211" i="1"/>
  <c r="G2211" i="1"/>
  <c r="I2210" i="1"/>
  <c r="H2210" i="1"/>
  <c r="G2210" i="1"/>
  <c r="I2209" i="1"/>
  <c r="H2209" i="1"/>
  <c r="G2209" i="1"/>
  <c r="I2208" i="1"/>
  <c r="H2208" i="1"/>
  <c r="G2208" i="1"/>
  <c r="I2207" i="1"/>
  <c r="H2207" i="1"/>
  <c r="G2207" i="1"/>
  <c r="I2206" i="1"/>
  <c r="H2206" i="1"/>
  <c r="G2206" i="1"/>
  <c r="I2205" i="1"/>
  <c r="H2205" i="1"/>
  <c r="G2205" i="1"/>
  <c r="I2204" i="1"/>
  <c r="H2204" i="1"/>
  <c r="G2204" i="1"/>
  <c r="I2203" i="1"/>
  <c r="H2203" i="1"/>
  <c r="G2203" i="1"/>
  <c r="I2202" i="1"/>
  <c r="H2202" i="1"/>
  <c r="G2202" i="1"/>
  <c r="I2201" i="1"/>
  <c r="H2201" i="1"/>
  <c r="G2201" i="1"/>
  <c r="I2200" i="1"/>
  <c r="H2200" i="1"/>
  <c r="G2200" i="1"/>
  <c r="I2199" i="1"/>
  <c r="H2199" i="1"/>
  <c r="G2199" i="1"/>
  <c r="I2198" i="1"/>
  <c r="H2198" i="1"/>
  <c r="G2198" i="1"/>
  <c r="I2197" i="1"/>
  <c r="H2197" i="1"/>
  <c r="G2197" i="1"/>
  <c r="I2196" i="1"/>
  <c r="H2196" i="1"/>
  <c r="G2196" i="1"/>
  <c r="I2195" i="1"/>
  <c r="H2195" i="1"/>
  <c r="G2195" i="1"/>
  <c r="I2194" i="1"/>
  <c r="H2194" i="1"/>
  <c r="G2194" i="1"/>
  <c r="I2193" i="1"/>
  <c r="H2193" i="1"/>
  <c r="G2193" i="1"/>
  <c r="I2192" i="1"/>
  <c r="H2192" i="1"/>
  <c r="G2192" i="1"/>
  <c r="I2191" i="1"/>
  <c r="H2191" i="1"/>
  <c r="G2191" i="1"/>
  <c r="I2190" i="1"/>
  <c r="H2190" i="1"/>
  <c r="G2190" i="1"/>
  <c r="I2189" i="1"/>
  <c r="H2189" i="1"/>
  <c r="G2189" i="1"/>
  <c r="I2188" i="1"/>
  <c r="H2188" i="1"/>
  <c r="G2188" i="1"/>
  <c r="I2187" i="1"/>
  <c r="H2187" i="1"/>
  <c r="G2187" i="1"/>
  <c r="I2186" i="1"/>
  <c r="H2186" i="1"/>
  <c r="G2186" i="1"/>
  <c r="I2185" i="1"/>
  <c r="H2185" i="1"/>
  <c r="G2185" i="1"/>
  <c r="I2184" i="1"/>
  <c r="H2184" i="1"/>
  <c r="G2184" i="1"/>
  <c r="I2183" i="1"/>
  <c r="H2183" i="1"/>
  <c r="G2183" i="1"/>
  <c r="I2182" i="1"/>
  <c r="H2182" i="1"/>
  <c r="G2182" i="1"/>
  <c r="I2181" i="1"/>
  <c r="H2181" i="1"/>
  <c r="G2181" i="1"/>
  <c r="I2180" i="1"/>
  <c r="H2180" i="1"/>
  <c r="G2180" i="1"/>
  <c r="I2179" i="1"/>
  <c r="H2179" i="1"/>
  <c r="G2179" i="1"/>
  <c r="I2178" i="1"/>
  <c r="H2178" i="1"/>
  <c r="G2178" i="1"/>
  <c r="I2177" i="1"/>
  <c r="H2177" i="1"/>
  <c r="G2177" i="1"/>
  <c r="I2176" i="1"/>
  <c r="H2176" i="1"/>
  <c r="G2176" i="1"/>
  <c r="I2175" i="1"/>
  <c r="H2175" i="1"/>
  <c r="G2175" i="1"/>
  <c r="I2174" i="1"/>
  <c r="H2174" i="1"/>
  <c r="G2174" i="1"/>
  <c r="I2173" i="1"/>
  <c r="H2173" i="1"/>
  <c r="G2173" i="1"/>
  <c r="I2172" i="1"/>
  <c r="H2172" i="1"/>
  <c r="G2172" i="1"/>
  <c r="I2171" i="1"/>
  <c r="H2171" i="1"/>
  <c r="G2171" i="1"/>
  <c r="I2170" i="1"/>
  <c r="H2170" i="1"/>
  <c r="G2170" i="1"/>
  <c r="I2169" i="1"/>
  <c r="H2169" i="1"/>
  <c r="G2169" i="1"/>
  <c r="I2168" i="1"/>
  <c r="H2168" i="1"/>
  <c r="G2168" i="1"/>
  <c r="I2167" i="1"/>
  <c r="H2167" i="1"/>
  <c r="G2167" i="1"/>
  <c r="I2166" i="1"/>
  <c r="H2166" i="1"/>
  <c r="G2166" i="1"/>
  <c r="I2165" i="1"/>
  <c r="H2165" i="1"/>
  <c r="G2165" i="1"/>
  <c r="I2164" i="1"/>
  <c r="H2164" i="1"/>
  <c r="G2164" i="1"/>
  <c r="I2163" i="1"/>
  <c r="H2163" i="1"/>
  <c r="G2163" i="1"/>
  <c r="I2162" i="1"/>
  <c r="H2162" i="1"/>
  <c r="G2162" i="1"/>
  <c r="I2161" i="1"/>
  <c r="H2161" i="1"/>
  <c r="G2161" i="1"/>
  <c r="I2160" i="1"/>
  <c r="H2160" i="1"/>
  <c r="G2160" i="1"/>
  <c r="I2159" i="1"/>
  <c r="H2159" i="1"/>
  <c r="G2159" i="1"/>
  <c r="I2158" i="1"/>
  <c r="H2158" i="1"/>
  <c r="G2158" i="1"/>
  <c r="I2157" i="1"/>
  <c r="H2157" i="1"/>
  <c r="G2157" i="1"/>
  <c r="I2156" i="1"/>
  <c r="H2156" i="1"/>
  <c r="G2156" i="1"/>
  <c r="I2155" i="1"/>
  <c r="H2155" i="1"/>
  <c r="G2155" i="1"/>
  <c r="I2154" i="1"/>
  <c r="H2154" i="1"/>
  <c r="G2154" i="1"/>
  <c r="I2153" i="1"/>
  <c r="H2153" i="1"/>
  <c r="G2153" i="1"/>
  <c r="I2152" i="1"/>
  <c r="H2152" i="1"/>
  <c r="G2152" i="1"/>
  <c r="I2151" i="1"/>
  <c r="H2151" i="1"/>
  <c r="G2151" i="1"/>
  <c r="I2150" i="1"/>
  <c r="H2150" i="1"/>
  <c r="G2150" i="1"/>
  <c r="I2149" i="1"/>
  <c r="H2149" i="1"/>
  <c r="G2149" i="1"/>
  <c r="I2148" i="1"/>
  <c r="H2148" i="1"/>
  <c r="G2148" i="1"/>
  <c r="I2147" i="1"/>
  <c r="H2147" i="1"/>
  <c r="G2147" i="1"/>
  <c r="I2146" i="1"/>
  <c r="H2146" i="1"/>
  <c r="G2146" i="1"/>
  <c r="I2145" i="1"/>
  <c r="H2145" i="1"/>
  <c r="G2145" i="1"/>
  <c r="I2144" i="1"/>
  <c r="H2144" i="1"/>
  <c r="G2144" i="1"/>
  <c r="I2143" i="1"/>
  <c r="H2143" i="1"/>
  <c r="G2143" i="1"/>
  <c r="I2142" i="1"/>
  <c r="H2142" i="1"/>
  <c r="G2142" i="1"/>
  <c r="I2141" i="1"/>
  <c r="H2141" i="1"/>
  <c r="G2141" i="1"/>
  <c r="I2140" i="1"/>
  <c r="H2140" i="1"/>
  <c r="G2140" i="1"/>
  <c r="I2139" i="1"/>
  <c r="H2139" i="1"/>
  <c r="G2139" i="1"/>
  <c r="I2138" i="1"/>
  <c r="H2138" i="1"/>
  <c r="G2138" i="1"/>
  <c r="I2137" i="1"/>
  <c r="H2137" i="1"/>
  <c r="G2137" i="1"/>
  <c r="I2136" i="1"/>
  <c r="H2136" i="1"/>
  <c r="G2136" i="1"/>
  <c r="I2135" i="1"/>
  <c r="H2135" i="1"/>
  <c r="G2135" i="1"/>
  <c r="I2134" i="1"/>
  <c r="H2134" i="1"/>
  <c r="G2134" i="1"/>
  <c r="I2133" i="1"/>
  <c r="H2133" i="1"/>
  <c r="G2133" i="1"/>
  <c r="I2132" i="1"/>
  <c r="H2132" i="1"/>
  <c r="G2132" i="1"/>
  <c r="I2131" i="1"/>
  <c r="H2131" i="1"/>
  <c r="G2131" i="1"/>
  <c r="I2130" i="1"/>
  <c r="H2130" i="1"/>
  <c r="G2130" i="1"/>
  <c r="I2129" i="1"/>
  <c r="H2129" i="1"/>
  <c r="G2129" i="1"/>
  <c r="I2128" i="1"/>
  <c r="H2128" i="1"/>
  <c r="G2128" i="1"/>
  <c r="I2127" i="1"/>
  <c r="H2127" i="1"/>
  <c r="G2127" i="1"/>
  <c r="I2126" i="1"/>
  <c r="H2126" i="1"/>
  <c r="G2126" i="1"/>
  <c r="I2125" i="1"/>
  <c r="H2125" i="1"/>
  <c r="G2125" i="1"/>
  <c r="I2124" i="1"/>
  <c r="H2124" i="1"/>
  <c r="G2124" i="1"/>
  <c r="I2123" i="1"/>
  <c r="H2123" i="1"/>
  <c r="G2123" i="1"/>
  <c r="I2122" i="1"/>
  <c r="H2122" i="1"/>
  <c r="G2122" i="1"/>
  <c r="I2121" i="1"/>
  <c r="H2121" i="1"/>
  <c r="G2121" i="1"/>
  <c r="I2120" i="1"/>
  <c r="H2120" i="1"/>
  <c r="G2120" i="1"/>
  <c r="I2119" i="1"/>
  <c r="H2119" i="1"/>
  <c r="G2119" i="1"/>
  <c r="I2118" i="1"/>
  <c r="H2118" i="1"/>
  <c r="G2118" i="1"/>
  <c r="I2117" i="1"/>
  <c r="H2117" i="1"/>
  <c r="G2117" i="1"/>
  <c r="I2116" i="1"/>
  <c r="H2116" i="1"/>
  <c r="G2116" i="1"/>
  <c r="I2115" i="1"/>
  <c r="H2115" i="1"/>
  <c r="G2115" i="1"/>
  <c r="I2114" i="1"/>
  <c r="H2114" i="1"/>
  <c r="G2114" i="1"/>
  <c r="I2113" i="1"/>
  <c r="H2113" i="1"/>
  <c r="G2113" i="1"/>
  <c r="I2112" i="1"/>
  <c r="H2112" i="1"/>
  <c r="G2112" i="1"/>
  <c r="I2111" i="1"/>
  <c r="H2111" i="1"/>
  <c r="G2111" i="1"/>
  <c r="I2110" i="1"/>
  <c r="H2110" i="1"/>
  <c r="G2110" i="1"/>
  <c r="I2109" i="1"/>
  <c r="H2109" i="1"/>
  <c r="G2109" i="1"/>
  <c r="I2108" i="1"/>
  <c r="H2108" i="1"/>
  <c r="G2108" i="1"/>
  <c r="I2107" i="1"/>
  <c r="H2107" i="1"/>
  <c r="G2107" i="1"/>
  <c r="I2106" i="1"/>
  <c r="H2106" i="1"/>
  <c r="G2106" i="1"/>
  <c r="I2105" i="1"/>
  <c r="H2105" i="1"/>
  <c r="G2105" i="1"/>
  <c r="I2104" i="1"/>
  <c r="H2104" i="1"/>
  <c r="G2104" i="1"/>
  <c r="I2103" i="1"/>
  <c r="H2103" i="1"/>
  <c r="G2103" i="1"/>
  <c r="I2102" i="1"/>
  <c r="H2102" i="1"/>
  <c r="G2102" i="1"/>
  <c r="I2101" i="1"/>
  <c r="H2101" i="1"/>
  <c r="G2101" i="1"/>
  <c r="I2100" i="1"/>
  <c r="H2100" i="1"/>
  <c r="G2100" i="1"/>
  <c r="I2099" i="1"/>
  <c r="H2099" i="1"/>
  <c r="G2099" i="1"/>
  <c r="I2098" i="1"/>
  <c r="H2098" i="1"/>
  <c r="G2098" i="1"/>
  <c r="I2097" i="1"/>
  <c r="H2097" i="1"/>
  <c r="G2097" i="1"/>
  <c r="I2096" i="1"/>
  <c r="H2096" i="1"/>
  <c r="G2096" i="1"/>
  <c r="I2095" i="1"/>
  <c r="H2095" i="1"/>
  <c r="G2095" i="1"/>
  <c r="I2094" i="1"/>
  <c r="H2094" i="1"/>
  <c r="G2094" i="1"/>
  <c r="I2093" i="1"/>
  <c r="H2093" i="1"/>
  <c r="G2093" i="1"/>
  <c r="I2092" i="1"/>
  <c r="H2092" i="1"/>
  <c r="G2092" i="1"/>
  <c r="I2091" i="1"/>
  <c r="H2091" i="1"/>
  <c r="G2091" i="1"/>
  <c r="I2090" i="1"/>
  <c r="H2090" i="1"/>
  <c r="G2090" i="1"/>
  <c r="I2089" i="1"/>
  <c r="H2089" i="1"/>
  <c r="G2089" i="1"/>
  <c r="I2088" i="1"/>
  <c r="H2088" i="1"/>
  <c r="G2088" i="1"/>
  <c r="I2087" i="1"/>
  <c r="H2087" i="1"/>
  <c r="G2087" i="1"/>
  <c r="I2086" i="1"/>
  <c r="H2086" i="1"/>
  <c r="G2086" i="1"/>
  <c r="I2085" i="1"/>
  <c r="H2085" i="1"/>
  <c r="G2085" i="1"/>
  <c r="I2084" i="1"/>
  <c r="H2084" i="1"/>
  <c r="G2084" i="1"/>
  <c r="I2083" i="1"/>
  <c r="H2083" i="1"/>
  <c r="G2083" i="1"/>
  <c r="I2082" i="1"/>
  <c r="H2082" i="1"/>
  <c r="G2082" i="1"/>
  <c r="I2081" i="1"/>
  <c r="H2081" i="1"/>
  <c r="G2081" i="1"/>
  <c r="I2080" i="1"/>
  <c r="H2080" i="1"/>
  <c r="G2080" i="1"/>
  <c r="I2079" i="1"/>
  <c r="H2079" i="1"/>
  <c r="G2079" i="1"/>
  <c r="I2078" i="1"/>
  <c r="H2078" i="1"/>
  <c r="G2078" i="1"/>
  <c r="I2077" i="1"/>
  <c r="H2077" i="1"/>
  <c r="G2077" i="1"/>
  <c r="I2076" i="1"/>
  <c r="H2076" i="1"/>
  <c r="G2076" i="1"/>
  <c r="I2075" i="1"/>
  <c r="H2075" i="1"/>
  <c r="G2075" i="1"/>
  <c r="I2074" i="1"/>
  <c r="H2074" i="1"/>
  <c r="G2074" i="1"/>
  <c r="I2073" i="1"/>
  <c r="H2073" i="1"/>
  <c r="G2073" i="1"/>
  <c r="I2072" i="1"/>
  <c r="H2072" i="1"/>
  <c r="G2072" i="1"/>
  <c r="I2071" i="1"/>
  <c r="H2071" i="1"/>
  <c r="G2071" i="1"/>
  <c r="I2070" i="1"/>
  <c r="H2070" i="1"/>
  <c r="G2070" i="1"/>
  <c r="I2069" i="1"/>
  <c r="H2069" i="1"/>
  <c r="G2069" i="1"/>
  <c r="I2068" i="1"/>
  <c r="H2068" i="1"/>
  <c r="G2068" i="1"/>
  <c r="I2067" i="1"/>
  <c r="H2067" i="1"/>
  <c r="G2067" i="1"/>
  <c r="I2066" i="1"/>
  <c r="H2066" i="1"/>
  <c r="G2066" i="1"/>
  <c r="I2065" i="1"/>
  <c r="H2065" i="1"/>
  <c r="G2065" i="1"/>
  <c r="I2064" i="1"/>
  <c r="H2064" i="1"/>
  <c r="G2064" i="1"/>
  <c r="I2063" i="1"/>
  <c r="H2063" i="1"/>
  <c r="G2063" i="1"/>
  <c r="I2062" i="1"/>
  <c r="H2062" i="1"/>
  <c r="G2062" i="1"/>
  <c r="I2061" i="1"/>
  <c r="H2061" i="1"/>
  <c r="G2061" i="1"/>
  <c r="I2060" i="1"/>
  <c r="H2060" i="1"/>
  <c r="G2060" i="1"/>
  <c r="I2059" i="1"/>
  <c r="H2059" i="1"/>
  <c r="G2059" i="1"/>
  <c r="I2058" i="1"/>
  <c r="H2058" i="1"/>
  <c r="G2058" i="1"/>
  <c r="I2057" i="1"/>
  <c r="H2057" i="1"/>
  <c r="G2057" i="1"/>
  <c r="I2056" i="1"/>
  <c r="H2056" i="1"/>
  <c r="G2056" i="1"/>
  <c r="I2055" i="1"/>
  <c r="H2055" i="1"/>
  <c r="G2055" i="1"/>
  <c r="I2054" i="1"/>
  <c r="H2054" i="1"/>
  <c r="G2054" i="1"/>
  <c r="I2053" i="1"/>
  <c r="H2053" i="1"/>
  <c r="G2053" i="1"/>
  <c r="I2052" i="1"/>
  <c r="H2052" i="1"/>
  <c r="G2052" i="1"/>
  <c r="I2051" i="1"/>
  <c r="H2051" i="1"/>
  <c r="G2051" i="1"/>
  <c r="I2050" i="1"/>
  <c r="H2050" i="1"/>
  <c r="G2050" i="1"/>
  <c r="I2049" i="1"/>
  <c r="H2049" i="1"/>
  <c r="G2049" i="1"/>
  <c r="I2048" i="1"/>
  <c r="H2048" i="1"/>
  <c r="G2048" i="1"/>
  <c r="I2047" i="1"/>
  <c r="H2047" i="1"/>
  <c r="G2047" i="1"/>
  <c r="I2046" i="1"/>
  <c r="H2046" i="1"/>
  <c r="G2046" i="1"/>
  <c r="I2045" i="1"/>
  <c r="H2045" i="1"/>
  <c r="G2045" i="1"/>
  <c r="I2044" i="1"/>
  <c r="H2044" i="1"/>
  <c r="G2044" i="1"/>
  <c r="I2043" i="1"/>
  <c r="H2043" i="1"/>
  <c r="G2043" i="1"/>
  <c r="I2042" i="1"/>
  <c r="H2042" i="1"/>
  <c r="G2042" i="1"/>
  <c r="I2041" i="1"/>
  <c r="H2041" i="1"/>
  <c r="G2041" i="1"/>
  <c r="I2040" i="1"/>
  <c r="H2040" i="1"/>
  <c r="G2040" i="1"/>
  <c r="I2039" i="1"/>
  <c r="H2039" i="1"/>
  <c r="G2039" i="1"/>
  <c r="I2038" i="1"/>
  <c r="H2038" i="1"/>
  <c r="G2038" i="1"/>
  <c r="I2037" i="1"/>
  <c r="H2037" i="1"/>
  <c r="G2037" i="1"/>
  <c r="I2036" i="1"/>
  <c r="H2036" i="1"/>
  <c r="G2036" i="1"/>
  <c r="I2035" i="1"/>
  <c r="H2035" i="1"/>
  <c r="G2035" i="1"/>
  <c r="I2034" i="1"/>
  <c r="H2034" i="1"/>
  <c r="G2034" i="1"/>
  <c r="I2033" i="1"/>
  <c r="H2033" i="1"/>
  <c r="G2033" i="1"/>
  <c r="I2032" i="1"/>
  <c r="H2032" i="1"/>
  <c r="G2032" i="1"/>
  <c r="I2031" i="1"/>
  <c r="H2031" i="1"/>
  <c r="G2031" i="1"/>
  <c r="I2030" i="1"/>
  <c r="H2030" i="1"/>
  <c r="G2030" i="1"/>
  <c r="I2029" i="1"/>
  <c r="H2029" i="1"/>
  <c r="G2029" i="1"/>
  <c r="I2028" i="1"/>
  <c r="H2028" i="1"/>
  <c r="G2028" i="1"/>
  <c r="I2027" i="1"/>
  <c r="H2027" i="1"/>
  <c r="G2027" i="1"/>
  <c r="I2026" i="1"/>
  <c r="H2026" i="1"/>
  <c r="G2026" i="1"/>
  <c r="I2025" i="1"/>
  <c r="H2025" i="1"/>
  <c r="G2025" i="1"/>
  <c r="I2024" i="1"/>
  <c r="H2024" i="1"/>
  <c r="G2024" i="1"/>
  <c r="I2023" i="1"/>
  <c r="H2023" i="1"/>
  <c r="G2023" i="1"/>
  <c r="I2022" i="1"/>
  <c r="H2022" i="1"/>
  <c r="G2022" i="1"/>
  <c r="I2021" i="1"/>
  <c r="H2021" i="1"/>
  <c r="G2021" i="1"/>
  <c r="I2020" i="1"/>
  <c r="H2020" i="1"/>
  <c r="G2020" i="1"/>
  <c r="I2019" i="1"/>
  <c r="H2019" i="1"/>
  <c r="G2019" i="1"/>
  <c r="I2018" i="1"/>
  <c r="H2018" i="1"/>
  <c r="G2018" i="1"/>
  <c r="I2017" i="1"/>
  <c r="H2017" i="1"/>
  <c r="G2017" i="1"/>
  <c r="I2016" i="1"/>
  <c r="H2016" i="1"/>
  <c r="G2016" i="1"/>
  <c r="I2015" i="1"/>
  <c r="H2015" i="1"/>
  <c r="G2015" i="1"/>
  <c r="I2014" i="1"/>
  <c r="H2014" i="1"/>
  <c r="G2014" i="1"/>
  <c r="I2013" i="1"/>
  <c r="H2013" i="1"/>
  <c r="G2013" i="1"/>
  <c r="I2012" i="1"/>
  <c r="H2012" i="1"/>
  <c r="G2012" i="1"/>
  <c r="I2011" i="1"/>
  <c r="H2011" i="1"/>
  <c r="G2011" i="1"/>
  <c r="I2010" i="1"/>
  <c r="H2010" i="1"/>
  <c r="G2010" i="1"/>
  <c r="I2009" i="1"/>
  <c r="H2009" i="1"/>
  <c r="G2009" i="1"/>
  <c r="I2008" i="1"/>
  <c r="H2008" i="1"/>
  <c r="G2008" i="1"/>
  <c r="I2007" i="1"/>
  <c r="H2007" i="1"/>
  <c r="G2007" i="1"/>
  <c r="I2006" i="1"/>
  <c r="H2006" i="1"/>
  <c r="G2006" i="1"/>
  <c r="I2005" i="1"/>
  <c r="H2005" i="1"/>
  <c r="G2005" i="1"/>
  <c r="I2004" i="1"/>
  <c r="H2004" i="1"/>
  <c r="G2004" i="1"/>
  <c r="I2003" i="1"/>
  <c r="H2003" i="1"/>
  <c r="G2003" i="1"/>
  <c r="I2002" i="1"/>
  <c r="H2002" i="1"/>
  <c r="G2002" i="1"/>
  <c r="I2001" i="1"/>
  <c r="H2001" i="1"/>
  <c r="G2001" i="1"/>
  <c r="I2000" i="1"/>
  <c r="H2000" i="1"/>
  <c r="G2000" i="1"/>
  <c r="I1999" i="1"/>
  <c r="H1999" i="1"/>
  <c r="G1999" i="1"/>
  <c r="I1998" i="1"/>
  <c r="H1998" i="1"/>
  <c r="G1998" i="1"/>
  <c r="I1997" i="1"/>
  <c r="H1997" i="1"/>
  <c r="G1997" i="1"/>
  <c r="I1996" i="1"/>
  <c r="H1996" i="1"/>
  <c r="G1996" i="1"/>
  <c r="I1995" i="1"/>
  <c r="H1995" i="1"/>
  <c r="G1995" i="1"/>
  <c r="I1994" i="1"/>
  <c r="H1994" i="1"/>
  <c r="G1994" i="1"/>
  <c r="I1993" i="1"/>
  <c r="H1993" i="1"/>
  <c r="G1993" i="1"/>
  <c r="I1992" i="1"/>
  <c r="H1992" i="1"/>
  <c r="G1992" i="1"/>
  <c r="I1991" i="1"/>
  <c r="H1991" i="1"/>
  <c r="G1991" i="1"/>
  <c r="I1990" i="1"/>
  <c r="H1990" i="1"/>
  <c r="G1990" i="1"/>
  <c r="I1989" i="1"/>
  <c r="H1989" i="1"/>
  <c r="G1989" i="1"/>
  <c r="I1988" i="1"/>
  <c r="H1988" i="1"/>
  <c r="G1988" i="1"/>
  <c r="I1987" i="1"/>
  <c r="H1987" i="1"/>
  <c r="G1987" i="1"/>
  <c r="I1986" i="1"/>
  <c r="H1986" i="1"/>
  <c r="G1986" i="1"/>
  <c r="I1985" i="1"/>
  <c r="H1985" i="1"/>
  <c r="G1985" i="1"/>
  <c r="I1984" i="1"/>
  <c r="H1984" i="1"/>
  <c r="G1984" i="1"/>
  <c r="I1983" i="1"/>
  <c r="H1983" i="1"/>
  <c r="G1983" i="1"/>
  <c r="I1982" i="1"/>
  <c r="H1982" i="1"/>
  <c r="G1982" i="1"/>
  <c r="I1981" i="1"/>
  <c r="H1981" i="1"/>
  <c r="G1981" i="1"/>
  <c r="I1980" i="1"/>
  <c r="H1980" i="1"/>
  <c r="G1980" i="1"/>
  <c r="I1979" i="1"/>
  <c r="H1979" i="1"/>
  <c r="G1979" i="1"/>
  <c r="I1978" i="1"/>
  <c r="H1978" i="1"/>
  <c r="G1978" i="1"/>
  <c r="I1977" i="1"/>
  <c r="H1977" i="1"/>
  <c r="G1977" i="1"/>
  <c r="I1976" i="1"/>
  <c r="H1976" i="1"/>
  <c r="G1976" i="1"/>
  <c r="I1975" i="1"/>
  <c r="H1975" i="1"/>
  <c r="G1975" i="1"/>
  <c r="I1974" i="1"/>
  <c r="H1974" i="1"/>
  <c r="G1974" i="1"/>
  <c r="I1973" i="1"/>
  <c r="H1973" i="1"/>
  <c r="G1973" i="1"/>
  <c r="I1972" i="1"/>
  <c r="H1972" i="1"/>
  <c r="G1972" i="1"/>
  <c r="I1971" i="1"/>
  <c r="H1971" i="1"/>
  <c r="G1971" i="1"/>
  <c r="I1970" i="1"/>
  <c r="H1970" i="1"/>
  <c r="G1970" i="1"/>
  <c r="I1969" i="1"/>
  <c r="H1969" i="1"/>
  <c r="G1969" i="1"/>
  <c r="I1968" i="1"/>
  <c r="H1968" i="1"/>
  <c r="G1968" i="1"/>
  <c r="I1967" i="1"/>
  <c r="H1967" i="1"/>
  <c r="G1967" i="1"/>
  <c r="I1966" i="1"/>
  <c r="H1966" i="1"/>
  <c r="G1966" i="1"/>
  <c r="I1965" i="1"/>
  <c r="H1965" i="1"/>
  <c r="G1965" i="1"/>
  <c r="I1964" i="1"/>
  <c r="H1964" i="1"/>
  <c r="G1964" i="1"/>
  <c r="I1963" i="1"/>
  <c r="H1963" i="1"/>
  <c r="G1963" i="1"/>
  <c r="I1962" i="1"/>
  <c r="H1962" i="1"/>
  <c r="G1962" i="1"/>
  <c r="I1961" i="1"/>
  <c r="H1961" i="1"/>
  <c r="G1961" i="1"/>
  <c r="I1960" i="1"/>
  <c r="H1960" i="1"/>
  <c r="G1960" i="1"/>
  <c r="I1959" i="1"/>
  <c r="H1959" i="1"/>
  <c r="G1959" i="1"/>
  <c r="I1958" i="1"/>
  <c r="H1958" i="1"/>
  <c r="G1958" i="1"/>
  <c r="I1957" i="1"/>
  <c r="H1957" i="1"/>
  <c r="G1957" i="1"/>
  <c r="I1956" i="1"/>
  <c r="H1956" i="1"/>
  <c r="G1956" i="1"/>
  <c r="I1955" i="1"/>
  <c r="H1955" i="1"/>
  <c r="G1955" i="1"/>
  <c r="I1954" i="1"/>
  <c r="H1954" i="1"/>
  <c r="G1954" i="1"/>
  <c r="I1953" i="1"/>
  <c r="H1953" i="1"/>
  <c r="G1953" i="1"/>
  <c r="I1952" i="1"/>
  <c r="H1952" i="1"/>
  <c r="G1952" i="1"/>
  <c r="I1951" i="1"/>
  <c r="H1951" i="1"/>
  <c r="G1951" i="1"/>
  <c r="I1950" i="1"/>
  <c r="H1950" i="1"/>
  <c r="G1950" i="1"/>
  <c r="I1949" i="1"/>
  <c r="H1949" i="1"/>
  <c r="G1949" i="1"/>
  <c r="I1948" i="1"/>
  <c r="H1948" i="1"/>
  <c r="G1948" i="1"/>
  <c r="I1947" i="1"/>
  <c r="H1947" i="1"/>
  <c r="G1947" i="1"/>
  <c r="I1946" i="1"/>
  <c r="H1946" i="1"/>
  <c r="G1946" i="1"/>
  <c r="I1945" i="1"/>
  <c r="H1945" i="1"/>
  <c r="G1945" i="1"/>
  <c r="I1944" i="1"/>
  <c r="H1944" i="1"/>
  <c r="G1944" i="1"/>
  <c r="I1943" i="1"/>
  <c r="H1943" i="1"/>
  <c r="G1943" i="1"/>
  <c r="I1942" i="1"/>
  <c r="H1942" i="1"/>
  <c r="G1942" i="1"/>
  <c r="I1941" i="1"/>
  <c r="H1941" i="1"/>
  <c r="G1941" i="1"/>
  <c r="I1940" i="1"/>
  <c r="H1940" i="1"/>
  <c r="G1940" i="1"/>
  <c r="I1939" i="1"/>
  <c r="H1939" i="1"/>
  <c r="G1939" i="1"/>
  <c r="I1938" i="1"/>
  <c r="H1938" i="1"/>
  <c r="G1938" i="1"/>
  <c r="I1937" i="1"/>
  <c r="H1937" i="1"/>
  <c r="G1937" i="1"/>
  <c r="I1936" i="1"/>
  <c r="H1936" i="1"/>
  <c r="G1936" i="1"/>
  <c r="I1935" i="1"/>
  <c r="H1935" i="1"/>
  <c r="G1935" i="1"/>
  <c r="I1934" i="1"/>
  <c r="H1934" i="1"/>
  <c r="G1934" i="1"/>
  <c r="I1933" i="1"/>
  <c r="H1933" i="1"/>
  <c r="G1933" i="1"/>
  <c r="I1932" i="1"/>
  <c r="H1932" i="1"/>
  <c r="G1932" i="1"/>
  <c r="I1931" i="1"/>
  <c r="H1931" i="1"/>
  <c r="G1931" i="1"/>
  <c r="I1930" i="1"/>
  <c r="H1930" i="1"/>
  <c r="G1930" i="1"/>
  <c r="I1929" i="1"/>
  <c r="H1929" i="1"/>
  <c r="G1929" i="1"/>
  <c r="I1928" i="1"/>
  <c r="H1928" i="1"/>
  <c r="G1928" i="1"/>
  <c r="I1927" i="1"/>
  <c r="H1927" i="1"/>
  <c r="G1927" i="1"/>
  <c r="I1926" i="1"/>
  <c r="H1926" i="1"/>
  <c r="G1926" i="1"/>
  <c r="I1925" i="1"/>
  <c r="H1925" i="1"/>
  <c r="G1925" i="1"/>
  <c r="I1924" i="1"/>
  <c r="H1924" i="1"/>
  <c r="G1924" i="1"/>
  <c r="I1923" i="1"/>
  <c r="H1923" i="1"/>
  <c r="G1923" i="1"/>
  <c r="I1922" i="1"/>
  <c r="H1922" i="1"/>
  <c r="G1922" i="1"/>
  <c r="I1921" i="1"/>
  <c r="H1921" i="1"/>
  <c r="G1921" i="1"/>
  <c r="I1920" i="1"/>
  <c r="H1920" i="1"/>
  <c r="G1920" i="1"/>
  <c r="I1919" i="1"/>
  <c r="H1919" i="1"/>
  <c r="G1919" i="1"/>
  <c r="I1918" i="1"/>
  <c r="H1918" i="1"/>
  <c r="G1918" i="1"/>
  <c r="I1917" i="1"/>
  <c r="H1917" i="1"/>
  <c r="G1917" i="1"/>
  <c r="I1916" i="1"/>
  <c r="H1916" i="1"/>
  <c r="G1916" i="1"/>
  <c r="I1915" i="1"/>
  <c r="H1915" i="1"/>
  <c r="G1915" i="1"/>
  <c r="I1914" i="1"/>
  <c r="H1914" i="1"/>
  <c r="G1914" i="1"/>
  <c r="I1913" i="1"/>
  <c r="H1913" i="1"/>
  <c r="G1913" i="1"/>
  <c r="I1912" i="1"/>
  <c r="H1912" i="1"/>
  <c r="G1912" i="1"/>
  <c r="I1911" i="1"/>
  <c r="H1911" i="1"/>
  <c r="G1911" i="1"/>
  <c r="I1910" i="1"/>
  <c r="H1910" i="1"/>
  <c r="G1910" i="1"/>
  <c r="I1909" i="1"/>
  <c r="H1909" i="1"/>
  <c r="G1909" i="1"/>
  <c r="I1908" i="1"/>
  <c r="H1908" i="1"/>
  <c r="G1908" i="1"/>
  <c r="I1907" i="1"/>
  <c r="H1907" i="1"/>
  <c r="G1907" i="1"/>
  <c r="I1906" i="1"/>
  <c r="H1906" i="1"/>
  <c r="G1906" i="1"/>
  <c r="I1905" i="1"/>
  <c r="H1905" i="1"/>
  <c r="G1905" i="1"/>
  <c r="I1904" i="1"/>
  <c r="H1904" i="1"/>
  <c r="G1904" i="1"/>
  <c r="I1903" i="1"/>
  <c r="H1903" i="1"/>
  <c r="G1903" i="1"/>
  <c r="I1902" i="1"/>
  <c r="H1902" i="1"/>
  <c r="G1902" i="1"/>
  <c r="I1901" i="1"/>
  <c r="H1901" i="1"/>
  <c r="G1901" i="1"/>
  <c r="I1900" i="1"/>
  <c r="H1900" i="1"/>
  <c r="G1900" i="1"/>
  <c r="I1899" i="1"/>
  <c r="H1899" i="1"/>
  <c r="G1899" i="1"/>
  <c r="I1898" i="1"/>
  <c r="H1898" i="1"/>
  <c r="G1898" i="1"/>
  <c r="I1897" i="1"/>
  <c r="H1897" i="1"/>
  <c r="G1897" i="1"/>
  <c r="I1896" i="1"/>
  <c r="H1896" i="1"/>
  <c r="G1896" i="1"/>
  <c r="I1895" i="1"/>
  <c r="H1895" i="1"/>
  <c r="G1895" i="1"/>
  <c r="I1894" i="1"/>
  <c r="H1894" i="1"/>
  <c r="G1894" i="1"/>
  <c r="I1893" i="1"/>
  <c r="H1893" i="1"/>
  <c r="G1893" i="1"/>
  <c r="I1892" i="1"/>
  <c r="H1892" i="1"/>
  <c r="G1892" i="1"/>
  <c r="I1891" i="1"/>
  <c r="H1891" i="1"/>
  <c r="G1891" i="1"/>
  <c r="I1890" i="1"/>
  <c r="H1890" i="1"/>
  <c r="G1890" i="1"/>
  <c r="I1889" i="1"/>
  <c r="H1889" i="1"/>
  <c r="G1889" i="1"/>
  <c r="I1888" i="1"/>
  <c r="H1888" i="1"/>
  <c r="G1888" i="1"/>
  <c r="I1887" i="1"/>
  <c r="H1887" i="1"/>
  <c r="G1887" i="1"/>
  <c r="I1886" i="1"/>
  <c r="H1886" i="1"/>
  <c r="G1886" i="1"/>
  <c r="I1885" i="1"/>
  <c r="H1885" i="1"/>
  <c r="G1885" i="1"/>
  <c r="I1884" i="1"/>
  <c r="H1884" i="1"/>
  <c r="G1884" i="1"/>
  <c r="I1883" i="1"/>
  <c r="H1883" i="1"/>
  <c r="G1883" i="1"/>
  <c r="I1882" i="1"/>
  <c r="H1882" i="1"/>
  <c r="G1882" i="1"/>
  <c r="I1881" i="1"/>
  <c r="H1881" i="1"/>
  <c r="G1881" i="1"/>
  <c r="I1880" i="1"/>
  <c r="H1880" i="1"/>
  <c r="G1880" i="1"/>
  <c r="I1879" i="1"/>
  <c r="H1879" i="1"/>
  <c r="G1879" i="1"/>
  <c r="I1878" i="1"/>
  <c r="H1878" i="1"/>
  <c r="G1878" i="1"/>
  <c r="I1877" i="1"/>
  <c r="H1877" i="1"/>
  <c r="G1877" i="1"/>
  <c r="I1876" i="1"/>
  <c r="H1876" i="1"/>
  <c r="G1876" i="1"/>
  <c r="I1875" i="1"/>
  <c r="H1875" i="1"/>
  <c r="G1875" i="1"/>
  <c r="I1874" i="1"/>
  <c r="H1874" i="1"/>
  <c r="G1874" i="1"/>
  <c r="I1873" i="1"/>
  <c r="H1873" i="1"/>
  <c r="G1873" i="1"/>
  <c r="I1872" i="1"/>
  <c r="H1872" i="1"/>
  <c r="G1872" i="1"/>
  <c r="I1871" i="1"/>
  <c r="H1871" i="1"/>
  <c r="G1871" i="1"/>
  <c r="I1870" i="1"/>
  <c r="H1870" i="1"/>
  <c r="G1870" i="1"/>
  <c r="I1869" i="1"/>
  <c r="H1869" i="1"/>
  <c r="G1869" i="1"/>
  <c r="I1868" i="1"/>
  <c r="H1868" i="1"/>
  <c r="G1868" i="1"/>
  <c r="I1867" i="1"/>
  <c r="H1867" i="1"/>
  <c r="G1867" i="1"/>
  <c r="I1866" i="1"/>
  <c r="H1866" i="1"/>
  <c r="G1866" i="1"/>
  <c r="I1865" i="1"/>
  <c r="H1865" i="1"/>
  <c r="G1865" i="1"/>
  <c r="I1864" i="1"/>
  <c r="H1864" i="1"/>
  <c r="G1864" i="1"/>
  <c r="I1863" i="1"/>
  <c r="H1863" i="1"/>
  <c r="G1863" i="1"/>
  <c r="I1862" i="1"/>
  <c r="H1862" i="1"/>
  <c r="G1862" i="1"/>
  <c r="I1861" i="1"/>
  <c r="H1861" i="1"/>
  <c r="G1861" i="1"/>
  <c r="I1860" i="1"/>
  <c r="H1860" i="1"/>
  <c r="G1860" i="1"/>
  <c r="I1859" i="1"/>
  <c r="H1859" i="1"/>
  <c r="G1859" i="1"/>
  <c r="I1858" i="1"/>
  <c r="H1858" i="1"/>
  <c r="G1858" i="1"/>
  <c r="I1857" i="1"/>
  <c r="H1857" i="1"/>
  <c r="G1857" i="1"/>
  <c r="I1856" i="1"/>
  <c r="H1856" i="1"/>
  <c r="G1856" i="1"/>
  <c r="I1855" i="1"/>
  <c r="H1855" i="1"/>
  <c r="G1855" i="1"/>
  <c r="I1854" i="1"/>
  <c r="H1854" i="1"/>
  <c r="G1854" i="1"/>
  <c r="I1853" i="1"/>
  <c r="H1853" i="1"/>
  <c r="G1853" i="1"/>
  <c r="I1852" i="1"/>
  <c r="H1852" i="1"/>
  <c r="G1852" i="1"/>
  <c r="I1851" i="1"/>
  <c r="H1851" i="1"/>
  <c r="G1851" i="1"/>
  <c r="I1850" i="1"/>
  <c r="H1850" i="1"/>
  <c r="G1850" i="1"/>
  <c r="I1849" i="1"/>
  <c r="H1849" i="1"/>
  <c r="G1849" i="1"/>
  <c r="I1848" i="1"/>
  <c r="H1848" i="1"/>
  <c r="G1848" i="1"/>
  <c r="I1847" i="1"/>
  <c r="H1847" i="1"/>
  <c r="G1847" i="1"/>
  <c r="I1846" i="1"/>
  <c r="H1846" i="1"/>
  <c r="G1846" i="1"/>
  <c r="I1845" i="1"/>
  <c r="H1845" i="1"/>
  <c r="G1845" i="1"/>
  <c r="I1844" i="1"/>
  <c r="H1844" i="1"/>
  <c r="G1844" i="1"/>
  <c r="I1843" i="1"/>
  <c r="H1843" i="1"/>
  <c r="G1843" i="1"/>
  <c r="I1842" i="1"/>
  <c r="H1842" i="1"/>
  <c r="G1842" i="1"/>
  <c r="I1841" i="1"/>
  <c r="H1841" i="1"/>
  <c r="G1841" i="1"/>
  <c r="I1840" i="1"/>
  <c r="H1840" i="1"/>
  <c r="G1840" i="1"/>
  <c r="I1839" i="1"/>
  <c r="H1839" i="1"/>
  <c r="G1839" i="1"/>
  <c r="I1838" i="1"/>
  <c r="H1838" i="1"/>
  <c r="G1838" i="1"/>
  <c r="I1837" i="1"/>
  <c r="H1837" i="1"/>
  <c r="G1837" i="1"/>
  <c r="I1836" i="1"/>
  <c r="H1836" i="1"/>
  <c r="G1836" i="1"/>
  <c r="I1835" i="1"/>
  <c r="H1835" i="1"/>
  <c r="G1835" i="1"/>
  <c r="I1834" i="1"/>
  <c r="H1834" i="1"/>
  <c r="G1834" i="1"/>
  <c r="I1833" i="1"/>
  <c r="H1833" i="1"/>
  <c r="G1833" i="1"/>
  <c r="I1832" i="1"/>
  <c r="H1832" i="1"/>
  <c r="G1832" i="1"/>
  <c r="I1831" i="1"/>
  <c r="H1831" i="1"/>
  <c r="G1831" i="1"/>
  <c r="I1830" i="1"/>
  <c r="H1830" i="1"/>
  <c r="G1830" i="1"/>
  <c r="I1829" i="1"/>
  <c r="H1829" i="1"/>
  <c r="G1829" i="1"/>
  <c r="I1828" i="1"/>
  <c r="H1828" i="1"/>
  <c r="G1828" i="1"/>
  <c r="I1827" i="1"/>
  <c r="H1827" i="1"/>
  <c r="G1827" i="1"/>
  <c r="I1826" i="1"/>
  <c r="H1826" i="1"/>
  <c r="G1826" i="1"/>
  <c r="I1825" i="1"/>
  <c r="H1825" i="1"/>
  <c r="G1825" i="1"/>
  <c r="I1824" i="1"/>
  <c r="H1824" i="1"/>
  <c r="G1824" i="1"/>
  <c r="I1823" i="1"/>
  <c r="H1823" i="1"/>
  <c r="G1823" i="1"/>
  <c r="I1822" i="1"/>
  <c r="H1822" i="1"/>
  <c r="G1822" i="1"/>
  <c r="I1821" i="1"/>
  <c r="H1821" i="1"/>
  <c r="G1821" i="1"/>
  <c r="I1820" i="1"/>
  <c r="H1820" i="1"/>
  <c r="G1820" i="1"/>
  <c r="I1819" i="1"/>
  <c r="H1819" i="1"/>
  <c r="G1819" i="1"/>
  <c r="I1818" i="1"/>
  <c r="H1818" i="1"/>
  <c r="G1818" i="1"/>
  <c r="I1817" i="1"/>
  <c r="H1817" i="1"/>
  <c r="G1817" i="1"/>
  <c r="I1816" i="1"/>
  <c r="H1816" i="1"/>
  <c r="G1816" i="1"/>
  <c r="I1815" i="1"/>
  <c r="H1815" i="1"/>
  <c r="G1815" i="1"/>
  <c r="I1814" i="1"/>
  <c r="H1814" i="1"/>
  <c r="G1814" i="1"/>
  <c r="I1813" i="1"/>
  <c r="H1813" i="1"/>
  <c r="G1813" i="1"/>
  <c r="I1812" i="1"/>
  <c r="H1812" i="1"/>
  <c r="G1812" i="1"/>
  <c r="I1811" i="1"/>
  <c r="H1811" i="1"/>
  <c r="G1811" i="1"/>
  <c r="I1810" i="1"/>
  <c r="H1810" i="1"/>
  <c r="G1810" i="1"/>
  <c r="I1809" i="1"/>
  <c r="H1809" i="1"/>
  <c r="G1809" i="1"/>
  <c r="I1808" i="1"/>
  <c r="H1808" i="1"/>
  <c r="G1808" i="1"/>
  <c r="I1807" i="1"/>
  <c r="H1807" i="1"/>
  <c r="G1807" i="1"/>
  <c r="I1806" i="1"/>
  <c r="H1806" i="1"/>
  <c r="G1806" i="1"/>
  <c r="I1805" i="1"/>
  <c r="H1805" i="1"/>
  <c r="G1805" i="1"/>
  <c r="I1804" i="1"/>
  <c r="H1804" i="1"/>
  <c r="G1804" i="1"/>
  <c r="I1803" i="1"/>
  <c r="H1803" i="1"/>
  <c r="G1803" i="1"/>
  <c r="I1802" i="1"/>
  <c r="H1802" i="1"/>
  <c r="G1802" i="1"/>
  <c r="I1801" i="1"/>
  <c r="H1801" i="1"/>
  <c r="G1801" i="1"/>
  <c r="I1800" i="1"/>
  <c r="H1800" i="1"/>
  <c r="G1800" i="1"/>
  <c r="I1799" i="1"/>
  <c r="H1799" i="1"/>
  <c r="G1799" i="1"/>
  <c r="I1798" i="1"/>
  <c r="H1798" i="1"/>
  <c r="G1798" i="1"/>
  <c r="I1797" i="1"/>
  <c r="H1797" i="1"/>
  <c r="G1797" i="1"/>
  <c r="I1796" i="1"/>
  <c r="H1796" i="1"/>
  <c r="G1796" i="1"/>
  <c r="I1795" i="1"/>
  <c r="H1795" i="1"/>
  <c r="G1795" i="1"/>
  <c r="I1794" i="1"/>
  <c r="H1794" i="1"/>
  <c r="G1794" i="1"/>
  <c r="I1793" i="1"/>
  <c r="H1793" i="1"/>
  <c r="G1793" i="1"/>
  <c r="I1792" i="1"/>
  <c r="H1792" i="1"/>
  <c r="G1792" i="1"/>
  <c r="I1791" i="1"/>
  <c r="H1791" i="1"/>
  <c r="G1791" i="1"/>
  <c r="I1790" i="1"/>
  <c r="H1790" i="1"/>
  <c r="G1790" i="1"/>
  <c r="I1789" i="1"/>
  <c r="H1789" i="1"/>
  <c r="G1789" i="1"/>
  <c r="I1788" i="1"/>
  <c r="H1788" i="1"/>
  <c r="G1788" i="1"/>
  <c r="I1787" i="1"/>
  <c r="H1787" i="1"/>
  <c r="G1787" i="1"/>
  <c r="I1786" i="1"/>
  <c r="H1786" i="1"/>
  <c r="G1786" i="1"/>
  <c r="I1785" i="1"/>
  <c r="H1785" i="1"/>
  <c r="G1785" i="1"/>
  <c r="I1784" i="1"/>
  <c r="H1784" i="1"/>
  <c r="G1784" i="1"/>
  <c r="I1783" i="1"/>
  <c r="H1783" i="1"/>
  <c r="G1783" i="1"/>
  <c r="I1782" i="1"/>
  <c r="H1782" i="1"/>
  <c r="G1782" i="1"/>
  <c r="I1781" i="1"/>
  <c r="H1781" i="1"/>
  <c r="G1781" i="1"/>
  <c r="I1780" i="1"/>
  <c r="H1780" i="1"/>
  <c r="G1780" i="1"/>
  <c r="I1779" i="1"/>
  <c r="H1779" i="1"/>
  <c r="G1779" i="1"/>
  <c r="I1778" i="1"/>
  <c r="H1778" i="1"/>
  <c r="G1778" i="1"/>
  <c r="I1777" i="1"/>
  <c r="H1777" i="1"/>
  <c r="G1777" i="1"/>
  <c r="I1776" i="1"/>
  <c r="H1776" i="1"/>
  <c r="G1776" i="1"/>
  <c r="I1775" i="1"/>
  <c r="H1775" i="1"/>
  <c r="G1775" i="1"/>
  <c r="I1774" i="1"/>
  <c r="H1774" i="1"/>
  <c r="G1774" i="1"/>
  <c r="I1773" i="1"/>
  <c r="H1773" i="1"/>
  <c r="G1773" i="1"/>
  <c r="I1772" i="1"/>
  <c r="H1772" i="1"/>
  <c r="G1772" i="1"/>
  <c r="I1771" i="1"/>
  <c r="H1771" i="1"/>
  <c r="G1771" i="1"/>
  <c r="I1770" i="1"/>
  <c r="H1770" i="1"/>
  <c r="G1770" i="1"/>
  <c r="I1769" i="1"/>
  <c r="H1769" i="1"/>
  <c r="G1769" i="1"/>
  <c r="I1768" i="1"/>
  <c r="H1768" i="1"/>
  <c r="G1768" i="1"/>
  <c r="I1767" i="1"/>
  <c r="H1767" i="1"/>
  <c r="G1767" i="1"/>
  <c r="I1766" i="1"/>
  <c r="H1766" i="1"/>
  <c r="G1766" i="1"/>
  <c r="I1765" i="1"/>
  <c r="H1765" i="1"/>
  <c r="G1765" i="1"/>
  <c r="I1764" i="1"/>
  <c r="H1764" i="1"/>
  <c r="G1764" i="1"/>
  <c r="I1763" i="1"/>
  <c r="H1763" i="1"/>
  <c r="G1763" i="1"/>
  <c r="I1762" i="1"/>
  <c r="H1762" i="1"/>
  <c r="G1762" i="1"/>
  <c r="I1761" i="1"/>
  <c r="H1761" i="1"/>
  <c r="G1761" i="1"/>
  <c r="I1760" i="1"/>
  <c r="H1760" i="1"/>
  <c r="G1760" i="1"/>
  <c r="I1759" i="1"/>
  <c r="H1759" i="1"/>
  <c r="G1759" i="1"/>
  <c r="I1758" i="1"/>
  <c r="H1758" i="1"/>
  <c r="G1758" i="1"/>
  <c r="I1757" i="1"/>
  <c r="H1757" i="1"/>
  <c r="G1757" i="1"/>
  <c r="I1756" i="1"/>
  <c r="H1756" i="1"/>
  <c r="G1756" i="1"/>
  <c r="I1755" i="1"/>
  <c r="H1755" i="1"/>
  <c r="G1755" i="1"/>
  <c r="I1754" i="1"/>
  <c r="H1754" i="1"/>
  <c r="G1754" i="1"/>
  <c r="I1753" i="1"/>
  <c r="H1753" i="1"/>
  <c r="G1753" i="1"/>
  <c r="I1752" i="1"/>
  <c r="H1752" i="1"/>
  <c r="G1752" i="1"/>
  <c r="I1751" i="1"/>
  <c r="H1751" i="1"/>
  <c r="G1751" i="1"/>
  <c r="I1750" i="1"/>
  <c r="H1750" i="1"/>
  <c r="G1750" i="1"/>
  <c r="I1749" i="1"/>
  <c r="H1749" i="1"/>
  <c r="G1749" i="1"/>
  <c r="I1748" i="1"/>
  <c r="H1748" i="1"/>
  <c r="G1748" i="1"/>
  <c r="I1747" i="1"/>
  <c r="H1747" i="1"/>
  <c r="G1747" i="1"/>
  <c r="I1746" i="1"/>
  <c r="H1746" i="1"/>
  <c r="G1746" i="1"/>
  <c r="I1745" i="1"/>
  <c r="H1745" i="1"/>
  <c r="G1745" i="1"/>
  <c r="I1744" i="1"/>
  <c r="H1744" i="1"/>
  <c r="G1744" i="1"/>
  <c r="I1743" i="1"/>
  <c r="H1743" i="1"/>
  <c r="G1743" i="1"/>
  <c r="I1742" i="1"/>
  <c r="H1742" i="1"/>
  <c r="G1742" i="1"/>
  <c r="I1741" i="1"/>
  <c r="H1741" i="1"/>
  <c r="G1741" i="1"/>
  <c r="I1740" i="1"/>
  <c r="H1740" i="1"/>
  <c r="G1740" i="1"/>
  <c r="I1739" i="1"/>
  <c r="H1739" i="1"/>
  <c r="G1739" i="1"/>
  <c r="I1738" i="1"/>
  <c r="H1738" i="1"/>
  <c r="G1738" i="1"/>
  <c r="I1737" i="1"/>
  <c r="H1737" i="1"/>
  <c r="G1737" i="1"/>
  <c r="I1736" i="1"/>
  <c r="H1736" i="1"/>
  <c r="G1736" i="1"/>
  <c r="I1735" i="1"/>
  <c r="H1735" i="1"/>
  <c r="G1735" i="1"/>
  <c r="I1734" i="1"/>
  <c r="H1734" i="1"/>
  <c r="G1734" i="1"/>
  <c r="I1733" i="1"/>
  <c r="H1733" i="1"/>
  <c r="G1733" i="1"/>
  <c r="I1732" i="1"/>
  <c r="H1732" i="1"/>
  <c r="G1732" i="1"/>
  <c r="I1731" i="1"/>
  <c r="H1731" i="1"/>
  <c r="G1731" i="1"/>
  <c r="I1730" i="1"/>
  <c r="H1730" i="1"/>
  <c r="G1730" i="1"/>
  <c r="I1729" i="1"/>
  <c r="H1729" i="1"/>
  <c r="G1729" i="1"/>
  <c r="I1728" i="1"/>
  <c r="H1728" i="1"/>
  <c r="G1728" i="1"/>
  <c r="I1727" i="1"/>
  <c r="H1727" i="1"/>
  <c r="G1727" i="1"/>
  <c r="I1726" i="1"/>
  <c r="H1726" i="1"/>
  <c r="G1726" i="1"/>
  <c r="I1725" i="1"/>
  <c r="H1725" i="1"/>
  <c r="G1725" i="1"/>
  <c r="I1724" i="1"/>
  <c r="H1724" i="1"/>
  <c r="G1724" i="1"/>
  <c r="I1723" i="1"/>
  <c r="H1723" i="1"/>
  <c r="G1723" i="1"/>
  <c r="I1722" i="1"/>
  <c r="H1722" i="1"/>
  <c r="G1722" i="1"/>
  <c r="I1721" i="1"/>
  <c r="H1721" i="1"/>
  <c r="G1721" i="1"/>
  <c r="I1720" i="1"/>
  <c r="H1720" i="1"/>
  <c r="G1720" i="1"/>
  <c r="I1719" i="1"/>
  <c r="H1719" i="1"/>
  <c r="G1719" i="1"/>
  <c r="I1718" i="1"/>
  <c r="H1718" i="1"/>
  <c r="G1718" i="1"/>
  <c r="I1717" i="1"/>
  <c r="H1717" i="1"/>
  <c r="G1717" i="1"/>
  <c r="I1716" i="1"/>
  <c r="H1716" i="1"/>
  <c r="G1716" i="1"/>
  <c r="I1715" i="1"/>
  <c r="H1715" i="1"/>
  <c r="G1715" i="1"/>
  <c r="I1714" i="1"/>
  <c r="H1714" i="1"/>
  <c r="G1714" i="1"/>
  <c r="I1713" i="1"/>
  <c r="H1713" i="1"/>
  <c r="G1713" i="1"/>
  <c r="I1712" i="1"/>
  <c r="H1712" i="1"/>
  <c r="G1712" i="1"/>
  <c r="I1711" i="1"/>
  <c r="H1711" i="1"/>
  <c r="G1711" i="1"/>
  <c r="I1710" i="1"/>
  <c r="H1710" i="1"/>
  <c r="G1710" i="1"/>
  <c r="I1709" i="1"/>
  <c r="H1709" i="1"/>
  <c r="G1709" i="1"/>
  <c r="I1708" i="1"/>
  <c r="H1708" i="1"/>
  <c r="G1708" i="1"/>
  <c r="I1707" i="1"/>
  <c r="H1707" i="1"/>
  <c r="G1707" i="1"/>
  <c r="I1706" i="1"/>
  <c r="H1706" i="1"/>
  <c r="G1706" i="1"/>
  <c r="I1705" i="1"/>
  <c r="H1705" i="1"/>
  <c r="G1705" i="1"/>
  <c r="I1704" i="1"/>
  <c r="H1704" i="1"/>
  <c r="G1704" i="1"/>
  <c r="I1703" i="1"/>
  <c r="H1703" i="1"/>
  <c r="G1703" i="1"/>
  <c r="I1702" i="1"/>
  <c r="H1702" i="1"/>
  <c r="G1702" i="1"/>
  <c r="I1701" i="1"/>
  <c r="H1701" i="1"/>
  <c r="G1701" i="1"/>
  <c r="I1700" i="1"/>
  <c r="H1700" i="1"/>
  <c r="G1700" i="1"/>
  <c r="I1699" i="1"/>
  <c r="H1699" i="1"/>
  <c r="G1699" i="1"/>
  <c r="I1698" i="1"/>
  <c r="H1698" i="1"/>
  <c r="G1698" i="1"/>
  <c r="I1697" i="1"/>
  <c r="H1697" i="1"/>
  <c r="G1697" i="1"/>
  <c r="I1696" i="1"/>
  <c r="H1696" i="1"/>
  <c r="G1696" i="1"/>
  <c r="I1695" i="1"/>
  <c r="H1695" i="1"/>
  <c r="G1695" i="1"/>
  <c r="I1694" i="1"/>
  <c r="H1694" i="1"/>
  <c r="G1694" i="1"/>
  <c r="I1693" i="1"/>
  <c r="H1693" i="1"/>
  <c r="G1693" i="1"/>
  <c r="I1692" i="1"/>
  <c r="H1692" i="1"/>
  <c r="G1692" i="1"/>
  <c r="I1691" i="1"/>
  <c r="H1691" i="1"/>
  <c r="G1691" i="1"/>
  <c r="I1690" i="1"/>
  <c r="H1690" i="1"/>
  <c r="G1690" i="1"/>
  <c r="I1689" i="1"/>
  <c r="H1689" i="1"/>
  <c r="G1689" i="1"/>
  <c r="I1688" i="1"/>
  <c r="H1688" i="1"/>
  <c r="G1688" i="1"/>
  <c r="I1687" i="1"/>
  <c r="H1687" i="1"/>
  <c r="G1687" i="1"/>
  <c r="I1686" i="1"/>
  <c r="H1686" i="1"/>
  <c r="G1686" i="1"/>
  <c r="I1685" i="1"/>
  <c r="H1685" i="1"/>
  <c r="G1685" i="1"/>
  <c r="I1684" i="1"/>
  <c r="H1684" i="1"/>
  <c r="G1684" i="1"/>
  <c r="I1683" i="1"/>
  <c r="H1683" i="1"/>
  <c r="G1683" i="1"/>
  <c r="I1682" i="1"/>
  <c r="H1682" i="1"/>
  <c r="G1682" i="1"/>
  <c r="I1681" i="1"/>
  <c r="H1681" i="1"/>
  <c r="G1681" i="1"/>
  <c r="I1680" i="1"/>
  <c r="H1680" i="1"/>
  <c r="G1680" i="1"/>
  <c r="I1679" i="1"/>
  <c r="H1679" i="1"/>
  <c r="G1679" i="1"/>
  <c r="I1678" i="1"/>
  <c r="H1678" i="1"/>
  <c r="G1678" i="1"/>
  <c r="I1677" i="1"/>
  <c r="H1677" i="1"/>
  <c r="G1677" i="1"/>
  <c r="I1676" i="1"/>
  <c r="H1676" i="1"/>
  <c r="G1676" i="1"/>
  <c r="I1675" i="1"/>
  <c r="H1675" i="1"/>
  <c r="G1675" i="1"/>
  <c r="I1674" i="1"/>
  <c r="H1674" i="1"/>
  <c r="G1674" i="1"/>
  <c r="I1673" i="1"/>
  <c r="H1673" i="1"/>
  <c r="G1673" i="1"/>
  <c r="I1672" i="1"/>
  <c r="H1672" i="1"/>
  <c r="G1672" i="1"/>
  <c r="I1671" i="1"/>
  <c r="H1671" i="1"/>
  <c r="G1671" i="1"/>
  <c r="I1670" i="1"/>
  <c r="H1670" i="1"/>
  <c r="G1670" i="1"/>
  <c r="I1669" i="1"/>
  <c r="H1669" i="1"/>
  <c r="G1669" i="1"/>
  <c r="I1668" i="1"/>
  <c r="H1668" i="1"/>
  <c r="G1668" i="1"/>
  <c r="I1667" i="1"/>
  <c r="H1667" i="1"/>
  <c r="G1667" i="1"/>
  <c r="I1666" i="1"/>
  <c r="H1666" i="1"/>
  <c r="G1666" i="1"/>
  <c r="I1665" i="1"/>
  <c r="H1665" i="1"/>
  <c r="G1665" i="1"/>
  <c r="I1664" i="1"/>
  <c r="H1664" i="1"/>
  <c r="G1664" i="1"/>
  <c r="I1663" i="1"/>
  <c r="H1663" i="1"/>
  <c r="G1663" i="1"/>
  <c r="I1662" i="1"/>
  <c r="H1662" i="1"/>
  <c r="G1662" i="1"/>
  <c r="I1661" i="1"/>
  <c r="H1661" i="1"/>
  <c r="G1661" i="1"/>
  <c r="I1660" i="1"/>
  <c r="H1660" i="1"/>
  <c r="G1660" i="1"/>
  <c r="I1659" i="1"/>
  <c r="H1659" i="1"/>
  <c r="G1659" i="1"/>
  <c r="I1658" i="1"/>
  <c r="H1658" i="1"/>
  <c r="G1658" i="1"/>
  <c r="I1657" i="1"/>
  <c r="H1657" i="1"/>
  <c r="G1657" i="1"/>
  <c r="I1656" i="1"/>
  <c r="H1656" i="1"/>
  <c r="G1656" i="1"/>
  <c r="I1655" i="1"/>
  <c r="H1655" i="1"/>
  <c r="G1655" i="1"/>
  <c r="I1654" i="1"/>
  <c r="H1654" i="1"/>
  <c r="G1654" i="1"/>
  <c r="I1653" i="1"/>
  <c r="H1653" i="1"/>
  <c r="G1653" i="1"/>
  <c r="I1652" i="1"/>
  <c r="H1652" i="1"/>
  <c r="G1652" i="1"/>
  <c r="I1651" i="1"/>
  <c r="H1651" i="1"/>
  <c r="G1651" i="1"/>
  <c r="I1650" i="1"/>
  <c r="H1650" i="1"/>
  <c r="G1650" i="1"/>
  <c r="I1649" i="1"/>
  <c r="H1649" i="1"/>
  <c r="G1649" i="1"/>
  <c r="I1648" i="1"/>
  <c r="H1648" i="1"/>
  <c r="G1648" i="1"/>
  <c r="I1647" i="1"/>
  <c r="H1647" i="1"/>
  <c r="G1647" i="1"/>
  <c r="I1646" i="1"/>
  <c r="H1646" i="1"/>
  <c r="G1646" i="1"/>
  <c r="I1645" i="1"/>
  <c r="H1645" i="1"/>
  <c r="G1645" i="1"/>
  <c r="I1644" i="1"/>
  <c r="H1644" i="1"/>
  <c r="G1644" i="1"/>
  <c r="I1643" i="1"/>
  <c r="H1643" i="1"/>
  <c r="G1643" i="1"/>
  <c r="I1642" i="1"/>
  <c r="H1642" i="1"/>
  <c r="G1642" i="1"/>
  <c r="I1641" i="1"/>
  <c r="H1641" i="1"/>
  <c r="G1641" i="1"/>
  <c r="I1640" i="1"/>
  <c r="H1640" i="1"/>
  <c r="G1640" i="1"/>
  <c r="I1639" i="1"/>
  <c r="H1639" i="1"/>
  <c r="G1639" i="1"/>
  <c r="I1638" i="1"/>
  <c r="H1638" i="1"/>
  <c r="G1638" i="1"/>
  <c r="I1637" i="1"/>
  <c r="H1637" i="1"/>
  <c r="G1637" i="1"/>
  <c r="I1636" i="1"/>
  <c r="H1636" i="1"/>
  <c r="G1636" i="1"/>
  <c r="I1635" i="1"/>
  <c r="H1635" i="1"/>
  <c r="G1635" i="1"/>
  <c r="I1634" i="1"/>
  <c r="H1634" i="1"/>
  <c r="G1634" i="1"/>
  <c r="I1633" i="1"/>
  <c r="H1633" i="1"/>
  <c r="G1633" i="1"/>
  <c r="I1632" i="1"/>
  <c r="H1632" i="1"/>
  <c r="G1632" i="1"/>
  <c r="I1631" i="1"/>
  <c r="H1631" i="1"/>
  <c r="G1631" i="1"/>
  <c r="I1630" i="1"/>
  <c r="H1630" i="1"/>
  <c r="G1630" i="1"/>
  <c r="I1629" i="1"/>
  <c r="H1629" i="1"/>
  <c r="G1629" i="1"/>
  <c r="I1628" i="1"/>
  <c r="H1628" i="1"/>
  <c r="G1628" i="1"/>
  <c r="I1627" i="1"/>
  <c r="H1627" i="1"/>
  <c r="G1627" i="1"/>
  <c r="I1626" i="1"/>
  <c r="H1626" i="1"/>
  <c r="G1626" i="1"/>
  <c r="I1625" i="1"/>
  <c r="H1625" i="1"/>
  <c r="G1625" i="1"/>
  <c r="I1624" i="1"/>
  <c r="H1624" i="1"/>
  <c r="G1624" i="1"/>
  <c r="I1623" i="1"/>
  <c r="H1623" i="1"/>
  <c r="G1623" i="1"/>
  <c r="I1622" i="1"/>
  <c r="H1622" i="1"/>
  <c r="G1622" i="1"/>
  <c r="I1621" i="1"/>
  <c r="H1621" i="1"/>
  <c r="G1621" i="1"/>
  <c r="I1620" i="1"/>
  <c r="H1620" i="1"/>
  <c r="G1620" i="1"/>
  <c r="I1619" i="1"/>
  <c r="H1619" i="1"/>
  <c r="G1619" i="1"/>
  <c r="I1618" i="1"/>
  <c r="H1618" i="1"/>
  <c r="G1618" i="1"/>
  <c r="I1617" i="1"/>
  <c r="H1617" i="1"/>
  <c r="G1617" i="1"/>
  <c r="I1616" i="1"/>
  <c r="H1616" i="1"/>
  <c r="G1616" i="1"/>
  <c r="I1615" i="1"/>
  <c r="H1615" i="1"/>
  <c r="G1615" i="1"/>
  <c r="I1614" i="1"/>
  <c r="H1614" i="1"/>
  <c r="G1614" i="1"/>
  <c r="I1613" i="1"/>
  <c r="H1613" i="1"/>
  <c r="G1613" i="1"/>
  <c r="I1612" i="1"/>
  <c r="H1612" i="1"/>
  <c r="G1612" i="1"/>
  <c r="I1611" i="1"/>
  <c r="H1611" i="1"/>
  <c r="G1611" i="1"/>
  <c r="I1610" i="1"/>
  <c r="H1610" i="1"/>
  <c r="G1610" i="1"/>
  <c r="I1609" i="1"/>
  <c r="H1609" i="1"/>
  <c r="G1609" i="1"/>
  <c r="I1608" i="1"/>
  <c r="H1608" i="1"/>
  <c r="G1608" i="1"/>
  <c r="I1607" i="1"/>
  <c r="H1607" i="1"/>
  <c r="G1607" i="1"/>
  <c r="I1606" i="1"/>
  <c r="H1606" i="1"/>
  <c r="G1606" i="1"/>
  <c r="I1605" i="1"/>
  <c r="H1605" i="1"/>
  <c r="G1605" i="1"/>
  <c r="I1604" i="1"/>
  <c r="H1604" i="1"/>
  <c r="G1604" i="1"/>
  <c r="I1603" i="1"/>
  <c r="H1603" i="1"/>
  <c r="G1603" i="1"/>
  <c r="I1602" i="1"/>
  <c r="H1602" i="1"/>
  <c r="G1602" i="1"/>
  <c r="I1601" i="1"/>
  <c r="H1601" i="1"/>
  <c r="G1601" i="1"/>
  <c r="I1600" i="1"/>
  <c r="H1600" i="1"/>
  <c r="G1600" i="1"/>
  <c r="I1599" i="1"/>
  <c r="H1599" i="1"/>
  <c r="G1599" i="1"/>
  <c r="I1598" i="1"/>
  <c r="H1598" i="1"/>
  <c r="G1598" i="1"/>
  <c r="I1597" i="1"/>
  <c r="H1597" i="1"/>
  <c r="G1597" i="1"/>
  <c r="I1596" i="1"/>
  <c r="H1596" i="1"/>
  <c r="G1596" i="1"/>
  <c r="I1595" i="1"/>
  <c r="H1595" i="1"/>
  <c r="G1595" i="1"/>
  <c r="I1594" i="1"/>
  <c r="H1594" i="1"/>
  <c r="G1594" i="1"/>
  <c r="I1593" i="1"/>
  <c r="H1593" i="1"/>
  <c r="G1593" i="1"/>
  <c r="I1592" i="1"/>
  <c r="H1592" i="1"/>
  <c r="G1592" i="1"/>
  <c r="I1591" i="1"/>
  <c r="H1591" i="1"/>
  <c r="G1591" i="1"/>
  <c r="I1590" i="1"/>
  <c r="H1590" i="1"/>
  <c r="G1590" i="1"/>
  <c r="I1589" i="1"/>
  <c r="H1589" i="1"/>
  <c r="G1589" i="1"/>
  <c r="I1588" i="1"/>
  <c r="H1588" i="1"/>
  <c r="G1588" i="1"/>
  <c r="I1587" i="1"/>
  <c r="H1587" i="1"/>
  <c r="G1587" i="1"/>
  <c r="I1586" i="1"/>
  <c r="H1586" i="1"/>
  <c r="G1586" i="1"/>
  <c r="I1585" i="1"/>
  <c r="H1585" i="1"/>
  <c r="G1585" i="1"/>
  <c r="I1584" i="1"/>
  <c r="H1584" i="1"/>
  <c r="G1584" i="1"/>
  <c r="I1583" i="1"/>
  <c r="H1583" i="1"/>
  <c r="G1583" i="1"/>
  <c r="I1582" i="1"/>
  <c r="H1582" i="1"/>
  <c r="G1582" i="1"/>
  <c r="I1581" i="1"/>
  <c r="H1581" i="1"/>
  <c r="G1581" i="1"/>
  <c r="I1580" i="1"/>
  <c r="H1580" i="1"/>
  <c r="G1580" i="1"/>
  <c r="I1579" i="1"/>
  <c r="H1579" i="1"/>
  <c r="G1579" i="1"/>
  <c r="I1578" i="1"/>
  <c r="H1578" i="1"/>
  <c r="G1578" i="1"/>
  <c r="I1577" i="1"/>
  <c r="H1577" i="1"/>
  <c r="G1577" i="1"/>
  <c r="I1576" i="1"/>
  <c r="H1576" i="1"/>
  <c r="G1576" i="1"/>
  <c r="I1575" i="1"/>
  <c r="H1575" i="1"/>
  <c r="G1575" i="1"/>
  <c r="I1574" i="1"/>
  <c r="H1574" i="1"/>
  <c r="G1574" i="1"/>
  <c r="I1573" i="1"/>
  <c r="H1573" i="1"/>
  <c r="G1573" i="1"/>
  <c r="I1572" i="1"/>
  <c r="H1572" i="1"/>
  <c r="G1572" i="1"/>
  <c r="I1571" i="1"/>
  <c r="H1571" i="1"/>
  <c r="G1571" i="1"/>
  <c r="I1570" i="1"/>
  <c r="H1570" i="1"/>
  <c r="G1570" i="1"/>
  <c r="I1569" i="1"/>
  <c r="H1569" i="1"/>
  <c r="G1569" i="1"/>
  <c r="I1568" i="1"/>
  <c r="H1568" i="1"/>
  <c r="G1568" i="1"/>
  <c r="I1567" i="1"/>
  <c r="H1567" i="1"/>
  <c r="G1567" i="1"/>
  <c r="I1566" i="1"/>
  <c r="H1566" i="1"/>
  <c r="G1566" i="1"/>
  <c r="I1565" i="1"/>
  <c r="H1565" i="1"/>
  <c r="G1565" i="1"/>
  <c r="I1564" i="1"/>
  <c r="H1564" i="1"/>
  <c r="G1564" i="1"/>
  <c r="I1563" i="1"/>
  <c r="H1563" i="1"/>
  <c r="G1563" i="1"/>
  <c r="I1562" i="1"/>
  <c r="H1562" i="1"/>
  <c r="G1562" i="1"/>
  <c r="I1561" i="1"/>
  <c r="H1561" i="1"/>
  <c r="G1561" i="1"/>
  <c r="I1560" i="1"/>
  <c r="H1560" i="1"/>
  <c r="G1560" i="1"/>
  <c r="I1559" i="1"/>
  <c r="H1559" i="1"/>
  <c r="G1559" i="1"/>
  <c r="I1558" i="1"/>
  <c r="H1558" i="1"/>
  <c r="G1558" i="1"/>
  <c r="I1557" i="1"/>
  <c r="H1557" i="1"/>
  <c r="G1557" i="1"/>
  <c r="I1556" i="1"/>
  <c r="H1556" i="1"/>
  <c r="G1556" i="1"/>
  <c r="I1555" i="1"/>
  <c r="H1555" i="1"/>
  <c r="G1555" i="1"/>
  <c r="I1554" i="1"/>
  <c r="H1554" i="1"/>
  <c r="G1554" i="1"/>
  <c r="I1553" i="1"/>
  <c r="H1553" i="1"/>
  <c r="G1553" i="1"/>
  <c r="I1552" i="1"/>
  <c r="H1552" i="1"/>
  <c r="G1552" i="1"/>
  <c r="I1551" i="1"/>
  <c r="H1551" i="1"/>
  <c r="G1551" i="1"/>
  <c r="I1550" i="1"/>
  <c r="H1550" i="1"/>
  <c r="G1550" i="1"/>
  <c r="I1549" i="1"/>
  <c r="H1549" i="1"/>
  <c r="G1549" i="1"/>
  <c r="I1548" i="1"/>
  <c r="H1548" i="1"/>
  <c r="G1548" i="1"/>
  <c r="I1547" i="1"/>
  <c r="H1547" i="1"/>
  <c r="G1547" i="1"/>
  <c r="I1546" i="1"/>
  <c r="H1546" i="1"/>
  <c r="G1546" i="1"/>
  <c r="I1545" i="1"/>
  <c r="H1545" i="1"/>
  <c r="G1545" i="1"/>
  <c r="I1544" i="1"/>
  <c r="H1544" i="1"/>
  <c r="G1544" i="1"/>
  <c r="I1543" i="1"/>
  <c r="H1543" i="1"/>
  <c r="G1543" i="1"/>
  <c r="I1542" i="1"/>
  <c r="H1542" i="1"/>
  <c r="G1542" i="1"/>
  <c r="I1541" i="1"/>
  <c r="H1541" i="1"/>
  <c r="G1541" i="1"/>
  <c r="I1540" i="1"/>
  <c r="H1540" i="1"/>
  <c r="G1540" i="1"/>
  <c r="I1539" i="1"/>
  <c r="H1539" i="1"/>
  <c r="G1539" i="1"/>
  <c r="I1538" i="1"/>
  <c r="H1538" i="1"/>
  <c r="G1538" i="1"/>
  <c r="I1537" i="1"/>
  <c r="H1537" i="1"/>
  <c r="G1537" i="1"/>
  <c r="I1536" i="1"/>
  <c r="H1536" i="1"/>
  <c r="G1536" i="1"/>
  <c r="I1535" i="1"/>
  <c r="H1535" i="1"/>
  <c r="G1535" i="1"/>
  <c r="I1534" i="1"/>
  <c r="H1534" i="1"/>
  <c r="G1534" i="1"/>
  <c r="I1533" i="1"/>
  <c r="H1533" i="1"/>
  <c r="G1533" i="1"/>
  <c r="I1532" i="1"/>
  <c r="H1532" i="1"/>
  <c r="G1532" i="1"/>
  <c r="I1531" i="1"/>
  <c r="H1531" i="1"/>
  <c r="G1531" i="1"/>
  <c r="I1530" i="1"/>
  <c r="H1530" i="1"/>
  <c r="G1530" i="1"/>
  <c r="I1529" i="1"/>
  <c r="H1529" i="1"/>
  <c r="G1529" i="1"/>
  <c r="I1528" i="1"/>
  <c r="H1528" i="1"/>
  <c r="G1528" i="1"/>
  <c r="I1527" i="1"/>
  <c r="H1527" i="1"/>
  <c r="G1527" i="1"/>
  <c r="I1526" i="1"/>
  <c r="H1526" i="1"/>
  <c r="G1526" i="1"/>
  <c r="I1525" i="1"/>
  <c r="H1525" i="1"/>
  <c r="G1525" i="1"/>
  <c r="I1524" i="1"/>
  <c r="H1524" i="1"/>
  <c r="G1524" i="1"/>
  <c r="I1523" i="1"/>
  <c r="H1523" i="1"/>
  <c r="G1523" i="1"/>
  <c r="I1522" i="1"/>
  <c r="H1522" i="1"/>
  <c r="G1522" i="1"/>
  <c r="I1521" i="1"/>
  <c r="H1521" i="1"/>
  <c r="G1521" i="1"/>
  <c r="I1520" i="1"/>
  <c r="H1520" i="1"/>
  <c r="G1520" i="1"/>
  <c r="I1519" i="1"/>
  <c r="H1519" i="1"/>
  <c r="G1519" i="1"/>
  <c r="I1518" i="1"/>
  <c r="H1518" i="1"/>
  <c r="G1518" i="1"/>
  <c r="I1517" i="1"/>
  <c r="H1517" i="1"/>
  <c r="G1517" i="1"/>
  <c r="I1516" i="1"/>
  <c r="H1516" i="1"/>
  <c r="G1516" i="1"/>
  <c r="I1515" i="1"/>
  <c r="H1515" i="1"/>
  <c r="G1515" i="1"/>
  <c r="I1514" i="1"/>
  <c r="H1514" i="1"/>
  <c r="G1514" i="1"/>
  <c r="I1513" i="1"/>
  <c r="H1513" i="1"/>
  <c r="G1513" i="1"/>
  <c r="I1512" i="1"/>
  <c r="H1512" i="1"/>
  <c r="G1512" i="1"/>
  <c r="I1511" i="1"/>
  <c r="H1511" i="1"/>
  <c r="G1511" i="1"/>
  <c r="I1510" i="1"/>
  <c r="H1510" i="1"/>
  <c r="G1510" i="1"/>
  <c r="I1509" i="1"/>
  <c r="H1509" i="1"/>
  <c r="G1509" i="1"/>
  <c r="I1508" i="1"/>
  <c r="H1508" i="1"/>
  <c r="G1508" i="1"/>
  <c r="I1507" i="1"/>
  <c r="H1507" i="1"/>
  <c r="G1507" i="1"/>
  <c r="I1506" i="1"/>
  <c r="H1506" i="1"/>
  <c r="G1506" i="1"/>
  <c r="I1505" i="1"/>
  <c r="H1505" i="1"/>
  <c r="G1505" i="1"/>
  <c r="I1504" i="1"/>
  <c r="H1504" i="1"/>
  <c r="G1504" i="1"/>
  <c r="I1503" i="1"/>
  <c r="H1503" i="1"/>
  <c r="G1503" i="1"/>
  <c r="I1502" i="1"/>
  <c r="H1502" i="1"/>
  <c r="G1502" i="1"/>
  <c r="I1501" i="1"/>
  <c r="H1501" i="1"/>
  <c r="G1501" i="1"/>
  <c r="I1500" i="1"/>
  <c r="H1500" i="1"/>
  <c r="G1500" i="1"/>
  <c r="I1499" i="1"/>
  <c r="H1499" i="1"/>
  <c r="G1499" i="1"/>
  <c r="I1498" i="1"/>
  <c r="H1498" i="1"/>
  <c r="G1498" i="1"/>
  <c r="I1497" i="1"/>
  <c r="H1497" i="1"/>
  <c r="G1497" i="1"/>
  <c r="I1496" i="1"/>
  <c r="H1496" i="1"/>
  <c r="G1496" i="1"/>
  <c r="I1495" i="1"/>
  <c r="H1495" i="1"/>
  <c r="G1495" i="1"/>
  <c r="I1494" i="1"/>
  <c r="H1494" i="1"/>
  <c r="G1494" i="1"/>
  <c r="I1493" i="1"/>
  <c r="H1493" i="1"/>
  <c r="G1493" i="1"/>
  <c r="I1492" i="1"/>
  <c r="H1492" i="1"/>
  <c r="G1492" i="1"/>
  <c r="I1491" i="1"/>
  <c r="H1491" i="1"/>
  <c r="G1491" i="1"/>
  <c r="I1490" i="1"/>
  <c r="H1490" i="1"/>
  <c r="G1490" i="1"/>
  <c r="I1489" i="1"/>
  <c r="H1489" i="1"/>
  <c r="G1489" i="1"/>
  <c r="I1488" i="1"/>
  <c r="H1488" i="1"/>
  <c r="G1488" i="1"/>
  <c r="I1487" i="1"/>
  <c r="H1487" i="1"/>
  <c r="G1487" i="1"/>
  <c r="I1486" i="1"/>
  <c r="H1486" i="1"/>
  <c r="G1486" i="1"/>
  <c r="I1485" i="1"/>
  <c r="H1485" i="1"/>
  <c r="G1485" i="1"/>
  <c r="I1484" i="1"/>
  <c r="H1484" i="1"/>
  <c r="G1484" i="1"/>
  <c r="I1483" i="1"/>
  <c r="H1483" i="1"/>
  <c r="G1483" i="1"/>
  <c r="I1482" i="1"/>
  <c r="H1482" i="1"/>
  <c r="G1482" i="1"/>
  <c r="I1481" i="1"/>
  <c r="H1481" i="1"/>
  <c r="G1481" i="1"/>
  <c r="I1480" i="1"/>
  <c r="H1480" i="1"/>
  <c r="G1480" i="1"/>
  <c r="I1479" i="1"/>
  <c r="H1479" i="1"/>
  <c r="G1479" i="1"/>
  <c r="I1478" i="1"/>
  <c r="H1478" i="1"/>
  <c r="G1478" i="1"/>
  <c r="I1477" i="1"/>
  <c r="H1477" i="1"/>
  <c r="G1477" i="1"/>
  <c r="I1476" i="1"/>
  <c r="H1476" i="1"/>
  <c r="G1476" i="1"/>
  <c r="I1475" i="1"/>
  <c r="H1475" i="1"/>
  <c r="G1475" i="1"/>
  <c r="I1474" i="1"/>
  <c r="H1474" i="1"/>
  <c r="G1474" i="1"/>
  <c r="I1473" i="1"/>
  <c r="H1473" i="1"/>
  <c r="G1473" i="1"/>
  <c r="I1472" i="1"/>
  <c r="H1472" i="1"/>
  <c r="G1472" i="1"/>
  <c r="I1471" i="1"/>
  <c r="H1471" i="1"/>
  <c r="G1471" i="1"/>
  <c r="I1470" i="1"/>
  <c r="H1470" i="1"/>
  <c r="G1470" i="1"/>
  <c r="I1469" i="1"/>
  <c r="H1469" i="1"/>
  <c r="G1469" i="1"/>
  <c r="I1468" i="1"/>
  <c r="H1468" i="1"/>
  <c r="G1468" i="1"/>
  <c r="I1467" i="1"/>
  <c r="H1467" i="1"/>
  <c r="G1467" i="1"/>
  <c r="I1466" i="1"/>
  <c r="H1466" i="1"/>
  <c r="G1466" i="1"/>
  <c r="I1465" i="1"/>
  <c r="H1465" i="1"/>
  <c r="G1465" i="1"/>
  <c r="I1464" i="1"/>
  <c r="H1464" i="1"/>
  <c r="G1464" i="1"/>
  <c r="I1463" i="1"/>
  <c r="H1463" i="1"/>
  <c r="G1463" i="1"/>
  <c r="I1462" i="1"/>
  <c r="H1462" i="1"/>
  <c r="G1462" i="1"/>
  <c r="I1461" i="1"/>
  <c r="H1461" i="1"/>
  <c r="G1461" i="1"/>
  <c r="I1460" i="1"/>
  <c r="H1460" i="1"/>
  <c r="G1460" i="1"/>
  <c r="I1459" i="1"/>
  <c r="H1459" i="1"/>
  <c r="G1459" i="1"/>
  <c r="I1458" i="1"/>
  <c r="H1458" i="1"/>
  <c r="G1458" i="1"/>
  <c r="I1457" i="1"/>
  <c r="H1457" i="1"/>
  <c r="G1457" i="1"/>
  <c r="I1456" i="1"/>
  <c r="H1456" i="1"/>
  <c r="G1456" i="1"/>
  <c r="I1455" i="1"/>
  <c r="H1455" i="1"/>
  <c r="G1455" i="1"/>
  <c r="I1454" i="1"/>
  <c r="H1454" i="1"/>
  <c r="G1454" i="1"/>
  <c r="I1453" i="1"/>
  <c r="H1453" i="1"/>
  <c r="G1453" i="1"/>
  <c r="I1452" i="1"/>
  <c r="H1452" i="1"/>
  <c r="G1452" i="1"/>
  <c r="I1451" i="1"/>
  <c r="H1451" i="1"/>
  <c r="G1451" i="1"/>
  <c r="I1450" i="1"/>
  <c r="H1450" i="1"/>
  <c r="G1450" i="1"/>
  <c r="I1449" i="1"/>
  <c r="H1449" i="1"/>
  <c r="G1449" i="1"/>
  <c r="I1448" i="1"/>
  <c r="H1448" i="1"/>
  <c r="G1448" i="1"/>
  <c r="I1447" i="1"/>
  <c r="H1447" i="1"/>
  <c r="G1447" i="1"/>
  <c r="I1446" i="1"/>
  <c r="H1446" i="1"/>
  <c r="G1446" i="1"/>
  <c r="I1445" i="1"/>
  <c r="H1445" i="1"/>
  <c r="G1445" i="1"/>
  <c r="I1444" i="1"/>
  <c r="H1444" i="1"/>
  <c r="G1444" i="1"/>
  <c r="I1443" i="1"/>
  <c r="H1443" i="1"/>
  <c r="G1443" i="1"/>
  <c r="I1442" i="1"/>
  <c r="H1442" i="1"/>
  <c r="G1442" i="1"/>
  <c r="I1441" i="1"/>
  <c r="H1441" i="1"/>
  <c r="G1441" i="1"/>
  <c r="I1440" i="1"/>
  <c r="H1440" i="1"/>
  <c r="G1440" i="1"/>
  <c r="I1439" i="1"/>
  <c r="H1439" i="1"/>
  <c r="G1439" i="1"/>
  <c r="I1438" i="1"/>
  <c r="H1438" i="1"/>
  <c r="G1438" i="1"/>
  <c r="I1437" i="1"/>
  <c r="H1437" i="1"/>
  <c r="G1437" i="1"/>
  <c r="I1436" i="1"/>
  <c r="H1436" i="1"/>
  <c r="G1436" i="1"/>
  <c r="I1435" i="1"/>
  <c r="H1435" i="1"/>
  <c r="G1435" i="1"/>
  <c r="I1434" i="1"/>
  <c r="H1434" i="1"/>
  <c r="G1434" i="1"/>
  <c r="I1433" i="1"/>
  <c r="H1433" i="1"/>
  <c r="G1433" i="1"/>
  <c r="I1432" i="1"/>
  <c r="H1432" i="1"/>
  <c r="G1432" i="1"/>
  <c r="I1431" i="1"/>
  <c r="H1431" i="1"/>
  <c r="G1431" i="1"/>
  <c r="I1430" i="1"/>
  <c r="H1430" i="1"/>
  <c r="G1430" i="1"/>
  <c r="I1429" i="1"/>
  <c r="H1429" i="1"/>
  <c r="G1429" i="1"/>
  <c r="I1428" i="1"/>
  <c r="H1428" i="1"/>
  <c r="G1428" i="1"/>
  <c r="I1427" i="1"/>
  <c r="H1427" i="1"/>
  <c r="G1427" i="1"/>
  <c r="I1426" i="1"/>
  <c r="H1426" i="1"/>
  <c r="G1426" i="1"/>
  <c r="I1425" i="1"/>
  <c r="H1425" i="1"/>
  <c r="G1425" i="1"/>
  <c r="I1424" i="1"/>
  <c r="H1424" i="1"/>
  <c r="G1424" i="1"/>
  <c r="I1423" i="1"/>
  <c r="H1423" i="1"/>
  <c r="G1423" i="1"/>
  <c r="I1422" i="1"/>
  <c r="H1422" i="1"/>
  <c r="G1422" i="1"/>
  <c r="I1421" i="1"/>
  <c r="H1421" i="1"/>
  <c r="G1421" i="1"/>
  <c r="I1420" i="1"/>
  <c r="H1420" i="1"/>
  <c r="G1420" i="1"/>
  <c r="I1419" i="1"/>
  <c r="H1419" i="1"/>
  <c r="G1419" i="1"/>
  <c r="I1418" i="1"/>
  <c r="H1418" i="1"/>
  <c r="G1418" i="1"/>
  <c r="I1417" i="1"/>
  <c r="H1417" i="1"/>
  <c r="G1417" i="1"/>
  <c r="I1416" i="1"/>
  <c r="H1416" i="1"/>
  <c r="G1416" i="1"/>
  <c r="I1415" i="1"/>
  <c r="H1415" i="1"/>
  <c r="G1415" i="1"/>
  <c r="I1414" i="1"/>
  <c r="H1414" i="1"/>
  <c r="G1414" i="1"/>
  <c r="I1413" i="1"/>
  <c r="H1413" i="1"/>
  <c r="G1413" i="1"/>
  <c r="I1412" i="1"/>
  <c r="H1412" i="1"/>
  <c r="G1412" i="1"/>
  <c r="I1411" i="1"/>
  <c r="H1411" i="1"/>
  <c r="G1411" i="1"/>
  <c r="I1410" i="1"/>
  <c r="H1410" i="1"/>
  <c r="G1410" i="1"/>
  <c r="I1409" i="1"/>
  <c r="H1409" i="1"/>
  <c r="G1409" i="1"/>
  <c r="I1408" i="1"/>
  <c r="H1408" i="1"/>
  <c r="G1408" i="1"/>
  <c r="I1407" i="1"/>
  <c r="H1407" i="1"/>
  <c r="G1407" i="1"/>
  <c r="I1406" i="1"/>
  <c r="H1406" i="1"/>
  <c r="G1406" i="1"/>
  <c r="I1405" i="1"/>
  <c r="H1405" i="1"/>
  <c r="G1405" i="1"/>
  <c r="I1404" i="1"/>
  <c r="H1404" i="1"/>
  <c r="G1404" i="1"/>
  <c r="I1403" i="1"/>
  <c r="H1403" i="1"/>
  <c r="G1403" i="1"/>
  <c r="I1402" i="1"/>
  <c r="H1402" i="1"/>
  <c r="G1402" i="1"/>
  <c r="I1401" i="1"/>
  <c r="H1401" i="1"/>
  <c r="G1401" i="1"/>
  <c r="I1400" i="1"/>
  <c r="H1400" i="1"/>
  <c r="G1400" i="1"/>
  <c r="I1399" i="1"/>
  <c r="H1399" i="1"/>
  <c r="G1399" i="1"/>
  <c r="I1398" i="1"/>
  <c r="H1398" i="1"/>
  <c r="G1398" i="1"/>
  <c r="I1397" i="1"/>
  <c r="H1397" i="1"/>
  <c r="G1397" i="1"/>
  <c r="I1396" i="1"/>
  <c r="H1396" i="1"/>
  <c r="G1396" i="1"/>
  <c r="I1395" i="1"/>
  <c r="H1395" i="1"/>
  <c r="G1395" i="1"/>
  <c r="I1394" i="1"/>
  <c r="H1394" i="1"/>
  <c r="G1394" i="1"/>
  <c r="I1393" i="1"/>
  <c r="H1393" i="1"/>
  <c r="G1393" i="1"/>
  <c r="I1392" i="1"/>
  <c r="H1392" i="1"/>
  <c r="G1392" i="1"/>
  <c r="I1391" i="1"/>
  <c r="H1391" i="1"/>
  <c r="G1391" i="1"/>
  <c r="I1390" i="1"/>
  <c r="H1390" i="1"/>
  <c r="G1390" i="1"/>
  <c r="I1389" i="1"/>
  <c r="H1389" i="1"/>
  <c r="G1389" i="1"/>
  <c r="I1388" i="1"/>
  <c r="H1388" i="1"/>
  <c r="G1388" i="1"/>
  <c r="I1387" i="1"/>
  <c r="H1387" i="1"/>
  <c r="G1387" i="1"/>
  <c r="I1386" i="1"/>
  <c r="H1386" i="1"/>
  <c r="G1386" i="1"/>
  <c r="I1385" i="1"/>
  <c r="H1385" i="1"/>
  <c r="G1385" i="1"/>
  <c r="I1384" i="1"/>
  <c r="H1384" i="1"/>
  <c r="G1384" i="1"/>
  <c r="I1383" i="1"/>
  <c r="H1383" i="1"/>
  <c r="G1383" i="1"/>
  <c r="I1382" i="1"/>
  <c r="H1382" i="1"/>
  <c r="G1382" i="1"/>
  <c r="I1381" i="1"/>
  <c r="H1381" i="1"/>
  <c r="G1381" i="1"/>
  <c r="I1380" i="1"/>
  <c r="H1380" i="1"/>
  <c r="G1380" i="1"/>
  <c r="I1379" i="1"/>
  <c r="H1379" i="1"/>
  <c r="G1379" i="1"/>
  <c r="I1378" i="1"/>
  <c r="H1378" i="1"/>
  <c r="G1378" i="1"/>
  <c r="I1377" i="1"/>
  <c r="H1377" i="1"/>
  <c r="G1377" i="1"/>
  <c r="I1376" i="1"/>
  <c r="H1376" i="1"/>
  <c r="G1376" i="1"/>
  <c r="I1375" i="1"/>
  <c r="H1375" i="1"/>
  <c r="G1375" i="1"/>
  <c r="I1374" i="1"/>
  <c r="H1374" i="1"/>
  <c r="G1374" i="1"/>
  <c r="I1373" i="1"/>
  <c r="H1373" i="1"/>
  <c r="G1373" i="1"/>
  <c r="I1372" i="1"/>
  <c r="H1372" i="1"/>
  <c r="G1372" i="1"/>
  <c r="I1371" i="1"/>
  <c r="H1371" i="1"/>
  <c r="G1371" i="1"/>
  <c r="I1370" i="1"/>
  <c r="H1370" i="1"/>
  <c r="G1370" i="1"/>
  <c r="I1369" i="1"/>
  <c r="H1369" i="1"/>
  <c r="G1369" i="1"/>
  <c r="I1368" i="1"/>
  <c r="H1368" i="1"/>
  <c r="G1368" i="1"/>
  <c r="I1367" i="1"/>
  <c r="H1367" i="1"/>
  <c r="G1367" i="1"/>
  <c r="I1366" i="1"/>
  <c r="H1366" i="1"/>
  <c r="G1366" i="1"/>
  <c r="I1365" i="1"/>
  <c r="H1365" i="1"/>
  <c r="G1365" i="1"/>
  <c r="I1364" i="1"/>
  <c r="H1364" i="1"/>
  <c r="G1364" i="1"/>
  <c r="I1363" i="1"/>
  <c r="H1363" i="1"/>
  <c r="G1363" i="1"/>
  <c r="I1362" i="1"/>
  <c r="H1362" i="1"/>
  <c r="G1362" i="1"/>
  <c r="I1361" i="1"/>
  <c r="H1361" i="1"/>
  <c r="G1361" i="1"/>
  <c r="I1360" i="1"/>
  <c r="H1360" i="1"/>
  <c r="G1360" i="1"/>
  <c r="I1359" i="1"/>
  <c r="H1359" i="1"/>
  <c r="G1359" i="1"/>
  <c r="I1358" i="1"/>
  <c r="H1358" i="1"/>
  <c r="G1358" i="1"/>
  <c r="I1357" i="1"/>
  <c r="H1357" i="1"/>
  <c r="G1357" i="1"/>
  <c r="I1356" i="1"/>
  <c r="H1356" i="1"/>
  <c r="G1356" i="1"/>
  <c r="I1355" i="1"/>
  <c r="H1355" i="1"/>
  <c r="G1355" i="1"/>
  <c r="I1354" i="1"/>
  <c r="H1354" i="1"/>
  <c r="G1354" i="1"/>
  <c r="I1353" i="1"/>
  <c r="H1353" i="1"/>
  <c r="G1353" i="1"/>
  <c r="I1352" i="1"/>
  <c r="H1352" i="1"/>
  <c r="G1352" i="1"/>
  <c r="I1351" i="1"/>
  <c r="H1351" i="1"/>
  <c r="G1351" i="1"/>
  <c r="I1350" i="1"/>
  <c r="H1350" i="1"/>
  <c r="G1350" i="1"/>
  <c r="I1349" i="1"/>
  <c r="H1349" i="1"/>
  <c r="G1349" i="1"/>
  <c r="I1348" i="1"/>
  <c r="H1348" i="1"/>
  <c r="G1348" i="1"/>
  <c r="I1347" i="1"/>
  <c r="H1347" i="1"/>
  <c r="G1347" i="1"/>
  <c r="I1346" i="1"/>
  <c r="H1346" i="1"/>
  <c r="G1346" i="1"/>
  <c r="I1345" i="1"/>
  <c r="H1345" i="1"/>
  <c r="G1345" i="1"/>
  <c r="I1344" i="1"/>
  <c r="H1344" i="1"/>
  <c r="G1344" i="1"/>
  <c r="I1343" i="1"/>
  <c r="H1343" i="1"/>
  <c r="G1343" i="1"/>
  <c r="I1342" i="1"/>
  <c r="H1342" i="1"/>
  <c r="G1342" i="1"/>
  <c r="I1341" i="1"/>
  <c r="H1341" i="1"/>
  <c r="G1341" i="1"/>
  <c r="I1340" i="1"/>
  <c r="H1340" i="1"/>
  <c r="G1340" i="1"/>
  <c r="I1339" i="1"/>
  <c r="H1339" i="1"/>
  <c r="G1339" i="1"/>
  <c r="I1338" i="1"/>
  <c r="H1338" i="1"/>
  <c r="G1338" i="1"/>
  <c r="I1337" i="1"/>
  <c r="H1337" i="1"/>
  <c r="G1337" i="1"/>
  <c r="I1336" i="1"/>
  <c r="H1336" i="1"/>
  <c r="G1336" i="1"/>
  <c r="I1335" i="1"/>
  <c r="H1335" i="1"/>
  <c r="G1335" i="1"/>
  <c r="I1334" i="1"/>
  <c r="H1334" i="1"/>
  <c r="G1334" i="1"/>
  <c r="I1333" i="1"/>
  <c r="H1333" i="1"/>
  <c r="G1333" i="1"/>
  <c r="I1332" i="1"/>
  <c r="H1332" i="1"/>
  <c r="G1332" i="1"/>
  <c r="I1331" i="1"/>
  <c r="H1331" i="1"/>
  <c r="G1331" i="1"/>
  <c r="I1330" i="1"/>
  <c r="H1330" i="1"/>
  <c r="G1330" i="1"/>
  <c r="I1329" i="1"/>
  <c r="H1329" i="1"/>
  <c r="G1329" i="1"/>
  <c r="I1328" i="1"/>
  <c r="H1328" i="1"/>
  <c r="G1328" i="1"/>
  <c r="I1327" i="1"/>
  <c r="H1327" i="1"/>
  <c r="G1327" i="1"/>
  <c r="I1326" i="1"/>
  <c r="H1326" i="1"/>
  <c r="G1326" i="1"/>
  <c r="I1325" i="1"/>
  <c r="H1325" i="1"/>
  <c r="G1325" i="1"/>
  <c r="I1324" i="1"/>
  <c r="H1324" i="1"/>
  <c r="G1324" i="1"/>
  <c r="I1323" i="1"/>
  <c r="H1323" i="1"/>
  <c r="G1323" i="1"/>
  <c r="I1322" i="1"/>
  <c r="H1322" i="1"/>
  <c r="G1322" i="1"/>
  <c r="I1321" i="1"/>
  <c r="H1321" i="1"/>
  <c r="G1321" i="1"/>
  <c r="I1320" i="1"/>
  <c r="H1320" i="1"/>
  <c r="G1320" i="1"/>
  <c r="I1319" i="1"/>
  <c r="H1319" i="1"/>
  <c r="G1319" i="1"/>
  <c r="I1318" i="1"/>
  <c r="H1318" i="1"/>
  <c r="G1318" i="1"/>
  <c r="I1317" i="1"/>
  <c r="H1317" i="1"/>
  <c r="G1317" i="1"/>
  <c r="I1316" i="1"/>
  <c r="H1316" i="1"/>
  <c r="G1316" i="1"/>
  <c r="I1315" i="1"/>
  <c r="H1315" i="1"/>
  <c r="G1315" i="1"/>
  <c r="I1314" i="1"/>
  <c r="H1314" i="1"/>
  <c r="G1314" i="1"/>
  <c r="I1313" i="1"/>
  <c r="H1313" i="1"/>
  <c r="G1313" i="1"/>
  <c r="I1312" i="1"/>
  <c r="H1312" i="1"/>
  <c r="G1312" i="1"/>
  <c r="I1311" i="1"/>
  <c r="H1311" i="1"/>
  <c r="G1311" i="1"/>
  <c r="I1310" i="1"/>
  <c r="H1310" i="1"/>
  <c r="G1310" i="1"/>
  <c r="I1309" i="1"/>
  <c r="H1309" i="1"/>
  <c r="G1309" i="1"/>
  <c r="I1308" i="1"/>
  <c r="H1308" i="1"/>
  <c r="G1308" i="1"/>
  <c r="I1307" i="1"/>
  <c r="H1307" i="1"/>
  <c r="G1307" i="1"/>
  <c r="I1306" i="1"/>
  <c r="H1306" i="1"/>
  <c r="G1306" i="1"/>
  <c r="I1305" i="1"/>
  <c r="H1305" i="1"/>
  <c r="G1305" i="1"/>
  <c r="I1304" i="1"/>
  <c r="H1304" i="1"/>
  <c r="G1304" i="1"/>
  <c r="I1303" i="1"/>
  <c r="H1303" i="1"/>
  <c r="G1303" i="1"/>
  <c r="I1302" i="1"/>
  <c r="H1302" i="1"/>
  <c r="G1302" i="1"/>
  <c r="I1301" i="1"/>
  <c r="H1301" i="1"/>
  <c r="G1301" i="1"/>
  <c r="I1300" i="1"/>
  <c r="H1300" i="1"/>
  <c r="G1300" i="1"/>
  <c r="I1299" i="1"/>
  <c r="H1299" i="1"/>
  <c r="G1299" i="1"/>
  <c r="I1298" i="1"/>
  <c r="H1298" i="1"/>
  <c r="G1298" i="1"/>
  <c r="I1297" i="1"/>
  <c r="H1297" i="1"/>
  <c r="G1297" i="1"/>
  <c r="I1296" i="1"/>
  <c r="H1296" i="1"/>
  <c r="G1296" i="1"/>
  <c r="I1295" i="1"/>
  <c r="H1295" i="1"/>
  <c r="G1295" i="1"/>
  <c r="I1294" i="1"/>
  <c r="H1294" i="1"/>
  <c r="G1294" i="1"/>
  <c r="I1293" i="1"/>
  <c r="H1293" i="1"/>
  <c r="G1293" i="1"/>
  <c r="I1292" i="1"/>
  <c r="H1292" i="1"/>
  <c r="G1292" i="1"/>
  <c r="I1291" i="1"/>
  <c r="H1291" i="1"/>
  <c r="G1291" i="1"/>
  <c r="I1290" i="1"/>
  <c r="H1290" i="1"/>
  <c r="G1290" i="1"/>
  <c r="I1289" i="1"/>
  <c r="H1289" i="1"/>
  <c r="G1289" i="1"/>
  <c r="I1288" i="1"/>
  <c r="H1288" i="1"/>
  <c r="G1288" i="1"/>
  <c r="I1287" i="1"/>
  <c r="H1287" i="1"/>
  <c r="G1287" i="1"/>
  <c r="I1286" i="1"/>
  <c r="H1286" i="1"/>
  <c r="G1286" i="1"/>
  <c r="I1285" i="1"/>
  <c r="H1285" i="1"/>
  <c r="G1285" i="1"/>
  <c r="I1284" i="1"/>
  <c r="H1284" i="1"/>
  <c r="G1284" i="1"/>
  <c r="I1283" i="1"/>
  <c r="H1283" i="1"/>
  <c r="G1283" i="1"/>
  <c r="I1282" i="1"/>
  <c r="H1282" i="1"/>
  <c r="G1282" i="1"/>
  <c r="I1281" i="1"/>
  <c r="H1281" i="1"/>
  <c r="G1281" i="1"/>
  <c r="I1280" i="1"/>
  <c r="H1280" i="1"/>
  <c r="G1280" i="1"/>
  <c r="I1279" i="1"/>
  <c r="H1279" i="1"/>
  <c r="G1279" i="1"/>
  <c r="I1278" i="1"/>
  <c r="H1278" i="1"/>
  <c r="G1278" i="1"/>
  <c r="I1277" i="1"/>
  <c r="H1277" i="1"/>
  <c r="G1277" i="1"/>
  <c r="I1276" i="1"/>
  <c r="H1276" i="1"/>
  <c r="G1276" i="1"/>
  <c r="I1275" i="1"/>
  <c r="H1275" i="1"/>
  <c r="G1275" i="1"/>
  <c r="I1274" i="1"/>
  <c r="H1274" i="1"/>
  <c r="G1274" i="1"/>
  <c r="I1273" i="1"/>
  <c r="H1273" i="1"/>
  <c r="G1273" i="1"/>
  <c r="I1272" i="1"/>
  <c r="H1272" i="1"/>
  <c r="G1272" i="1"/>
  <c r="I1271" i="1"/>
  <c r="H1271" i="1"/>
  <c r="G1271" i="1"/>
  <c r="I1270" i="1"/>
  <c r="H1270" i="1"/>
  <c r="G1270" i="1"/>
  <c r="I1269" i="1"/>
  <c r="H1269" i="1"/>
  <c r="G1269" i="1"/>
  <c r="I1268" i="1"/>
  <c r="H1268" i="1"/>
  <c r="G1268" i="1"/>
  <c r="I1267" i="1"/>
  <c r="H1267" i="1"/>
  <c r="G1267" i="1"/>
  <c r="I1266" i="1"/>
  <c r="H1266" i="1"/>
  <c r="G1266" i="1"/>
  <c r="I1265" i="1"/>
  <c r="H1265" i="1"/>
  <c r="G1265" i="1"/>
  <c r="I1264" i="1"/>
  <c r="H1264" i="1"/>
  <c r="G1264" i="1"/>
  <c r="I1263" i="1"/>
  <c r="H1263" i="1"/>
  <c r="G1263" i="1"/>
  <c r="I1262" i="1"/>
  <c r="H1262" i="1"/>
  <c r="G1262" i="1"/>
  <c r="I1261" i="1"/>
  <c r="H1261" i="1"/>
  <c r="G1261" i="1"/>
  <c r="I1260" i="1"/>
  <c r="H1260" i="1"/>
  <c r="G1260" i="1"/>
  <c r="I1259" i="1"/>
  <c r="H1259" i="1"/>
  <c r="G1259" i="1"/>
  <c r="I1258" i="1"/>
  <c r="H1258" i="1"/>
  <c r="G1258" i="1"/>
  <c r="I1257" i="1"/>
  <c r="H1257" i="1"/>
  <c r="G1257" i="1"/>
  <c r="I1256" i="1"/>
  <c r="H1256" i="1"/>
  <c r="G1256" i="1"/>
  <c r="I1255" i="1"/>
  <c r="H1255" i="1"/>
  <c r="G1255" i="1"/>
  <c r="I1254" i="1"/>
  <c r="H1254" i="1"/>
  <c r="G1254" i="1"/>
  <c r="I1253" i="1"/>
  <c r="H1253" i="1"/>
  <c r="G1253" i="1"/>
  <c r="I1252" i="1"/>
  <c r="H1252" i="1"/>
  <c r="G1252" i="1"/>
  <c r="I1251" i="1"/>
  <c r="H1251" i="1"/>
  <c r="G1251" i="1"/>
  <c r="I1250" i="1"/>
  <c r="H1250" i="1"/>
  <c r="G1250" i="1"/>
  <c r="I1249" i="1"/>
  <c r="H1249" i="1"/>
  <c r="G1249" i="1"/>
  <c r="I1248" i="1"/>
  <c r="H1248" i="1"/>
  <c r="G1248" i="1"/>
  <c r="I1247" i="1"/>
  <c r="H1247" i="1"/>
  <c r="G1247" i="1"/>
  <c r="I1246" i="1"/>
  <c r="H1246" i="1"/>
  <c r="G1246" i="1"/>
  <c r="I1245" i="1"/>
  <c r="H1245" i="1"/>
  <c r="G1245" i="1"/>
  <c r="I1244" i="1"/>
  <c r="H1244" i="1"/>
  <c r="G1244" i="1"/>
  <c r="I1243" i="1"/>
  <c r="H1243" i="1"/>
  <c r="G1243" i="1"/>
  <c r="I1242" i="1"/>
  <c r="H1242" i="1"/>
  <c r="G1242" i="1"/>
  <c r="I1241" i="1"/>
  <c r="H1241" i="1"/>
  <c r="G1241" i="1"/>
  <c r="I1240" i="1"/>
  <c r="H1240" i="1"/>
  <c r="G1240" i="1"/>
  <c r="I1239" i="1"/>
  <c r="H1239" i="1"/>
  <c r="G1239" i="1"/>
  <c r="I1238" i="1"/>
  <c r="H1238" i="1"/>
  <c r="G1238" i="1"/>
  <c r="I1237" i="1"/>
  <c r="H1237" i="1"/>
  <c r="G1237" i="1"/>
  <c r="I1236" i="1"/>
  <c r="H1236" i="1"/>
  <c r="G1236" i="1"/>
  <c r="I1235" i="1"/>
  <c r="H1235" i="1"/>
  <c r="G1235" i="1"/>
  <c r="I1234" i="1"/>
  <c r="H1234" i="1"/>
  <c r="G1234" i="1"/>
  <c r="I1233" i="1"/>
  <c r="H1233" i="1"/>
  <c r="G1233" i="1"/>
  <c r="I1232" i="1"/>
  <c r="H1232" i="1"/>
  <c r="G1232" i="1"/>
  <c r="I1231" i="1"/>
  <c r="H1231" i="1"/>
  <c r="G1231" i="1"/>
  <c r="I1230" i="1"/>
  <c r="H1230" i="1"/>
  <c r="G1230" i="1"/>
  <c r="I1229" i="1"/>
  <c r="H1229" i="1"/>
  <c r="G1229" i="1"/>
  <c r="I1228" i="1"/>
  <c r="H1228" i="1"/>
  <c r="G1228" i="1"/>
  <c r="I1227" i="1"/>
  <c r="H1227" i="1"/>
  <c r="G1227" i="1"/>
  <c r="I1226" i="1"/>
  <c r="H1226" i="1"/>
  <c r="G1226" i="1"/>
  <c r="I1225" i="1"/>
  <c r="H1225" i="1"/>
  <c r="G1225" i="1"/>
  <c r="I1224" i="1"/>
  <c r="H1224" i="1"/>
  <c r="G1224" i="1"/>
  <c r="I1223" i="1"/>
  <c r="H1223" i="1"/>
  <c r="G1223" i="1"/>
  <c r="I1222" i="1"/>
  <c r="H1222" i="1"/>
  <c r="G1222" i="1"/>
  <c r="I1221" i="1"/>
  <c r="H1221" i="1"/>
  <c r="G1221" i="1"/>
  <c r="I1220" i="1"/>
  <c r="H1220" i="1"/>
  <c r="G1220" i="1"/>
  <c r="I1219" i="1"/>
  <c r="H1219" i="1"/>
  <c r="G1219" i="1"/>
  <c r="I1218" i="1"/>
  <c r="H1218" i="1"/>
  <c r="G1218" i="1"/>
  <c r="I1217" i="1"/>
  <c r="H1217" i="1"/>
  <c r="G1217" i="1"/>
  <c r="I1216" i="1"/>
  <c r="H1216" i="1"/>
  <c r="G1216" i="1"/>
  <c r="I1215" i="1"/>
  <c r="H1215" i="1"/>
  <c r="G1215" i="1"/>
  <c r="I1214" i="1"/>
  <c r="H1214" i="1"/>
  <c r="G1214" i="1"/>
  <c r="I1213" i="1"/>
  <c r="H1213" i="1"/>
  <c r="G1213" i="1"/>
  <c r="I1212" i="1"/>
  <c r="H1212" i="1"/>
  <c r="G1212" i="1"/>
  <c r="I1211" i="1"/>
  <c r="H1211" i="1"/>
  <c r="G1211" i="1"/>
  <c r="I1210" i="1"/>
  <c r="H1210" i="1"/>
  <c r="G1210" i="1"/>
  <c r="I1209" i="1"/>
  <c r="H1209" i="1"/>
  <c r="G1209" i="1"/>
  <c r="I1208" i="1"/>
  <c r="H1208" i="1"/>
  <c r="G1208" i="1"/>
  <c r="I1207" i="1"/>
  <c r="H1207" i="1"/>
  <c r="G1207" i="1"/>
  <c r="I1206" i="1"/>
  <c r="H1206" i="1"/>
  <c r="G1206" i="1"/>
  <c r="I1205" i="1"/>
  <c r="H1205" i="1"/>
  <c r="G1205" i="1"/>
  <c r="I1204" i="1"/>
  <c r="H1204" i="1"/>
  <c r="G1204" i="1"/>
  <c r="I1203" i="1"/>
  <c r="H1203" i="1"/>
  <c r="G1203" i="1"/>
  <c r="I1202" i="1"/>
  <c r="H1202" i="1"/>
  <c r="G1202" i="1"/>
  <c r="I1201" i="1"/>
  <c r="H1201" i="1"/>
  <c r="G1201" i="1"/>
  <c r="I1200" i="1"/>
  <c r="H1200" i="1"/>
  <c r="G1200" i="1"/>
  <c r="I1199" i="1"/>
  <c r="H1199" i="1"/>
  <c r="G1199" i="1"/>
  <c r="I1198" i="1"/>
  <c r="H1198" i="1"/>
  <c r="G1198" i="1"/>
  <c r="I1197" i="1"/>
  <c r="H1197" i="1"/>
  <c r="G1197" i="1"/>
  <c r="I1196" i="1"/>
  <c r="H1196" i="1"/>
  <c r="G1196" i="1"/>
  <c r="I1195" i="1"/>
  <c r="H1195" i="1"/>
  <c r="G1195" i="1"/>
  <c r="I1194" i="1"/>
  <c r="H1194" i="1"/>
  <c r="G1194" i="1"/>
  <c r="I1193" i="1"/>
  <c r="H1193" i="1"/>
  <c r="G1193" i="1"/>
  <c r="I1192" i="1"/>
  <c r="H1192" i="1"/>
  <c r="G1192" i="1"/>
  <c r="I1191" i="1"/>
  <c r="H1191" i="1"/>
  <c r="G1191" i="1"/>
  <c r="I1190" i="1"/>
  <c r="H1190" i="1"/>
  <c r="G1190" i="1"/>
  <c r="I1189" i="1"/>
  <c r="H1189" i="1"/>
  <c r="G1189" i="1"/>
  <c r="I1188" i="1"/>
  <c r="H1188" i="1"/>
  <c r="G1188" i="1"/>
  <c r="I1187" i="1"/>
  <c r="H1187" i="1"/>
  <c r="G1187" i="1"/>
  <c r="I1186" i="1"/>
  <c r="H1186" i="1"/>
  <c r="G1186" i="1"/>
  <c r="I1185" i="1"/>
  <c r="H1185" i="1"/>
  <c r="G1185" i="1"/>
  <c r="I1184" i="1"/>
  <c r="H1184" i="1"/>
  <c r="G1184" i="1"/>
  <c r="I1183" i="1"/>
  <c r="H1183" i="1"/>
  <c r="G1183" i="1"/>
  <c r="I1182" i="1"/>
  <c r="H1182" i="1"/>
  <c r="G1182" i="1"/>
  <c r="I1181" i="1"/>
  <c r="H1181" i="1"/>
  <c r="G1181" i="1"/>
  <c r="I1180" i="1"/>
  <c r="H1180" i="1"/>
  <c r="G1180" i="1"/>
  <c r="I1179" i="1"/>
  <c r="H1179" i="1"/>
  <c r="G1179" i="1"/>
  <c r="I1178" i="1"/>
  <c r="H1178" i="1"/>
  <c r="G1178" i="1"/>
  <c r="I1177" i="1"/>
  <c r="H1177" i="1"/>
  <c r="G1177" i="1"/>
  <c r="I1176" i="1"/>
  <c r="H1176" i="1"/>
  <c r="G1176" i="1"/>
  <c r="I1175" i="1"/>
  <c r="H1175" i="1"/>
  <c r="G1175" i="1"/>
  <c r="I1174" i="1"/>
  <c r="H1174" i="1"/>
  <c r="G1174" i="1"/>
  <c r="I1173" i="1"/>
  <c r="H1173" i="1"/>
  <c r="G1173" i="1"/>
  <c r="I1172" i="1"/>
  <c r="H1172" i="1"/>
  <c r="G1172" i="1"/>
  <c r="I1171" i="1"/>
  <c r="H1171" i="1"/>
  <c r="G1171" i="1"/>
  <c r="I1170" i="1"/>
  <c r="H1170" i="1"/>
  <c r="G1170" i="1"/>
  <c r="I1169" i="1"/>
  <c r="H1169" i="1"/>
  <c r="G1169" i="1"/>
  <c r="I1168" i="1"/>
  <c r="H1168" i="1"/>
  <c r="G1168" i="1"/>
  <c r="I1167" i="1"/>
  <c r="H1167" i="1"/>
  <c r="G1167" i="1"/>
  <c r="I1166" i="1"/>
  <c r="H1166" i="1"/>
  <c r="G1166" i="1"/>
  <c r="I1165" i="1"/>
  <c r="H1165" i="1"/>
  <c r="G1165" i="1"/>
  <c r="I1164" i="1"/>
  <c r="H1164" i="1"/>
  <c r="G1164" i="1"/>
  <c r="I1163" i="1"/>
  <c r="H1163" i="1"/>
  <c r="G1163" i="1"/>
  <c r="I1162" i="1"/>
  <c r="H1162" i="1"/>
  <c r="G1162" i="1"/>
  <c r="I1161" i="1"/>
  <c r="H1161" i="1"/>
  <c r="G1161" i="1"/>
  <c r="I1160" i="1"/>
  <c r="H1160" i="1"/>
  <c r="G1160" i="1"/>
  <c r="I1159" i="1"/>
  <c r="H1159" i="1"/>
  <c r="G1159" i="1"/>
  <c r="I1158" i="1"/>
  <c r="H1158" i="1"/>
  <c r="G1158" i="1"/>
  <c r="I1157" i="1"/>
  <c r="H1157" i="1"/>
  <c r="G1157" i="1"/>
  <c r="I1156" i="1"/>
  <c r="H1156" i="1"/>
  <c r="G1156" i="1"/>
  <c r="I1155" i="1"/>
  <c r="H1155" i="1"/>
  <c r="G1155" i="1"/>
  <c r="I1154" i="1"/>
  <c r="H1154" i="1"/>
  <c r="G1154" i="1"/>
  <c r="I1153" i="1"/>
  <c r="H1153" i="1"/>
  <c r="G1153" i="1"/>
  <c r="I1152" i="1"/>
  <c r="H1152" i="1"/>
  <c r="G1152" i="1"/>
  <c r="I1151" i="1"/>
  <c r="H1151" i="1"/>
  <c r="G1151" i="1"/>
  <c r="I1150" i="1"/>
  <c r="H1150" i="1"/>
  <c r="G1150" i="1"/>
  <c r="I1149" i="1"/>
  <c r="H1149" i="1"/>
  <c r="G1149" i="1"/>
  <c r="I1148" i="1"/>
  <c r="H1148" i="1"/>
  <c r="G1148" i="1"/>
  <c r="I1147" i="1"/>
  <c r="H1147" i="1"/>
  <c r="G1147" i="1"/>
  <c r="I1146" i="1"/>
  <c r="H1146" i="1"/>
  <c r="G1146" i="1"/>
  <c r="I1145" i="1"/>
  <c r="H1145" i="1"/>
  <c r="G1145" i="1"/>
  <c r="I1144" i="1"/>
  <c r="H1144" i="1"/>
  <c r="G1144" i="1"/>
  <c r="I1143" i="1"/>
  <c r="H1143" i="1"/>
  <c r="G1143" i="1"/>
  <c r="I1142" i="1"/>
  <c r="H1142" i="1"/>
  <c r="G1142" i="1"/>
  <c r="I1141" i="1"/>
  <c r="H1141" i="1"/>
  <c r="G1141" i="1"/>
  <c r="I1140" i="1"/>
  <c r="H1140" i="1"/>
  <c r="G1140" i="1"/>
  <c r="I1139" i="1"/>
  <c r="H1139" i="1"/>
  <c r="G1139" i="1"/>
  <c r="I1138" i="1"/>
  <c r="H1138" i="1"/>
  <c r="G1138" i="1"/>
  <c r="I1137" i="1"/>
  <c r="H1137" i="1"/>
  <c r="G1137" i="1"/>
  <c r="I1136" i="1"/>
  <c r="H1136" i="1"/>
  <c r="G1136" i="1"/>
  <c r="I1135" i="1"/>
  <c r="H1135" i="1"/>
  <c r="G1135" i="1"/>
  <c r="I1134" i="1"/>
  <c r="H1134" i="1"/>
  <c r="G1134" i="1"/>
  <c r="I1133" i="1"/>
  <c r="H1133" i="1"/>
  <c r="G1133" i="1"/>
  <c r="I1132" i="1"/>
  <c r="H1132" i="1"/>
  <c r="G1132" i="1"/>
  <c r="I1131" i="1"/>
  <c r="H1131" i="1"/>
  <c r="G1131" i="1"/>
  <c r="I1130" i="1"/>
  <c r="H1130" i="1"/>
  <c r="G1130" i="1"/>
  <c r="I1129" i="1"/>
  <c r="H1129" i="1"/>
  <c r="G1129" i="1"/>
  <c r="I1128" i="1"/>
  <c r="H1128" i="1"/>
  <c r="G1128" i="1"/>
  <c r="I1127" i="1"/>
  <c r="H1127" i="1"/>
  <c r="G1127" i="1"/>
  <c r="I1126" i="1"/>
  <c r="H1126" i="1"/>
  <c r="G1126" i="1"/>
  <c r="I1125" i="1"/>
  <c r="H1125" i="1"/>
  <c r="G1125" i="1"/>
  <c r="I1124" i="1"/>
  <c r="H1124" i="1"/>
  <c r="G1124" i="1"/>
  <c r="I1123" i="1"/>
  <c r="H1123" i="1"/>
  <c r="G1123" i="1"/>
  <c r="I1122" i="1"/>
  <c r="H1122" i="1"/>
  <c r="G1122" i="1"/>
  <c r="I1121" i="1"/>
  <c r="H1121" i="1"/>
  <c r="G1121" i="1"/>
  <c r="I1120" i="1"/>
  <c r="H1120" i="1"/>
  <c r="G1120" i="1"/>
  <c r="I1119" i="1"/>
  <c r="H1119" i="1"/>
  <c r="G1119" i="1"/>
  <c r="I1118" i="1"/>
  <c r="H1118" i="1"/>
  <c r="G1118" i="1"/>
  <c r="I1117" i="1"/>
  <c r="H1117" i="1"/>
  <c r="G1117" i="1"/>
  <c r="I1116" i="1"/>
  <c r="H1116" i="1"/>
  <c r="G1116" i="1"/>
  <c r="I1115" i="1"/>
  <c r="H1115" i="1"/>
  <c r="G1115" i="1"/>
  <c r="I1114" i="1"/>
  <c r="H1114" i="1"/>
  <c r="G1114" i="1"/>
  <c r="I1113" i="1"/>
  <c r="H1113" i="1"/>
  <c r="G1113" i="1"/>
  <c r="I1112" i="1"/>
  <c r="H1112" i="1"/>
  <c r="G1112" i="1"/>
  <c r="I1111" i="1"/>
  <c r="H1111" i="1"/>
  <c r="G1111" i="1"/>
  <c r="I1110" i="1"/>
  <c r="H1110" i="1"/>
  <c r="G1110" i="1"/>
  <c r="I1109" i="1"/>
  <c r="H1109" i="1"/>
  <c r="G1109" i="1"/>
  <c r="I1108" i="1"/>
  <c r="H1108" i="1"/>
  <c r="G1108" i="1"/>
  <c r="I1107" i="1"/>
  <c r="H1107" i="1"/>
  <c r="G1107" i="1"/>
  <c r="I1106" i="1"/>
  <c r="H1106" i="1"/>
  <c r="G1106" i="1"/>
  <c r="I1105" i="1"/>
  <c r="H1105" i="1"/>
  <c r="G1105" i="1"/>
  <c r="I1104" i="1"/>
  <c r="H1104" i="1"/>
  <c r="G1104" i="1"/>
  <c r="I1103" i="1"/>
  <c r="H1103" i="1"/>
  <c r="G1103" i="1"/>
  <c r="I1102" i="1"/>
  <c r="H1102" i="1"/>
  <c r="G1102" i="1"/>
  <c r="I1101" i="1"/>
  <c r="H1101" i="1"/>
  <c r="G1101" i="1"/>
  <c r="I1100" i="1"/>
  <c r="H1100" i="1"/>
  <c r="G1100" i="1"/>
  <c r="I1099" i="1"/>
  <c r="H1099" i="1"/>
  <c r="G1099" i="1"/>
  <c r="I1098" i="1"/>
  <c r="H1098" i="1"/>
  <c r="G1098" i="1"/>
  <c r="I1097" i="1"/>
  <c r="H1097" i="1"/>
  <c r="G1097" i="1"/>
  <c r="I1096" i="1"/>
  <c r="H1096" i="1"/>
  <c r="G1096" i="1"/>
  <c r="I1095" i="1"/>
  <c r="H1095" i="1"/>
  <c r="G1095" i="1"/>
  <c r="I1094" i="1"/>
  <c r="H1094" i="1"/>
  <c r="G1094" i="1"/>
  <c r="I1093" i="1"/>
  <c r="H1093" i="1"/>
  <c r="G1093" i="1"/>
  <c r="I1092" i="1"/>
  <c r="H1092" i="1"/>
  <c r="G1092" i="1"/>
  <c r="I1091" i="1"/>
  <c r="H1091" i="1"/>
  <c r="G1091" i="1"/>
  <c r="I1090" i="1"/>
  <c r="H1090" i="1"/>
  <c r="G1090" i="1"/>
  <c r="I1089" i="1"/>
  <c r="H1089" i="1"/>
  <c r="G1089" i="1"/>
  <c r="I1088" i="1"/>
  <c r="H1088" i="1"/>
  <c r="G1088" i="1"/>
  <c r="I1087" i="1"/>
  <c r="H1087" i="1"/>
  <c r="G1087" i="1"/>
  <c r="I1086" i="1"/>
  <c r="H1086" i="1"/>
  <c r="G1086" i="1"/>
  <c r="I1085" i="1"/>
  <c r="H1085" i="1"/>
  <c r="G1085" i="1"/>
  <c r="I1084" i="1"/>
  <c r="H1084" i="1"/>
  <c r="G1084" i="1"/>
  <c r="I1083" i="1"/>
  <c r="H1083" i="1"/>
  <c r="G1083" i="1"/>
  <c r="I1082" i="1"/>
  <c r="H1082" i="1"/>
  <c r="G1082" i="1"/>
  <c r="I1081" i="1"/>
  <c r="H1081" i="1"/>
  <c r="G1081" i="1"/>
  <c r="I1080" i="1"/>
  <c r="H1080" i="1"/>
  <c r="G1080" i="1"/>
  <c r="I1079" i="1"/>
  <c r="H1079" i="1"/>
  <c r="G1079" i="1"/>
  <c r="I1078" i="1"/>
  <c r="H1078" i="1"/>
  <c r="G1078" i="1"/>
  <c r="I1077" i="1"/>
  <c r="H1077" i="1"/>
  <c r="G1077" i="1"/>
  <c r="I1076" i="1"/>
  <c r="H1076" i="1"/>
  <c r="G1076" i="1"/>
  <c r="I1075" i="1"/>
  <c r="H1075" i="1"/>
  <c r="G1075" i="1"/>
  <c r="I1074" i="1"/>
  <c r="H1074" i="1"/>
  <c r="G1074" i="1"/>
  <c r="I1073" i="1"/>
  <c r="H1073" i="1"/>
  <c r="G1073" i="1"/>
  <c r="I1072" i="1"/>
  <c r="H1072" i="1"/>
  <c r="G1072" i="1"/>
  <c r="I1071" i="1"/>
  <c r="H1071" i="1"/>
  <c r="G1071" i="1"/>
  <c r="I1070" i="1"/>
  <c r="H1070" i="1"/>
  <c r="G1070" i="1"/>
  <c r="I1069" i="1"/>
  <c r="H1069" i="1"/>
  <c r="G1069" i="1"/>
  <c r="I1068" i="1"/>
  <c r="H1068" i="1"/>
  <c r="G1068" i="1"/>
  <c r="I1067" i="1"/>
  <c r="H1067" i="1"/>
  <c r="G1067" i="1"/>
  <c r="I1066" i="1"/>
  <c r="H1066" i="1"/>
  <c r="G1066" i="1"/>
  <c r="I1065" i="1"/>
  <c r="H1065" i="1"/>
  <c r="G1065" i="1"/>
  <c r="I1064" i="1"/>
  <c r="H1064" i="1"/>
  <c r="G1064" i="1"/>
  <c r="I1063" i="1"/>
  <c r="H1063" i="1"/>
  <c r="G1063" i="1"/>
  <c r="I1062" i="1"/>
  <c r="H1062" i="1"/>
  <c r="G1062" i="1"/>
  <c r="I1061" i="1"/>
  <c r="H1061" i="1"/>
  <c r="G1061" i="1"/>
  <c r="I1060" i="1"/>
  <c r="H1060" i="1"/>
  <c r="G1060" i="1"/>
  <c r="I1059" i="1"/>
  <c r="H1059" i="1"/>
  <c r="G1059" i="1"/>
  <c r="I1058" i="1"/>
  <c r="H1058" i="1"/>
  <c r="G1058" i="1"/>
  <c r="I1057" i="1"/>
  <c r="H1057" i="1"/>
  <c r="G1057" i="1"/>
  <c r="I1056" i="1"/>
  <c r="H1056" i="1"/>
  <c r="G1056" i="1"/>
  <c r="I1055" i="1"/>
  <c r="H1055" i="1"/>
  <c r="G1055" i="1"/>
  <c r="I1054" i="1"/>
  <c r="H1054" i="1"/>
  <c r="G1054" i="1"/>
  <c r="I1053" i="1"/>
  <c r="H1053" i="1"/>
  <c r="G1053" i="1"/>
  <c r="I1052" i="1"/>
  <c r="H1052" i="1"/>
  <c r="G1052" i="1"/>
  <c r="I1051" i="1"/>
  <c r="H1051" i="1"/>
  <c r="G1051" i="1"/>
  <c r="I1050" i="1"/>
  <c r="H1050" i="1"/>
  <c r="G1050" i="1"/>
  <c r="I1049" i="1"/>
  <c r="H1049" i="1"/>
  <c r="G1049" i="1"/>
  <c r="I1048" i="1"/>
  <c r="H1048" i="1"/>
  <c r="G1048" i="1"/>
  <c r="I1047" i="1"/>
  <c r="H1047" i="1"/>
  <c r="G1047" i="1"/>
  <c r="I1046" i="1"/>
  <c r="H1046" i="1"/>
  <c r="G1046" i="1"/>
  <c r="I1045" i="1"/>
  <c r="H1045" i="1"/>
  <c r="G1045" i="1"/>
  <c r="I1044" i="1"/>
  <c r="H1044" i="1"/>
  <c r="G1044" i="1"/>
  <c r="I1043" i="1"/>
  <c r="H1043" i="1"/>
  <c r="G1043" i="1"/>
  <c r="I1042" i="1"/>
  <c r="H1042" i="1"/>
  <c r="G1042" i="1"/>
  <c r="I1041" i="1"/>
  <c r="H1041" i="1"/>
  <c r="G1041" i="1"/>
  <c r="I1040" i="1"/>
  <c r="H1040" i="1"/>
  <c r="G1040" i="1"/>
  <c r="I1039" i="1"/>
  <c r="H1039" i="1"/>
  <c r="G1039" i="1"/>
  <c r="I1038" i="1"/>
  <c r="H1038" i="1"/>
  <c r="G1038" i="1"/>
  <c r="I1037" i="1"/>
  <c r="H1037" i="1"/>
  <c r="G1037" i="1"/>
  <c r="I1036" i="1"/>
  <c r="H1036" i="1"/>
  <c r="G1036" i="1"/>
  <c r="I1035" i="1"/>
  <c r="H1035" i="1"/>
  <c r="G1035" i="1"/>
  <c r="I1034" i="1"/>
  <c r="H1034" i="1"/>
  <c r="G1034" i="1"/>
  <c r="I1033" i="1"/>
  <c r="H1033" i="1"/>
  <c r="G1033" i="1"/>
  <c r="I1032" i="1"/>
  <c r="H1032" i="1"/>
  <c r="G1032" i="1"/>
  <c r="I1031" i="1"/>
  <c r="H1031" i="1"/>
  <c r="G1031" i="1"/>
  <c r="I1030" i="1"/>
  <c r="H1030" i="1"/>
  <c r="G1030" i="1"/>
  <c r="I1029" i="1"/>
  <c r="H1029" i="1"/>
  <c r="G1029" i="1"/>
  <c r="I1028" i="1"/>
  <c r="H1028" i="1"/>
  <c r="G1028" i="1"/>
  <c r="I1027" i="1"/>
  <c r="H1027" i="1"/>
  <c r="G1027" i="1"/>
  <c r="I1026" i="1"/>
  <c r="H1026" i="1"/>
  <c r="G1026" i="1"/>
  <c r="I1025" i="1"/>
  <c r="H1025" i="1"/>
  <c r="G1025" i="1"/>
  <c r="I1024" i="1"/>
  <c r="H1024" i="1"/>
  <c r="G1024" i="1"/>
  <c r="I1023" i="1"/>
  <c r="H1023" i="1"/>
  <c r="G1023" i="1"/>
  <c r="I1022" i="1"/>
  <c r="H1022" i="1"/>
  <c r="G1022" i="1"/>
  <c r="I1021" i="1"/>
  <c r="H1021" i="1"/>
  <c r="G1021" i="1"/>
  <c r="I1020" i="1"/>
  <c r="H1020" i="1"/>
  <c r="G1020" i="1"/>
  <c r="I1019" i="1"/>
  <c r="H1019" i="1"/>
  <c r="G1019" i="1"/>
  <c r="I1018" i="1"/>
  <c r="H1018" i="1"/>
  <c r="G1018" i="1"/>
  <c r="I1017" i="1"/>
  <c r="H1017" i="1"/>
  <c r="G1017" i="1"/>
  <c r="I1016" i="1"/>
  <c r="H1016" i="1"/>
  <c r="G1016" i="1"/>
  <c r="I1015" i="1"/>
  <c r="H1015" i="1"/>
  <c r="G1015" i="1"/>
  <c r="I1014" i="1"/>
  <c r="H1014" i="1"/>
  <c r="G1014" i="1"/>
  <c r="I1013" i="1"/>
  <c r="H1013" i="1"/>
  <c r="G1013" i="1"/>
  <c r="I1012" i="1"/>
  <c r="H1012" i="1"/>
  <c r="G1012" i="1"/>
  <c r="I1011" i="1"/>
  <c r="H1011" i="1"/>
  <c r="G1011" i="1"/>
  <c r="I1010" i="1"/>
  <c r="H1010" i="1"/>
  <c r="G1010" i="1"/>
  <c r="I1009" i="1"/>
  <c r="H1009" i="1"/>
  <c r="G1009" i="1"/>
  <c r="I1008" i="1"/>
  <c r="H1008" i="1"/>
  <c r="G1008" i="1"/>
  <c r="I1007" i="1"/>
  <c r="H1007" i="1"/>
  <c r="G1007" i="1"/>
  <c r="I1006" i="1"/>
  <c r="H1006" i="1"/>
  <c r="G1006" i="1"/>
  <c r="I1005" i="1"/>
  <c r="H1005" i="1"/>
  <c r="G1005" i="1"/>
  <c r="I1004" i="1"/>
  <c r="H1004" i="1"/>
  <c r="G1004" i="1"/>
  <c r="I1003" i="1"/>
  <c r="H1003" i="1"/>
  <c r="G1003" i="1"/>
  <c r="I1002" i="1"/>
  <c r="H1002" i="1"/>
  <c r="G1002" i="1"/>
  <c r="I1001" i="1"/>
  <c r="H1001" i="1"/>
  <c r="G1001" i="1"/>
  <c r="I1000" i="1"/>
  <c r="H1000" i="1"/>
  <c r="G1000" i="1"/>
  <c r="I999" i="1"/>
  <c r="H999" i="1"/>
  <c r="G999" i="1"/>
  <c r="I998" i="1"/>
  <c r="H998" i="1"/>
  <c r="G998" i="1"/>
  <c r="I997" i="1"/>
  <c r="H997" i="1"/>
  <c r="G997" i="1"/>
  <c r="I996" i="1"/>
  <c r="H996" i="1"/>
  <c r="G996" i="1"/>
  <c r="I995" i="1"/>
  <c r="H995" i="1"/>
  <c r="G995" i="1"/>
  <c r="I994" i="1"/>
  <c r="H994" i="1"/>
  <c r="G994" i="1"/>
  <c r="I993" i="1"/>
  <c r="H993" i="1"/>
  <c r="G993" i="1"/>
  <c r="I992" i="1"/>
  <c r="H992" i="1"/>
  <c r="G992" i="1"/>
  <c r="I991" i="1"/>
  <c r="H991" i="1"/>
  <c r="G991" i="1"/>
  <c r="I990" i="1"/>
  <c r="H990" i="1"/>
  <c r="G990" i="1"/>
  <c r="I989" i="1"/>
  <c r="H989" i="1"/>
  <c r="G989" i="1"/>
  <c r="I988" i="1"/>
  <c r="H988" i="1"/>
  <c r="G988" i="1"/>
  <c r="I987" i="1"/>
  <c r="H987" i="1"/>
  <c r="G987" i="1"/>
  <c r="I986" i="1"/>
  <c r="H986" i="1"/>
  <c r="G986" i="1"/>
  <c r="I985" i="1"/>
  <c r="H985" i="1"/>
  <c r="G985" i="1"/>
  <c r="I984" i="1"/>
  <c r="H984" i="1"/>
  <c r="G984" i="1"/>
  <c r="I983" i="1"/>
  <c r="H983" i="1"/>
  <c r="G983" i="1"/>
  <c r="I982" i="1"/>
  <c r="H982" i="1"/>
  <c r="G982" i="1"/>
  <c r="I981" i="1"/>
  <c r="H981" i="1"/>
  <c r="G981" i="1"/>
  <c r="I980" i="1"/>
  <c r="H980" i="1"/>
  <c r="G980" i="1"/>
  <c r="I979" i="1"/>
  <c r="H979" i="1"/>
  <c r="G979" i="1"/>
  <c r="I978" i="1"/>
  <c r="H978" i="1"/>
  <c r="G978" i="1"/>
  <c r="I977" i="1"/>
  <c r="H977" i="1"/>
  <c r="G977" i="1"/>
  <c r="I976" i="1"/>
  <c r="H976" i="1"/>
  <c r="G976" i="1"/>
  <c r="I975" i="1"/>
  <c r="H975" i="1"/>
  <c r="G975" i="1"/>
  <c r="I974" i="1"/>
  <c r="H974" i="1"/>
  <c r="G974" i="1"/>
  <c r="I973" i="1"/>
  <c r="H973" i="1"/>
  <c r="G973" i="1"/>
  <c r="I972" i="1"/>
  <c r="H972" i="1"/>
  <c r="G972" i="1"/>
  <c r="I971" i="1"/>
  <c r="H971" i="1"/>
  <c r="G971" i="1"/>
  <c r="I970" i="1"/>
  <c r="H970" i="1"/>
  <c r="G970" i="1"/>
  <c r="I969" i="1"/>
  <c r="H969" i="1"/>
  <c r="G969" i="1"/>
  <c r="I968" i="1"/>
  <c r="H968" i="1"/>
  <c r="G968" i="1"/>
  <c r="I967" i="1"/>
  <c r="H967" i="1"/>
  <c r="G967" i="1"/>
  <c r="I966" i="1"/>
  <c r="H966" i="1"/>
  <c r="G966" i="1"/>
  <c r="I965" i="1"/>
  <c r="H965" i="1"/>
  <c r="G965" i="1"/>
  <c r="I964" i="1"/>
  <c r="H964" i="1"/>
  <c r="G964" i="1"/>
  <c r="I963" i="1"/>
  <c r="H963" i="1"/>
  <c r="G963" i="1"/>
  <c r="I962" i="1"/>
  <c r="H962" i="1"/>
  <c r="G962" i="1"/>
  <c r="I961" i="1"/>
  <c r="H961" i="1"/>
  <c r="G961" i="1"/>
  <c r="I960" i="1"/>
  <c r="H960" i="1"/>
  <c r="G960" i="1"/>
  <c r="I959" i="1"/>
  <c r="H959" i="1"/>
  <c r="G959" i="1"/>
  <c r="I958" i="1"/>
  <c r="H958" i="1"/>
  <c r="G958" i="1"/>
  <c r="I957" i="1"/>
  <c r="H957" i="1"/>
  <c r="G957" i="1"/>
  <c r="I956" i="1"/>
  <c r="H956" i="1"/>
  <c r="G956" i="1"/>
  <c r="I955" i="1"/>
  <c r="H955" i="1"/>
  <c r="G955" i="1"/>
  <c r="I954" i="1"/>
  <c r="H954" i="1"/>
  <c r="G954" i="1"/>
  <c r="I953" i="1"/>
  <c r="H953" i="1"/>
  <c r="G953" i="1"/>
  <c r="I952" i="1"/>
  <c r="H952" i="1"/>
  <c r="G952" i="1"/>
  <c r="I951" i="1"/>
  <c r="H951" i="1"/>
  <c r="G951" i="1"/>
  <c r="I950" i="1"/>
  <c r="H950" i="1"/>
  <c r="G950" i="1"/>
  <c r="I949" i="1"/>
  <c r="H949" i="1"/>
  <c r="G949" i="1"/>
  <c r="I948" i="1"/>
  <c r="H948" i="1"/>
  <c r="G948" i="1"/>
  <c r="I947" i="1"/>
  <c r="H947" i="1"/>
  <c r="G947" i="1"/>
  <c r="I946" i="1"/>
  <c r="H946" i="1"/>
  <c r="G946" i="1"/>
  <c r="I945" i="1"/>
  <c r="H945" i="1"/>
  <c r="G945" i="1"/>
  <c r="I944" i="1"/>
  <c r="H944" i="1"/>
  <c r="G944" i="1"/>
  <c r="I943" i="1"/>
  <c r="H943" i="1"/>
  <c r="G943" i="1"/>
  <c r="I942" i="1"/>
  <c r="H942" i="1"/>
  <c r="G942" i="1"/>
  <c r="I941" i="1"/>
  <c r="H941" i="1"/>
  <c r="G941" i="1"/>
  <c r="I940" i="1"/>
  <c r="H940" i="1"/>
  <c r="G940" i="1"/>
  <c r="I939" i="1"/>
  <c r="H939" i="1"/>
  <c r="G939" i="1"/>
  <c r="I938" i="1"/>
  <c r="H938" i="1"/>
  <c r="G938" i="1"/>
  <c r="I937" i="1"/>
  <c r="H937" i="1"/>
  <c r="G937" i="1"/>
  <c r="I936" i="1"/>
  <c r="H936" i="1"/>
  <c r="G936" i="1"/>
  <c r="I935" i="1"/>
  <c r="H935" i="1"/>
  <c r="G935" i="1"/>
  <c r="I934" i="1"/>
  <c r="H934" i="1"/>
  <c r="G934" i="1"/>
  <c r="I933" i="1"/>
  <c r="H933" i="1"/>
  <c r="G933" i="1"/>
  <c r="I932" i="1"/>
  <c r="H932" i="1"/>
  <c r="G932" i="1"/>
  <c r="I931" i="1"/>
  <c r="H931" i="1"/>
  <c r="G931" i="1"/>
  <c r="I930" i="1"/>
  <c r="H930" i="1"/>
  <c r="G930" i="1"/>
  <c r="I929" i="1"/>
  <c r="H929" i="1"/>
  <c r="G929" i="1"/>
  <c r="I928" i="1"/>
  <c r="H928" i="1"/>
  <c r="G928" i="1"/>
  <c r="I927" i="1"/>
  <c r="H927" i="1"/>
  <c r="G927" i="1"/>
  <c r="I926" i="1"/>
  <c r="H926" i="1"/>
  <c r="G926" i="1"/>
  <c r="I925" i="1"/>
  <c r="H925" i="1"/>
  <c r="G925" i="1"/>
  <c r="I924" i="1"/>
  <c r="H924" i="1"/>
  <c r="G924" i="1"/>
  <c r="I923" i="1"/>
  <c r="H923" i="1"/>
  <c r="G923" i="1"/>
  <c r="I922" i="1"/>
  <c r="H922" i="1"/>
  <c r="G922" i="1"/>
  <c r="I921" i="1"/>
  <c r="H921" i="1"/>
  <c r="G921" i="1"/>
  <c r="I920" i="1"/>
  <c r="H920" i="1"/>
  <c r="G920" i="1"/>
  <c r="I919" i="1"/>
  <c r="H919" i="1"/>
  <c r="G919" i="1"/>
  <c r="I918" i="1"/>
  <c r="H918" i="1"/>
  <c r="G918" i="1"/>
  <c r="I917" i="1"/>
  <c r="H917" i="1"/>
  <c r="G917" i="1"/>
  <c r="I916" i="1"/>
  <c r="H916" i="1"/>
  <c r="G916" i="1"/>
  <c r="I915" i="1"/>
  <c r="H915" i="1"/>
  <c r="G915" i="1"/>
  <c r="I914" i="1"/>
  <c r="H914" i="1"/>
  <c r="G914" i="1"/>
  <c r="I913" i="1"/>
  <c r="H913" i="1"/>
  <c r="G913" i="1"/>
  <c r="I912" i="1"/>
  <c r="H912" i="1"/>
  <c r="G912" i="1"/>
  <c r="I911" i="1"/>
  <c r="H911" i="1"/>
  <c r="G911" i="1"/>
  <c r="I910" i="1"/>
  <c r="H910" i="1"/>
  <c r="G910" i="1"/>
  <c r="I909" i="1"/>
  <c r="H909" i="1"/>
  <c r="G909" i="1"/>
  <c r="I908" i="1"/>
  <c r="H908" i="1"/>
  <c r="G908" i="1"/>
  <c r="I907" i="1"/>
  <c r="H907" i="1"/>
  <c r="G907" i="1"/>
  <c r="I906" i="1"/>
  <c r="H906" i="1"/>
  <c r="G906" i="1"/>
  <c r="I905" i="1"/>
  <c r="H905" i="1"/>
  <c r="G905" i="1"/>
  <c r="I904" i="1"/>
  <c r="H904" i="1"/>
  <c r="G904" i="1"/>
  <c r="I903" i="1"/>
  <c r="H903" i="1"/>
  <c r="G903" i="1"/>
  <c r="I902" i="1"/>
  <c r="H902" i="1"/>
  <c r="G902" i="1"/>
  <c r="I901" i="1"/>
  <c r="H901" i="1"/>
  <c r="G901" i="1"/>
  <c r="I900" i="1"/>
  <c r="H900" i="1"/>
  <c r="G900" i="1"/>
  <c r="I899" i="1"/>
  <c r="H899" i="1"/>
  <c r="G899" i="1"/>
  <c r="I898" i="1"/>
  <c r="H898" i="1"/>
  <c r="G898" i="1"/>
  <c r="I897" i="1"/>
  <c r="H897" i="1"/>
  <c r="G897" i="1"/>
  <c r="I896" i="1"/>
  <c r="H896" i="1"/>
  <c r="G896" i="1"/>
  <c r="I895" i="1"/>
  <c r="H895" i="1"/>
  <c r="G895" i="1"/>
  <c r="I894" i="1"/>
  <c r="H894" i="1"/>
  <c r="G894" i="1"/>
  <c r="I893" i="1"/>
  <c r="H893" i="1"/>
  <c r="G893" i="1"/>
  <c r="I892" i="1"/>
  <c r="H892" i="1"/>
  <c r="G892" i="1"/>
  <c r="I891" i="1"/>
  <c r="H891" i="1"/>
  <c r="G891" i="1"/>
  <c r="I890" i="1"/>
  <c r="H890" i="1"/>
  <c r="G890" i="1"/>
  <c r="I889" i="1"/>
  <c r="H889" i="1"/>
  <c r="G889" i="1"/>
  <c r="I888" i="1"/>
  <c r="H888" i="1"/>
  <c r="G888" i="1"/>
  <c r="I887" i="1"/>
  <c r="H887" i="1"/>
  <c r="G887" i="1"/>
  <c r="I886" i="1"/>
  <c r="H886" i="1"/>
  <c r="G886" i="1"/>
  <c r="I885" i="1"/>
  <c r="H885" i="1"/>
  <c r="G885" i="1"/>
  <c r="I884" i="1"/>
  <c r="H884" i="1"/>
  <c r="G884" i="1"/>
  <c r="I883" i="1"/>
  <c r="H883" i="1"/>
  <c r="G883" i="1"/>
  <c r="I882" i="1"/>
  <c r="H882" i="1"/>
  <c r="G882" i="1"/>
  <c r="I881" i="1"/>
  <c r="H881" i="1"/>
  <c r="G881" i="1"/>
  <c r="I880" i="1"/>
  <c r="H880" i="1"/>
  <c r="G880" i="1"/>
  <c r="I879" i="1"/>
  <c r="H879" i="1"/>
  <c r="G879" i="1"/>
  <c r="I878" i="1"/>
  <c r="H878" i="1"/>
  <c r="G878" i="1"/>
  <c r="I877" i="1"/>
  <c r="H877" i="1"/>
  <c r="G877" i="1"/>
  <c r="I876" i="1"/>
  <c r="H876" i="1"/>
  <c r="G876" i="1"/>
  <c r="I875" i="1"/>
  <c r="H875" i="1"/>
  <c r="G875" i="1"/>
  <c r="I874" i="1"/>
  <c r="H874" i="1"/>
  <c r="G874" i="1"/>
  <c r="I873" i="1"/>
  <c r="H873" i="1"/>
  <c r="G873" i="1"/>
  <c r="I872" i="1"/>
  <c r="H872" i="1"/>
  <c r="G872" i="1"/>
  <c r="I871" i="1"/>
  <c r="H871" i="1"/>
  <c r="G871" i="1"/>
  <c r="I870" i="1"/>
  <c r="H870" i="1"/>
  <c r="G870" i="1"/>
  <c r="I869" i="1"/>
  <c r="H869" i="1"/>
  <c r="G869" i="1"/>
  <c r="I868" i="1"/>
  <c r="H868" i="1"/>
  <c r="G868" i="1"/>
  <c r="I867" i="1"/>
  <c r="H867" i="1"/>
  <c r="G867" i="1"/>
  <c r="I866" i="1"/>
  <c r="H866" i="1"/>
  <c r="G866" i="1"/>
  <c r="I865" i="1"/>
  <c r="H865" i="1"/>
  <c r="G865" i="1"/>
  <c r="I864" i="1"/>
  <c r="H864" i="1"/>
  <c r="G864" i="1"/>
  <c r="I863" i="1"/>
  <c r="H863" i="1"/>
  <c r="G863" i="1"/>
  <c r="I862" i="1"/>
  <c r="H862" i="1"/>
  <c r="G862" i="1"/>
  <c r="I861" i="1"/>
  <c r="H861" i="1"/>
  <c r="G861" i="1"/>
  <c r="I860" i="1"/>
  <c r="H860" i="1"/>
  <c r="G860" i="1"/>
  <c r="I859" i="1"/>
  <c r="H859" i="1"/>
  <c r="G859" i="1"/>
  <c r="I858" i="1"/>
  <c r="H858" i="1"/>
  <c r="G858" i="1"/>
  <c r="I857" i="1"/>
  <c r="H857" i="1"/>
  <c r="G857" i="1"/>
  <c r="I856" i="1"/>
  <c r="H856" i="1"/>
  <c r="G856" i="1"/>
  <c r="I855" i="1"/>
  <c r="H855" i="1"/>
  <c r="G855" i="1"/>
  <c r="I854" i="1"/>
  <c r="H854" i="1"/>
  <c r="G854" i="1"/>
  <c r="I853" i="1"/>
  <c r="H853" i="1"/>
  <c r="G853" i="1"/>
  <c r="I852" i="1"/>
  <c r="H852" i="1"/>
  <c r="G852" i="1"/>
  <c r="I851" i="1"/>
  <c r="H851" i="1"/>
  <c r="G851" i="1"/>
  <c r="I850" i="1"/>
  <c r="H850" i="1"/>
  <c r="G850" i="1"/>
  <c r="I849" i="1"/>
  <c r="H849" i="1"/>
  <c r="G849" i="1"/>
  <c r="I848" i="1"/>
  <c r="H848" i="1"/>
  <c r="G848" i="1"/>
  <c r="I847" i="1"/>
  <c r="H847" i="1"/>
  <c r="G847" i="1"/>
  <c r="I846" i="1"/>
  <c r="H846" i="1"/>
  <c r="G846" i="1"/>
  <c r="I845" i="1"/>
  <c r="H845" i="1"/>
  <c r="G845" i="1"/>
  <c r="I844" i="1"/>
  <c r="H844" i="1"/>
  <c r="G844" i="1"/>
  <c r="I843" i="1"/>
  <c r="H843" i="1"/>
  <c r="G843" i="1"/>
  <c r="I842" i="1"/>
  <c r="H842" i="1"/>
  <c r="G842" i="1"/>
  <c r="I841" i="1"/>
  <c r="H841" i="1"/>
  <c r="G841" i="1"/>
  <c r="I840" i="1"/>
  <c r="H840" i="1"/>
  <c r="G840" i="1"/>
  <c r="I839" i="1"/>
  <c r="H839" i="1"/>
  <c r="G839" i="1"/>
  <c r="I838" i="1"/>
  <c r="H838" i="1"/>
  <c r="G838" i="1"/>
  <c r="I837" i="1"/>
  <c r="H837" i="1"/>
  <c r="G837" i="1"/>
  <c r="I836" i="1"/>
  <c r="H836" i="1"/>
  <c r="G836" i="1"/>
  <c r="I835" i="1"/>
  <c r="H835" i="1"/>
  <c r="G835" i="1"/>
  <c r="I834" i="1"/>
  <c r="H834" i="1"/>
  <c r="G834" i="1"/>
  <c r="I833" i="1"/>
  <c r="H833" i="1"/>
  <c r="G833" i="1"/>
  <c r="I832" i="1"/>
  <c r="H832" i="1"/>
  <c r="G832" i="1"/>
  <c r="I831" i="1"/>
  <c r="H831" i="1"/>
  <c r="G831" i="1"/>
  <c r="I830" i="1"/>
  <c r="H830" i="1"/>
  <c r="G830" i="1"/>
  <c r="I829" i="1"/>
  <c r="H829" i="1"/>
  <c r="G829" i="1"/>
  <c r="I828" i="1"/>
  <c r="H828" i="1"/>
  <c r="G828" i="1"/>
  <c r="I827" i="1"/>
  <c r="H827" i="1"/>
  <c r="G827" i="1"/>
  <c r="I826" i="1"/>
  <c r="H826" i="1"/>
  <c r="G826" i="1"/>
  <c r="I825" i="1"/>
  <c r="H825" i="1"/>
  <c r="G825" i="1"/>
  <c r="I824" i="1"/>
  <c r="H824" i="1"/>
  <c r="G824" i="1"/>
  <c r="I823" i="1"/>
  <c r="H823" i="1"/>
  <c r="G823" i="1"/>
  <c r="I822" i="1"/>
  <c r="H822" i="1"/>
  <c r="G822" i="1"/>
  <c r="I821" i="1"/>
  <c r="H821" i="1"/>
  <c r="G821" i="1"/>
  <c r="I820" i="1"/>
  <c r="H820" i="1"/>
  <c r="G820" i="1"/>
  <c r="I819" i="1"/>
  <c r="H819" i="1"/>
  <c r="G819" i="1"/>
  <c r="I818" i="1"/>
  <c r="H818" i="1"/>
  <c r="G818" i="1"/>
  <c r="I817" i="1"/>
  <c r="H817" i="1"/>
  <c r="G817" i="1"/>
  <c r="I816" i="1"/>
  <c r="H816" i="1"/>
  <c r="G816" i="1"/>
  <c r="I815" i="1"/>
  <c r="H815" i="1"/>
  <c r="G815" i="1"/>
  <c r="I814" i="1"/>
  <c r="H814" i="1"/>
  <c r="G814" i="1"/>
  <c r="I813" i="1"/>
  <c r="H813" i="1"/>
  <c r="G813" i="1"/>
  <c r="I812" i="1"/>
  <c r="H812" i="1"/>
  <c r="G812" i="1"/>
  <c r="I811" i="1"/>
  <c r="H811" i="1"/>
  <c r="G811" i="1"/>
  <c r="I810" i="1"/>
  <c r="H810" i="1"/>
  <c r="G810" i="1"/>
  <c r="I809" i="1"/>
  <c r="H809" i="1"/>
  <c r="G809" i="1"/>
  <c r="I808" i="1"/>
  <c r="H808" i="1"/>
  <c r="G808" i="1"/>
  <c r="I807" i="1"/>
  <c r="H807" i="1"/>
  <c r="G807" i="1"/>
  <c r="I806" i="1"/>
  <c r="H806" i="1"/>
  <c r="G806" i="1"/>
  <c r="I805" i="1"/>
  <c r="H805" i="1"/>
  <c r="G805" i="1"/>
  <c r="I804" i="1"/>
  <c r="H804" i="1"/>
  <c r="G804" i="1"/>
  <c r="I803" i="1"/>
  <c r="H803" i="1"/>
  <c r="G803" i="1"/>
  <c r="I802" i="1"/>
  <c r="H802" i="1"/>
  <c r="G802" i="1"/>
  <c r="I801" i="1"/>
  <c r="H801" i="1"/>
  <c r="G801" i="1"/>
  <c r="I800" i="1"/>
  <c r="H800" i="1"/>
  <c r="G800" i="1"/>
  <c r="I799" i="1"/>
  <c r="H799" i="1"/>
  <c r="G799" i="1"/>
  <c r="I798" i="1"/>
  <c r="H798" i="1"/>
  <c r="G798" i="1"/>
  <c r="I797" i="1"/>
  <c r="H797" i="1"/>
  <c r="G797" i="1"/>
  <c r="I796" i="1"/>
  <c r="H796" i="1"/>
  <c r="G796" i="1"/>
  <c r="I795" i="1"/>
  <c r="H795" i="1"/>
  <c r="G795" i="1"/>
  <c r="I794" i="1"/>
  <c r="H794" i="1"/>
  <c r="G794" i="1"/>
  <c r="I793" i="1"/>
  <c r="H793" i="1"/>
  <c r="G793" i="1"/>
  <c r="I792" i="1"/>
  <c r="H792" i="1"/>
  <c r="G792" i="1"/>
  <c r="I791" i="1"/>
  <c r="H791" i="1"/>
  <c r="G791" i="1"/>
  <c r="I790" i="1"/>
  <c r="H790" i="1"/>
  <c r="G790" i="1"/>
  <c r="I789" i="1"/>
  <c r="H789" i="1"/>
  <c r="G789" i="1"/>
  <c r="I788" i="1"/>
  <c r="H788" i="1"/>
  <c r="G788" i="1"/>
  <c r="I787" i="1"/>
  <c r="H787" i="1"/>
  <c r="G787" i="1"/>
  <c r="I786" i="1"/>
  <c r="H786" i="1"/>
  <c r="G786" i="1"/>
  <c r="I785" i="1"/>
  <c r="H785" i="1"/>
  <c r="G785" i="1"/>
  <c r="I784" i="1"/>
  <c r="H784" i="1"/>
  <c r="G784" i="1"/>
  <c r="I783" i="1"/>
  <c r="H783" i="1"/>
  <c r="G783" i="1"/>
  <c r="I782" i="1"/>
  <c r="H782" i="1"/>
  <c r="G782" i="1"/>
  <c r="I781" i="1"/>
  <c r="H781" i="1"/>
  <c r="G781" i="1"/>
  <c r="I780" i="1"/>
  <c r="H780" i="1"/>
  <c r="G780" i="1"/>
  <c r="I779" i="1"/>
  <c r="H779" i="1"/>
  <c r="G779" i="1"/>
  <c r="I778" i="1"/>
  <c r="H778" i="1"/>
  <c r="G778" i="1"/>
  <c r="I777" i="1"/>
  <c r="H777" i="1"/>
  <c r="G777" i="1"/>
  <c r="I776" i="1"/>
  <c r="H776" i="1"/>
  <c r="G776" i="1"/>
  <c r="I775" i="1"/>
  <c r="H775" i="1"/>
  <c r="G775" i="1"/>
  <c r="I774" i="1"/>
  <c r="H774" i="1"/>
  <c r="G774" i="1"/>
  <c r="I773" i="1"/>
  <c r="H773" i="1"/>
  <c r="G773" i="1"/>
  <c r="I772" i="1"/>
  <c r="H772" i="1"/>
  <c r="G772" i="1"/>
  <c r="I771" i="1"/>
  <c r="H771" i="1"/>
  <c r="G771" i="1"/>
  <c r="I770" i="1"/>
  <c r="H770" i="1"/>
  <c r="G770" i="1"/>
  <c r="I769" i="1"/>
  <c r="H769" i="1"/>
  <c r="G769" i="1"/>
  <c r="I768" i="1"/>
  <c r="H768" i="1"/>
  <c r="G768" i="1"/>
  <c r="I767" i="1"/>
  <c r="H767" i="1"/>
  <c r="G767" i="1"/>
  <c r="I766" i="1"/>
  <c r="H766" i="1"/>
  <c r="G766" i="1"/>
  <c r="I765" i="1"/>
  <c r="H765" i="1"/>
  <c r="G765" i="1"/>
  <c r="I764" i="1"/>
  <c r="H764" i="1"/>
  <c r="G764" i="1"/>
  <c r="I763" i="1"/>
  <c r="H763" i="1"/>
  <c r="G763" i="1"/>
  <c r="I762" i="1"/>
  <c r="H762" i="1"/>
  <c r="G762" i="1"/>
  <c r="I761" i="1"/>
  <c r="H761" i="1"/>
  <c r="G761" i="1"/>
  <c r="I760" i="1"/>
  <c r="H760" i="1"/>
  <c r="G760" i="1"/>
  <c r="I759" i="1"/>
  <c r="H759" i="1"/>
  <c r="G759" i="1"/>
  <c r="I758" i="1"/>
  <c r="H758" i="1"/>
  <c r="G758" i="1"/>
  <c r="I757" i="1"/>
  <c r="H757" i="1"/>
  <c r="G757" i="1"/>
  <c r="I756" i="1"/>
  <c r="H756" i="1"/>
  <c r="G756" i="1"/>
  <c r="I755" i="1"/>
  <c r="H755" i="1"/>
  <c r="G755" i="1"/>
  <c r="I754" i="1"/>
  <c r="H754" i="1"/>
  <c r="G754" i="1"/>
  <c r="I753" i="1"/>
  <c r="H753" i="1"/>
  <c r="G753" i="1"/>
  <c r="I752" i="1"/>
  <c r="H752" i="1"/>
  <c r="G752" i="1"/>
  <c r="I751" i="1"/>
  <c r="H751" i="1"/>
  <c r="G751" i="1"/>
  <c r="I750" i="1"/>
  <c r="H750" i="1"/>
  <c r="G750" i="1"/>
  <c r="I749" i="1"/>
  <c r="H749" i="1"/>
  <c r="G749" i="1"/>
  <c r="I748" i="1"/>
  <c r="H748" i="1"/>
  <c r="G748" i="1"/>
  <c r="I747" i="1"/>
  <c r="H747" i="1"/>
  <c r="G747" i="1"/>
  <c r="I746" i="1"/>
  <c r="H746" i="1"/>
  <c r="G746" i="1"/>
  <c r="I745" i="1"/>
  <c r="H745" i="1"/>
  <c r="G745" i="1"/>
  <c r="I744" i="1"/>
  <c r="H744" i="1"/>
  <c r="G744" i="1"/>
  <c r="I743" i="1"/>
  <c r="H743" i="1"/>
  <c r="G743" i="1"/>
  <c r="I742" i="1"/>
  <c r="H742" i="1"/>
  <c r="G742" i="1"/>
  <c r="I741" i="1"/>
  <c r="H741" i="1"/>
  <c r="G741" i="1"/>
  <c r="I740" i="1"/>
  <c r="H740" i="1"/>
  <c r="G740" i="1"/>
  <c r="I739" i="1"/>
  <c r="H739" i="1"/>
  <c r="G739" i="1"/>
  <c r="I738" i="1"/>
  <c r="H738" i="1"/>
  <c r="G738" i="1"/>
  <c r="I737" i="1"/>
  <c r="H737" i="1"/>
  <c r="G737" i="1"/>
  <c r="I736" i="1"/>
  <c r="H736" i="1"/>
  <c r="G736" i="1"/>
  <c r="I735" i="1"/>
  <c r="H735" i="1"/>
  <c r="G735" i="1"/>
  <c r="I734" i="1"/>
  <c r="H734" i="1"/>
  <c r="G734" i="1"/>
  <c r="I733" i="1"/>
  <c r="H733" i="1"/>
  <c r="G733" i="1"/>
  <c r="I732" i="1"/>
  <c r="H732" i="1"/>
  <c r="G732" i="1"/>
  <c r="I731" i="1"/>
  <c r="H731" i="1"/>
  <c r="G731" i="1"/>
  <c r="I730" i="1"/>
  <c r="H730" i="1"/>
  <c r="G730" i="1"/>
  <c r="I729" i="1"/>
  <c r="H729" i="1"/>
  <c r="G729" i="1"/>
  <c r="I728" i="1"/>
  <c r="H728" i="1"/>
  <c r="G728" i="1"/>
  <c r="I727" i="1"/>
  <c r="H727" i="1"/>
  <c r="G727" i="1"/>
  <c r="I726" i="1"/>
  <c r="H726" i="1"/>
  <c r="G726" i="1"/>
  <c r="I725" i="1"/>
  <c r="H725" i="1"/>
  <c r="G725" i="1"/>
  <c r="I724" i="1"/>
  <c r="H724" i="1"/>
  <c r="G724" i="1"/>
  <c r="I723" i="1"/>
  <c r="H723" i="1"/>
  <c r="G723" i="1"/>
  <c r="I722" i="1"/>
  <c r="H722" i="1"/>
  <c r="G722" i="1"/>
  <c r="I721" i="1"/>
  <c r="H721" i="1"/>
  <c r="G721" i="1"/>
  <c r="I720" i="1"/>
  <c r="H720" i="1"/>
  <c r="G720" i="1"/>
  <c r="I719" i="1"/>
  <c r="H719" i="1"/>
  <c r="G719" i="1"/>
  <c r="I718" i="1"/>
  <c r="H718" i="1"/>
  <c r="G718" i="1"/>
  <c r="I717" i="1"/>
  <c r="H717" i="1"/>
  <c r="G717" i="1"/>
  <c r="I716" i="1"/>
  <c r="H716" i="1"/>
  <c r="G716" i="1"/>
  <c r="I715" i="1"/>
  <c r="H715" i="1"/>
  <c r="G715" i="1"/>
  <c r="I714" i="1"/>
  <c r="H714" i="1"/>
  <c r="G714" i="1"/>
  <c r="I713" i="1"/>
  <c r="H713" i="1"/>
  <c r="G713" i="1"/>
  <c r="I712" i="1"/>
  <c r="H712" i="1"/>
  <c r="G712" i="1"/>
  <c r="I711" i="1"/>
  <c r="H711" i="1"/>
  <c r="G711" i="1"/>
  <c r="I710" i="1"/>
  <c r="H710" i="1"/>
  <c r="G710" i="1"/>
  <c r="I709" i="1"/>
  <c r="H709" i="1"/>
  <c r="G709" i="1"/>
  <c r="I708" i="1"/>
  <c r="H708" i="1"/>
  <c r="G708" i="1"/>
  <c r="I707" i="1"/>
  <c r="H707" i="1"/>
  <c r="G707" i="1"/>
  <c r="I706" i="1"/>
  <c r="H706" i="1"/>
  <c r="G706" i="1"/>
  <c r="I705" i="1"/>
  <c r="H705" i="1"/>
  <c r="G705" i="1"/>
  <c r="I704" i="1"/>
  <c r="H704" i="1"/>
  <c r="G704" i="1"/>
  <c r="I703" i="1"/>
  <c r="H703" i="1"/>
  <c r="G703" i="1"/>
  <c r="I702" i="1"/>
  <c r="H702" i="1"/>
  <c r="G702" i="1"/>
  <c r="I701" i="1"/>
  <c r="H701" i="1"/>
  <c r="G701" i="1"/>
  <c r="I700" i="1"/>
  <c r="H700" i="1"/>
  <c r="G700" i="1"/>
  <c r="I699" i="1"/>
  <c r="H699" i="1"/>
  <c r="G699" i="1"/>
  <c r="I698" i="1"/>
  <c r="H698" i="1"/>
  <c r="G698" i="1"/>
  <c r="I697" i="1"/>
  <c r="H697" i="1"/>
  <c r="G697" i="1"/>
  <c r="I696" i="1"/>
  <c r="H696" i="1"/>
  <c r="G696" i="1"/>
  <c r="I695" i="1"/>
  <c r="H695" i="1"/>
  <c r="G695" i="1"/>
  <c r="I694" i="1"/>
  <c r="H694" i="1"/>
  <c r="G694" i="1"/>
  <c r="I693" i="1"/>
  <c r="H693" i="1"/>
  <c r="G693" i="1"/>
  <c r="I692" i="1"/>
  <c r="H692" i="1"/>
  <c r="G692" i="1"/>
  <c r="I691" i="1"/>
  <c r="H691" i="1"/>
  <c r="G691" i="1"/>
  <c r="I690" i="1"/>
  <c r="H690" i="1"/>
  <c r="G690" i="1"/>
  <c r="I689" i="1"/>
  <c r="H689" i="1"/>
  <c r="G689" i="1"/>
  <c r="I688" i="1"/>
  <c r="H688" i="1"/>
  <c r="G688" i="1"/>
  <c r="I687" i="1"/>
  <c r="H687" i="1"/>
  <c r="G687" i="1"/>
  <c r="I686" i="1"/>
  <c r="H686" i="1"/>
  <c r="G686" i="1"/>
  <c r="I685" i="1"/>
  <c r="H685" i="1"/>
  <c r="G685" i="1"/>
  <c r="I684" i="1"/>
  <c r="H684" i="1"/>
  <c r="G684" i="1"/>
  <c r="I683" i="1"/>
  <c r="H683" i="1"/>
  <c r="G683" i="1"/>
  <c r="I682" i="1"/>
  <c r="H682" i="1"/>
  <c r="G682" i="1"/>
  <c r="I681" i="1"/>
  <c r="H681" i="1"/>
  <c r="G681" i="1"/>
  <c r="I680" i="1"/>
  <c r="H680" i="1"/>
  <c r="G680" i="1"/>
  <c r="I679" i="1"/>
  <c r="H679" i="1"/>
  <c r="G679" i="1"/>
  <c r="I678" i="1"/>
  <c r="H678" i="1"/>
  <c r="G678" i="1"/>
  <c r="I677" i="1"/>
  <c r="H677" i="1"/>
  <c r="G677" i="1"/>
  <c r="I676" i="1"/>
  <c r="H676" i="1"/>
  <c r="G676" i="1"/>
  <c r="I675" i="1"/>
  <c r="H675" i="1"/>
  <c r="G675" i="1"/>
  <c r="I674" i="1"/>
  <c r="H674" i="1"/>
  <c r="G674" i="1"/>
  <c r="I673" i="1"/>
  <c r="H673" i="1"/>
  <c r="G673" i="1"/>
  <c r="I672" i="1"/>
  <c r="H672" i="1"/>
  <c r="G672" i="1"/>
  <c r="I671" i="1"/>
  <c r="H671" i="1"/>
  <c r="G671" i="1"/>
  <c r="I670" i="1"/>
  <c r="H670" i="1"/>
  <c r="G670" i="1"/>
  <c r="I669" i="1"/>
  <c r="H669" i="1"/>
  <c r="G669" i="1"/>
  <c r="I668" i="1"/>
  <c r="H668" i="1"/>
  <c r="G668" i="1"/>
  <c r="I667" i="1"/>
  <c r="H667" i="1"/>
  <c r="G667" i="1"/>
  <c r="I666" i="1"/>
  <c r="H666" i="1"/>
  <c r="G666" i="1"/>
  <c r="I665" i="1"/>
  <c r="H665" i="1"/>
  <c r="G665" i="1"/>
  <c r="I664" i="1"/>
  <c r="H664" i="1"/>
  <c r="G664" i="1"/>
  <c r="I663" i="1"/>
  <c r="H663" i="1"/>
  <c r="G663" i="1"/>
  <c r="I662" i="1"/>
  <c r="H662" i="1"/>
  <c r="G662" i="1"/>
  <c r="I661" i="1"/>
  <c r="H661" i="1"/>
  <c r="G661" i="1"/>
  <c r="I660" i="1"/>
  <c r="H660" i="1"/>
  <c r="G660" i="1"/>
  <c r="I659" i="1"/>
  <c r="H659" i="1"/>
  <c r="G659" i="1"/>
  <c r="I658" i="1"/>
  <c r="H658" i="1"/>
  <c r="G658" i="1"/>
  <c r="I657" i="1"/>
  <c r="H657" i="1"/>
  <c r="G657" i="1"/>
  <c r="I656" i="1"/>
  <c r="H656" i="1"/>
  <c r="G656" i="1"/>
  <c r="I655" i="1"/>
  <c r="H655" i="1"/>
  <c r="G655" i="1"/>
  <c r="I654" i="1"/>
  <c r="H654" i="1"/>
  <c r="G654" i="1"/>
  <c r="I653" i="1"/>
  <c r="H653" i="1"/>
  <c r="G653" i="1"/>
  <c r="I652" i="1"/>
  <c r="H652" i="1"/>
  <c r="G652" i="1"/>
  <c r="I651" i="1"/>
  <c r="H651" i="1"/>
  <c r="G651" i="1"/>
  <c r="I650" i="1"/>
  <c r="H650" i="1"/>
  <c r="G650" i="1"/>
  <c r="I649" i="1"/>
  <c r="H649" i="1"/>
  <c r="G649" i="1"/>
  <c r="I648" i="1"/>
  <c r="H648" i="1"/>
  <c r="G648" i="1"/>
  <c r="I647" i="1"/>
  <c r="H647" i="1"/>
  <c r="G647" i="1"/>
  <c r="I646" i="1"/>
  <c r="H646" i="1"/>
  <c r="G646" i="1"/>
  <c r="I645" i="1"/>
  <c r="H645" i="1"/>
  <c r="G645" i="1"/>
  <c r="I644" i="1"/>
  <c r="H644" i="1"/>
  <c r="G644" i="1"/>
  <c r="I643" i="1"/>
  <c r="H643" i="1"/>
  <c r="G643" i="1"/>
  <c r="I642" i="1"/>
  <c r="H642" i="1"/>
  <c r="G642" i="1"/>
  <c r="I641" i="1"/>
  <c r="H641" i="1"/>
  <c r="G641" i="1"/>
  <c r="I640" i="1"/>
  <c r="H640" i="1"/>
  <c r="G640" i="1"/>
  <c r="I639" i="1"/>
  <c r="H639" i="1"/>
  <c r="G639" i="1"/>
  <c r="I638" i="1"/>
  <c r="H638" i="1"/>
  <c r="G638" i="1"/>
  <c r="I637" i="1"/>
  <c r="H637" i="1"/>
  <c r="G637" i="1"/>
  <c r="I636" i="1"/>
  <c r="H636" i="1"/>
  <c r="G636" i="1"/>
  <c r="I635" i="1"/>
  <c r="H635" i="1"/>
  <c r="G635" i="1"/>
  <c r="I634" i="1"/>
  <c r="H634" i="1"/>
  <c r="G634" i="1"/>
  <c r="I633" i="1"/>
  <c r="H633" i="1"/>
  <c r="G633" i="1"/>
  <c r="I632" i="1"/>
  <c r="H632" i="1"/>
  <c r="G632" i="1"/>
  <c r="I631" i="1"/>
  <c r="H631" i="1"/>
  <c r="G631" i="1"/>
  <c r="I630" i="1"/>
  <c r="H630" i="1"/>
  <c r="G630" i="1"/>
  <c r="I629" i="1"/>
  <c r="H629" i="1"/>
  <c r="G629" i="1"/>
  <c r="I628" i="1"/>
  <c r="H628" i="1"/>
  <c r="G628" i="1"/>
  <c r="I627" i="1"/>
  <c r="H627" i="1"/>
  <c r="G627" i="1"/>
  <c r="I626" i="1"/>
  <c r="H626" i="1"/>
  <c r="G626" i="1"/>
  <c r="I625" i="1"/>
  <c r="H625" i="1"/>
  <c r="G625" i="1"/>
  <c r="I624" i="1"/>
  <c r="H624" i="1"/>
  <c r="G624" i="1"/>
  <c r="I623" i="1"/>
  <c r="H623" i="1"/>
  <c r="G623" i="1"/>
  <c r="I622" i="1"/>
  <c r="H622" i="1"/>
  <c r="G622" i="1"/>
  <c r="I621" i="1"/>
  <c r="H621" i="1"/>
  <c r="G621" i="1"/>
  <c r="I620" i="1"/>
  <c r="H620" i="1"/>
  <c r="G620" i="1"/>
  <c r="I619" i="1"/>
  <c r="H619" i="1"/>
  <c r="G619" i="1"/>
  <c r="I618" i="1"/>
  <c r="H618" i="1"/>
  <c r="G618" i="1"/>
  <c r="I617" i="1"/>
  <c r="H617" i="1"/>
  <c r="G617" i="1"/>
  <c r="I616" i="1"/>
  <c r="H616" i="1"/>
  <c r="G616" i="1"/>
  <c r="I615" i="1"/>
  <c r="H615" i="1"/>
  <c r="G615" i="1"/>
  <c r="I614" i="1"/>
  <c r="H614" i="1"/>
  <c r="G614" i="1"/>
  <c r="I613" i="1"/>
  <c r="H613" i="1"/>
  <c r="G613" i="1"/>
  <c r="I612" i="1"/>
  <c r="H612" i="1"/>
  <c r="G612" i="1"/>
  <c r="I611" i="1"/>
  <c r="H611" i="1"/>
  <c r="G611" i="1"/>
  <c r="I610" i="1"/>
  <c r="H610" i="1"/>
  <c r="G610" i="1"/>
  <c r="I609" i="1"/>
  <c r="H609" i="1"/>
  <c r="G609" i="1"/>
  <c r="I608" i="1"/>
  <c r="H608" i="1"/>
  <c r="G608" i="1"/>
  <c r="I607" i="1"/>
  <c r="H607" i="1"/>
  <c r="G607" i="1"/>
  <c r="I606" i="1"/>
  <c r="H606" i="1"/>
  <c r="G606" i="1"/>
  <c r="I605" i="1"/>
  <c r="H605" i="1"/>
  <c r="G605" i="1"/>
  <c r="I604" i="1"/>
  <c r="H604" i="1"/>
  <c r="G604" i="1"/>
  <c r="I603" i="1"/>
  <c r="H603" i="1"/>
  <c r="G603" i="1"/>
  <c r="I602" i="1"/>
  <c r="H602" i="1"/>
  <c r="G602" i="1"/>
  <c r="I601" i="1"/>
  <c r="H601" i="1"/>
  <c r="G601" i="1"/>
  <c r="I600" i="1"/>
  <c r="H600" i="1"/>
  <c r="G600" i="1"/>
  <c r="I599" i="1"/>
  <c r="H599" i="1"/>
  <c r="G599" i="1"/>
  <c r="I598" i="1"/>
  <c r="H598" i="1"/>
  <c r="G598" i="1"/>
  <c r="I597" i="1"/>
  <c r="H597" i="1"/>
  <c r="G597" i="1"/>
  <c r="I596" i="1"/>
  <c r="H596" i="1"/>
  <c r="G596" i="1"/>
  <c r="I595" i="1"/>
  <c r="H595" i="1"/>
  <c r="G595" i="1"/>
  <c r="I594" i="1"/>
  <c r="H594" i="1"/>
  <c r="G594" i="1"/>
  <c r="I593" i="1"/>
  <c r="H593" i="1"/>
  <c r="G593" i="1"/>
  <c r="I592" i="1"/>
  <c r="H592" i="1"/>
  <c r="G592" i="1"/>
  <c r="I591" i="1"/>
  <c r="H591" i="1"/>
  <c r="G591" i="1"/>
  <c r="I590" i="1"/>
  <c r="H590" i="1"/>
  <c r="G590" i="1"/>
  <c r="I589" i="1"/>
  <c r="H589" i="1"/>
  <c r="G589" i="1"/>
  <c r="I588" i="1"/>
  <c r="H588" i="1"/>
  <c r="G588" i="1"/>
  <c r="I587" i="1"/>
  <c r="H587" i="1"/>
  <c r="G587" i="1"/>
  <c r="I586" i="1"/>
  <c r="H586" i="1"/>
  <c r="G586" i="1"/>
  <c r="I585" i="1"/>
  <c r="H585" i="1"/>
  <c r="G585" i="1"/>
  <c r="I584" i="1"/>
  <c r="H584" i="1"/>
  <c r="G584" i="1"/>
  <c r="I583" i="1"/>
  <c r="H583" i="1"/>
  <c r="G583" i="1"/>
  <c r="I582" i="1"/>
  <c r="H582" i="1"/>
  <c r="G582" i="1"/>
  <c r="I581" i="1"/>
  <c r="H581" i="1"/>
  <c r="G581" i="1"/>
  <c r="I580" i="1"/>
  <c r="H580" i="1"/>
  <c r="G580" i="1"/>
  <c r="I579" i="1"/>
  <c r="H579" i="1"/>
  <c r="G579" i="1"/>
  <c r="I578" i="1"/>
  <c r="H578" i="1"/>
  <c r="G578" i="1"/>
  <c r="I577" i="1"/>
  <c r="H577" i="1"/>
  <c r="G577" i="1"/>
  <c r="I576" i="1"/>
  <c r="H576" i="1"/>
  <c r="G576" i="1"/>
  <c r="I575" i="1"/>
  <c r="H575" i="1"/>
  <c r="G575" i="1"/>
  <c r="I574" i="1"/>
  <c r="H574" i="1"/>
  <c r="G574" i="1"/>
  <c r="I573" i="1"/>
  <c r="H573" i="1"/>
  <c r="G573" i="1"/>
  <c r="I572" i="1"/>
  <c r="H572" i="1"/>
  <c r="G572" i="1"/>
  <c r="I571" i="1"/>
  <c r="H571" i="1"/>
  <c r="G571" i="1"/>
  <c r="I570" i="1"/>
  <c r="H570" i="1"/>
  <c r="G570" i="1"/>
  <c r="I569" i="1"/>
  <c r="H569" i="1"/>
  <c r="G569" i="1"/>
  <c r="I568" i="1"/>
  <c r="H568" i="1"/>
  <c r="G568" i="1"/>
  <c r="I567" i="1"/>
  <c r="H567" i="1"/>
  <c r="G567" i="1"/>
  <c r="I566" i="1"/>
  <c r="H566" i="1"/>
  <c r="G566" i="1"/>
  <c r="I565" i="1"/>
  <c r="H565" i="1"/>
  <c r="G565" i="1"/>
  <c r="I564" i="1"/>
  <c r="H564" i="1"/>
  <c r="G564" i="1"/>
  <c r="I563" i="1"/>
  <c r="H563" i="1"/>
  <c r="G563" i="1"/>
  <c r="I562" i="1"/>
  <c r="H562" i="1"/>
  <c r="G562" i="1"/>
  <c r="I561" i="1"/>
  <c r="H561" i="1"/>
  <c r="G561" i="1"/>
  <c r="I560" i="1"/>
  <c r="H560" i="1"/>
  <c r="G560" i="1"/>
  <c r="I559" i="1"/>
  <c r="H559" i="1"/>
  <c r="G559" i="1"/>
  <c r="I558" i="1"/>
  <c r="H558" i="1"/>
  <c r="G558" i="1"/>
  <c r="I557" i="1"/>
  <c r="H557" i="1"/>
  <c r="G557" i="1"/>
  <c r="I556" i="1"/>
  <c r="H556" i="1"/>
  <c r="G556" i="1"/>
  <c r="I555" i="1"/>
  <c r="H555" i="1"/>
  <c r="G555" i="1"/>
  <c r="I554" i="1"/>
  <c r="H554" i="1"/>
  <c r="G554" i="1"/>
  <c r="I553" i="1"/>
  <c r="H553" i="1"/>
  <c r="G553" i="1"/>
  <c r="I552" i="1"/>
  <c r="H552" i="1"/>
  <c r="G552" i="1"/>
  <c r="I551" i="1"/>
  <c r="H551" i="1"/>
  <c r="G551" i="1"/>
  <c r="I550" i="1"/>
  <c r="H550" i="1"/>
  <c r="G550" i="1"/>
  <c r="I549" i="1"/>
  <c r="H549" i="1"/>
  <c r="G549" i="1"/>
  <c r="I548" i="1"/>
  <c r="H548" i="1"/>
  <c r="G548" i="1"/>
  <c r="I547" i="1"/>
  <c r="H547" i="1"/>
  <c r="G547" i="1"/>
  <c r="I546" i="1"/>
  <c r="H546" i="1"/>
  <c r="G546" i="1"/>
  <c r="I545" i="1"/>
  <c r="H545" i="1"/>
  <c r="G545" i="1"/>
  <c r="I544" i="1"/>
  <c r="H544" i="1"/>
  <c r="G544" i="1"/>
  <c r="I543" i="1"/>
  <c r="H543" i="1"/>
  <c r="G543" i="1"/>
  <c r="I542" i="1"/>
  <c r="H542" i="1"/>
  <c r="G542" i="1"/>
  <c r="I541" i="1"/>
  <c r="H541" i="1"/>
  <c r="G541" i="1"/>
  <c r="I540" i="1"/>
  <c r="H540" i="1"/>
  <c r="G540" i="1"/>
  <c r="I539" i="1"/>
  <c r="H539" i="1"/>
  <c r="G539" i="1"/>
  <c r="I538" i="1"/>
  <c r="H538" i="1"/>
  <c r="G538" i="1"/>
  <c r="I537" i="1"/>
  <c r="H537" i="1"/>
  <c r="G537" i="1"/>
  <c r="I536" i="1"/>
  <c r="H536" i="1"/>
  <c r="G536" i="1"/>
  <c r="I535" i="1"/>
  <c r="H535" i="1"/>
  <c r="G535" i="1"/>
  <c r="I534" i="1"/>
  <c r="H534" i="1"/>
  <c r="G534" i="1"/>
  <c r="I533" i="1"/>
  <c r="H533" i="1"/>
  <c r="G533" i="1"/>
  <c r="I532" i="1"/>
  <c r="H532" i="1"/>
  <c r="G532" i="1"/>
  <c r="I531" i="1"/>
  <c r="H531" i="1"/>
  <c r="G531" i="1"/>
  <c r="I530" i="1"/>
  <c r="H530" i="1"/>
  <c r="G530" i="1"/>
  <c r="I529" i="1"/>
  <c r="H529" i="1"/>
  <c r="G529" i="1"/>
  <c r="I528" i="1"/>
  <c r="H528" i="1"/>
  <c r="G528" i="1"/>
  <c r="I527" i="1"/>
  <c r="H527" i="1"/>
  <c r="G527" i="1"/>
  <c r="I526" i="1"/>
  <c r="H526" i="1"/>
  <c r="G526" i="1"/>
  <c r="I525" i="1"/>
  <c r="H525" i="1"/>
  <c r="G525" i="1"/>
  <c r="I524" i="1"/>
  <c r="H524" i="1"/>
  <c r="G524" i="1"/>
  <c r="I523" i="1"/>
  <c r="H523" i="1"/>
  <c r="G523" i="1"/>
  <c r="I522" i="1"/>
  <c r="H522" i="1"/>
  <c r="G522" i="1"/>
  <c r="I521" i="1"/>
  <c r="H521" i="1"/>
  <c r="G521" i="1"/>
  <c r="I520" i="1"/>
  <c r="H520" i="1"/>
  <c r="G520" i="1"/>
  <c r="I519" i="1"/>
  <c r="H519" i="1"/>
  <c r="G519" i="1"/>
  <c r="I518" i="1"/>
  <c r="H518" i="1"/>
  <c r="G518" i="1"/>
  <c r="I517" i="1"/>
  <c r="H517" i="1"/>
  <c r="G517" i="1"/>
  <c r="I516" i="1"/>
  <c r="H516" i="1"/>
  <c r="G516" i="1"/>
  <c r="I515" i="1"/>
  <c r="H515" i="1"/>
  <c r="G515" i="1"/>
  <c r="I514" i="1"/>
  <c r="H514" i="1"/>
  <c r="G514" i="1"/>
  <c r="I513" i="1"/>
  <c r="H513" i="1"/>
  <c r="G513" i="1"/>
  <c r="I512" i="1"/>
  <c r="H512" i="1"/>
  <c r="G512" i="1"/>
  <c r="I511" i="1"/>
  <c r="H511" i="1"/>
  <c r="G511" i="1"/>
  <c r="I510" i="1"/>
  <c r="H510" i="1"/>
  <c r="G510" i="1"/>
  <c r="I509" i="1"/>
  <c r="H509" i="1"/>
  <c r="G509" i="1"/>
  <c r="I508" i="1"/>
  <c r="H508" i="1"/>
  <c r="G508" i="1"/>
  <c r="I507" i="1"/>
  <c r="H507" i="1"/>
  <c r="G507" i="1"/>
  <c r="I506" i="1"/>
  <c r="H506" i="1"/>
  <c r="G506" i="1"/>
  <c r="I505" i="1"/>
  <c r="H505" i="1"/>
  <c r="G505" i="1"/>
  <c r="I504" i="1"/>
  <c r="H504" i="1"/>
  <c r="G504" i="1"/>
  <c r="I503" i="1"/>
  <c r="H503" i="1"/>
  <c r="G503" i="1"/>
  <c r="I502" i="1"/>
  <c r="H502" i="1"/>
  <c r="G502" i="1"/>
  <c r="I501" i="1"/>
  <c r="H501" i="1"/>
  <c r="G501" i="1"/>
  <c r="I500" i="1"/>
  <c r="H500" i="1"/>
  <c r="G500" i="1"/>
  <c r="I499" i="1"/>
  <c r="H499" i="1"/>
  <c r="G499" i="1"/>
  <c r="I498" i="1"/>
  <c r="H498" i="1"/>
  <c r="G498" i="1"/>
  <c r="I497" i="1"/>
  <c r="H497" i="1"/>
  <c r="G497" i="1"/>
  <c r="I496" i="1"/>
  <c r="H496" i="1"/>
  <c r="G496" i="1"/>
  <c r="I495" i="1"/>
  <c r="H495" i="1"/>
  <c r="G495" i="1"/>
  <c r="I494" i="1"/>
  <c r="H494" i="1"/>
  <c r="G494" i="1"/>
  <c r="I493" i="1"/>
  <c r="H493" i="1"/>
  <c r="G493" i="1"/>
  <c r="I492" i="1"/>
  <c r="H492" i="1"/>
  <c r="G492" i="1"/>
  <c r="I491" i="1"/>
  <c r="H491" i="1"/>
  <c r="G491" i="1"/>
  <c r="I490" i="1"/>
  <c r="H490" i="1"/>
  <c r="G490" i="1"/>
  <c r="I489" i="1"/>
  <c r="H489" i="1"/>
  <c r="G489" i="1"/>
  <c r="I488" i="1"/>
  <c r="H488" i="1"/>
  <c r="G488" i="1"/>
  <c r="I487" i="1"/>
  <c r="H487" i="1"/>
  <c r="G487" i="1"/>
  <c r="I486" i="1"/>
  <c r="H486" i="1"/>
  <c r="G486" i="1"/>
  <c r="I485" i="1"/>
  <c r="H485" i="1"/>
  <c r="G485" i="1"/>
  <c r="I484" i="1"/>
  <c r="H484" i="1"/>
  <c r="G484" i="1"/>
  <c r="I483" i="1"/>
  <c r="H483" i="1"/>
  <c r="G483" i="1"/>
  <c r="I482" i="1"/>
  <c r="H482" i="1"/>
  <c r="G482" i="1"/>
  <c r="I481" i="1"/>
  <c r="H481" i="1"/>
  <c r="G481" i="1"/>
  <c r="I480" i="1"/>
  <c r="H480" i="1"/>
  <c r="G480" i="1"/>
  <c r="I479" i="1"/>
  <c r="H479" i="1"/>
  <c r="G479" i="1"/>
  <c r="I478" i="1"/>
  <c r="H478" i="1"/>
  <c r="G478" i="1"/>
  <c r="I477" i="1"/>
  <c r="H477" i="1"/>
  <c r="G477" i="1"/>
  <c r="I476" i="1"/>
  <c r="H476" i="1"/>
  <c r="G476" i="1"/>
  <c r="I475" i="1"/>
  <c r="H475" i="1"/>
  <c r="G475" i="1"/>
  <c r="I474" i="1"/>
  <c r="H474" i="1"/>
  <c r="G474" i="1"/>
  <c r="I473" i="1"/>
  <c r="H473" i="1"/>
  <c r="G473" i="1"/>
  <c r="I472" i="1"/>
  <c r="H472" i="1"/>
  <c r="G472" i="1"/>
  <c r="I471" i="1"/>
  <c r="H471" i="1"/>
  <c r="G471" i="1"/>
  <c r="I470" i="1"/>
  <c r="H470" i="1"/>
  <c r="G470" i="1"/>
  <c r="I469" i="1"/>
  <c r="H469" i="1"/>
  <c r="G469" i="1"/>
  <c r="I468" i="1"/>
  <c r="H468" i="1"/>
  <c r="G468" i="1"/>
  <c r="I467" i="1"/>
  <c r="H467" i="1"/>
  <c r="G467" i="1"/>
  <c r="I466" i="1"/>
  <c r="H466" i="1"/>
  <c r="G466" i="1"/>
  <c r="I465" i="1"/>
  <c r="H465" i="1"/>
  <c r="G465" i="1"/>
  <c r="I464" i="1"/>
  <c r="H464" i="1"/>
  <c r="G464" i="1"/>
  <c r="I463" i="1"/>
  <c r="H463" i="1"/>
  <c r="G463" i="1"/>
  <c r="I462" i="1"/>
  <c r="H462" i="1"/>
  <c r="G462" i="1"/>
  <c r="I461" i="1"/>
  <c r="H461" i="1"/>
  <c r="G461" i="1"/>
  <c r="I460" i="1"/>
  <c r="H460" i="1"/>
  <c r="G460" i="1"/>
  <c r="I459" i="1"/>
  <c r="H459" i="1"/>
  <c r="G459" i="1"/>
  <c r="I458" i="1"/>
  <c r="H458" i="1"/>
  <c r="G458" i="1"/>
  <c r="I457" i="1"/>
  <c r="H457" i="1"/>
  <c r="G457" i="1"/>
  <c r="I456" i="1"/>
  <c r="H456" i="1"/>
  <c r="G456" i="1"/>
  <c r="I455" i="1"/>
  <c r="H455" i="1"/>
  <c r="G455" i="1"/>
  <c r="I454" i="1"/>
  <c r="H454" i="1"/>
  <c r="G454" i="1"/>
  <c r="I453" i="1"/>
  <c r="H453" i="1"/>
  <c r="G453" i="1"/>
  <c r="I452" i="1"/>
  <c r="H452" i="1"/>
  <c r="G452" i="1"/>
  <c r="I451" i="1"/>
  <c r="H451" i="1"/>
  <c r="G451" i="1"/>
  <c r="I450" i="1"/>
  <c r="H450" i="1"/>
  <c r="G450" i="1"/>
  <c r="I449" i="1"/>
  <c r="H449" i="1"/>
  <c r="G449" i="1"/>
  <c r="I448" i="1"/>
  <c r="H448" i="1"/>
  <c r="G448" i="1"/>
  <c r="I447" i="1"/>
  <c r="H447" i="1"/>
  <c r="G447" i="1"/>
  <c r="I446" i="1"/>
  <c r="H446" i="1"/>
  <c r="G446" i="1"/>
  <c r="I445" i="1"/>
  <c r="H445" i="1"/>
  <c r="G445" i="1"/>
  <c r="I444" i="1"/>
  <c r="H444" i="1"/>
  <c r="G444" i="1"/>
  <c r="I443" i="1"/>
  <c r="H443" i="1"/>
  <c r="G443" i="1"/>
  <c r="I442" i="1"/>
  <c r="H442" i="1"/>
  <c r="G442" i="1"/>
  <c r="I441" i="1"/>
  <c r="H441" i="1"/>
  <c r="G441" i="1"/>
  <c r="I440" i="1"/>
  <c r="H440" i="1"/>
  <c r="G440" i="1"/>
  <c r="I439" i="1"/>
  <c r="H439" i="1"/>
  <c r="G439" i="1"/>
  <c r="I438" i="1"/>
  <c r="H438" i="1"/>
  <c r="G438" i="1"/>
  <c r="I437" i="1"/>
  <c r="H437" i="1"/>
  <c r="G437" i="1"/>
  <c r="I436" i="1"/>
  <c r="H436" i="1"/>
  <c r="G436" i="1"/>
  <c r="I435" i="1"/>
  <c r="H435" i="1"/>
  <c r="G435" i="1"/>
  <c r="I434" i="1"/>
  <c r="H434" i="1"/>
  <c r="G434" i="1"/>
  <c r="I433" i="1"/>
  <c r="H433" i="1"/>
  <c r="G433" i="1"/>
  <c r="I432" i="1"/>
  <c r="H432" i="1"/>
  <c r="G432" i="1"/>
  <c r="I431" i="1"/>
  <c r="H431" i="1"/>
  <c r="G431" i="1"/>
  <c r="I430" i="1"/>
  <c r="H430" i="1"/>
  <c r="G430" i="1"/>
  <c r="I429" i="1"/>
  <c r="H429" i="1"/>
  <c r="G429" i="1"/>
  <c r="I428" i="1"/>
  <c r="H428" i="1"/>
  <c r="G428" i="1"/>
  <c r="I427" i="1"/>
  <c r="H427" i="1"/>
  <c r="G427" i="1"/>
  <c r="I426" i="1"/>
  <c r="H426" i="1"/>
  <c r="G426" i="1"/>
  <c r="I425" i="1"/>
  <c r="H425" i="1"/>
  <c r="G425" i="1"/>
  <c r="I424" i="1"/>
  <c r="H424" i="1"/>
  <c r="G424" i="1"/>
  <c r="I423" i="1"/>
  <c r="H423" i="1"/>
  <c r="G423" i="1"/>
  <c r="I422" i="1"/>
  <c r="H422" i="1"/>
  <c r="G422" i="1"/>
  <c r="I421" i="1"/>
  <c r="H421" i="1"/>
  <c r="G421" i="1"/>
  <c r="I420" i="1"/>
  <c r="H420" i="1"/>
  <c r="G420" i="1"/>
  <c r="I419" i="1"/>
  <c r="H419" i="1"/>
  <c r="G419" i="1"/>
  <c r="I418" i="1"/>
  <c r="H418" i="1"/>
  <c r="G418" i="1"/>
  <c r="I417" i="1"/>
  <c r="H417" i="1"/>
  <c r="G417" i="1"/>
  <c r="I416" i="1"/>
  <c r="H416" i="1"/>
  <c r="G416" i="1"/>
  <c r="I415" i="1"/>
  <c r="H415" i="1"/>
  <c r="G415" i="1"/>
  <c r="I414" i="1"/>
  <c r="H414" i="1"/>
  <c r="G414" i="1"/>
  <c r="I413" i="1"/>
  <c r="H413" i="1"/>
  <c r="G413" i="1"/>
  <c r="I412" i="1"/>
  <c r="H412" i="1"/>
  <c r="G412" i="1"/>
  <c r="I411" i="1"/>
  <c r="H411" i="1"/>
  <c r="G411" i="1"/>
  <c r="I410" i="1"/>
  <c r="H410" i="1"/>
  <c r="G410" i="1"/>
  <c r="I409" i="1"/>
  <c r="H409" i="1"/>
  <c r="G409" i="1"/>
  <c r="I408" i="1"/>
  <c r="H408" i="1"/>
  <c r="G408" i="1"/>
  <c r="I407" i="1"/>
  <c r="H407" i="1"/>
  <c r="G407" i="1"/>
  <c r="I406" i="1"/>
  <c r="H406" i="1"/>
  <c r="G406" i="1"/>
  <c r="I405" i="1"/>
  <c r="H405" i="1"/>
  <c r="G405" i="1"/>
  <c r="I404" i="1"/>
  <c r="H404" i="1"/>
  <c r="G404" i="1"/>
  <c r="I403" i="1"/>
  <c r="H403" i="1"/>
  <c r="G403" i="1"/>
  <c r="I402" i="1"/>
  <c r="H402" i="1"/>
  <c r="G402" i="1"/>
  <c r="I401" i="1"/>
  <c r="H401" i="1"/>
  <c r="G401" i="1"/>
  <c r="I400" i="1"/>
  <c r="H400" i="1"/>
  <c r="G400" i="1"/>
  <c r="I399" i="1"/>
  <c r="H399" i="1"/>
  <c r="G399" i="1"/>
  <c r="I398" i="1"/>
  <c r="H398" i="1"/>
  <c r="G398" i="1"/>
  <c r="I397" i="1"/>
  <c r="H397" i="1"/>
  <c r="G397" i="1"/>
  <c r="I396" i="1"/>
  <c r="H396" i="1"/>
  <c r="G396" i="1"/>
  <c r="I395" i="1"/>
  <c r="H395" i="1"/>
  <c r="G395" i="1"/>
  <c r="I394" i="1"/>
  <c r="H394" i="1"/>
  <c r="G394" i="1"/>
  <c r="I393" i="1"/>
  <c r="H393" i="1"/>
  <c r="G393" i="1"/>
  <c r="I392" i="1"/>
  <c r="H392" i="1"/>
  <c r="G392" i="1"/>
  <c r="I391" i="1"/>
  <c r="H391" i="1"/>
  <c r="G391" i="1"/>
  <c r="I390" i="1"/>
  <c r="H390" i="1"/>
  <c r="G390" i="1"/>
  <c r="I389" i="1"/>
  <c r="H389" i="1"/>
  <c r="G389" i="1"/>
  <c r="I388" i="1"/>
  <c r="H388" i="1"/>
  <c r="G388" i="1"/>
  <c r="I387" i="1"/>
  <c r="H387" i="1"/>
  <c r="G387" i="1"/>
  <c r="I386" i="1"/>
  <c r="H386" i="1"/>
  <c r="G386" i="1"/>
  <c r="I385" i="1"/>
  <c r="H385" i="1"/>
  <c r="G385" i="1"/>
  <c r="I384" i="1"/>
  <c r="H384" i="1"/>
  <c r="G384" i="1"/>
  <c r="I383" i="1"/>
  <c r="H383" i="1"/>
  <c r="G383" i="1"/>
  <c r="I382" i="1"/>
  <c r="H382" i="1"/>
  <c r="G382" i="1"/>
  <c r="I381" i="1"/>
  <c r="H381" i="1"/>
  <c r="G381" i="1"/>
  <c r="I380" i="1"/>
  <c r="H380" i="1"/>
  <c r="G380" i="1"/>
  <c r="I379" i="1"/>
  <c r="H379" i="1"/>
  <c r="G379" i="1"/>
  <c r="I378" i="1"/>
  <c r="H378" i="1"/>
  <c r="G378" i="1"/>
  <c r="I377" i="1"/>
  <c r="H377" i="1"/>
  <c r="G377" i="1"/>
  <c r="I376" i="1"/>
  <c r="H376" i="1"/>
  <c r="G376" i="1"/>
  <c r="I375" i="1"/>
  <c r="H375" i="1"/>
  <c r="G375" i="1"/>
  <c r="I374" i="1"/>
  <c r="H374" i="1"/>
  <c r="G374" i="1"/>
  <c r="I373" i="1"/>
  <c r="H373" i="1"/>
  <c r="G373" i="1"/>
  <c r="I372" i="1"/>
  <c r="H372" i="1"/>
  <c r="G372" i="1"/>
  <c r="I371" i="1"/>
  <c r="H371" i="1"/>
  <c r="G371" i="1"/>
  <c r="I370" i="1"/>
  <c r="H370" i="1"/>
  <c r="G370" i="1"/>
  <c r="I369" i="1"/>
  <c r="H369" i="1"/>
  <c r="G369" i="1"/>
  <c r="I368" i="1"/>
  <c r="H368" i="1"/>
  <c r="G368" i="1"/>
  <c r="I367" i="1"/>
  <c r="H367" i="1"/>
  <c r="G367" i="1"/>
  <c r="I366" i="1"/>
  <c r="H366" i="1"/>
  <c r="G366" i="1"/>
  <c r="I365" i="1"/>
  <c r="H365" i="1"/>
  <c r="G365" i="1"/>
  <c r="I364" i="1"/>
  <c r="H364" i="1"/>
  <c r="G364" i="1"/>
  <c r="I363" i="1"/>
  <c r="H363" i="1"/>
  <c r="G363" i="1"/>
  <c r="I362" i="1"/>
  <c r="H362" i="1"/>
  <c r="G362" i="1"/>
  <c r="I361" i="1"/>
  <c r="H361" i="1"/>
  <c r="G361" i="1"/>
  <c r="I360" i="1"/>
  <c r="H360" i="1"/>
  <c r="G360" i="1"/>
  <c r="I359" i="1"/>
  <c r="H359" i="1"/>
  <c r="G359" i="1"/>
  <c r="I358" i="1"/>
  <c r="H358" i="1"/>
  <c r="G358" i="1"/>
  <c r="I357" i="1"/>
  <c r="H357" i="1"/>
  <c r="G357" i="1"/>
  <c r="I356" i="1"/>
  <c r="H356" i="1"/>
  <c r="G356" i="1"/>
  <c r="I355" i="1"/>
  <c r="H355" i="1"/>
  <c r="G355" i="1"/>
  <c r="I354" i="1"/>
  <c r="H354" i="1"/>
  <c r="G354" i="1"/>
  <c r="I353" i="1"/>
  <c r="H353" i="1"/>
  <c r="G353" i="1"/>
  <c r="I352" i="1"/>
  <c r="H352" i="1"/>
  <c r="G352" i="1"/>
  <c r="I351" i="1"/>
  <c r="H351" i="1"/>
  <c r="G351" i="1"/>
  <c r="I350" i="1"/>
  <c r="H350" i="1"/>
  <c r="G350" i="1"/>
  <c r="I349" i="1"/>
  <c r="H349" i="1"/>
  <c r="G349" i="1"/>
  <c r="I348" i="1"/>
  <c r="H348" i="1"/>
  <c r="G348" i="1"/>
  <c r="I347" i="1"/>
  <c r="H347" i="1"/>
  <c r="G347" i="1"/>
  <c r="I346" i="1"/>
  <c r="H346" i="1"/>
  <c r="G346" i="1"/>
  <c r="I345" i="1"/>
  <c r="H345" i="1"/>
  <c r="G345" i="1"/>
  <c r="I344" i="1"/>
  <c r="H344" i="1"/>
  <c r="G344" i="1"/>
  <c r="I343" i="1"/>
  <c r="H343" i="1"/>
  <c r="G343" i="1"/>
  <c r="I342" i="1"/>
  <c r="H342" i="1"/>
  <c r="G342" i="1"/>
  <c r="I341" i="1"/>
  <c r="H341" i="1"/>
  <c r="G341" i="1"/>
  <c r="I340" i="1"/>
  <c r="H340" i="1"/>
  <c r="G340" i="1"/>
  <c r="I339" i="1"/>
  <c r="H339" i="1"/>
  <c r="G339" i="1"/>
  <c r="I338" i="1"/>
  <c r="H338" i="1"/>
  <c r="G338" i="1"/>
  <c r="I337" i="1"/>
  <c r="H337" i="1"/>
  <c r="G337" i="1"/>
  <c r="I336" i="1"/>
  <c r="H336" i="1"/>
  <c r="G336" i="1"/>
  <c r="I335" i="1"/>
  <c r="H335" i="1"/>
  <c r="G335" i="1"/>
  <c r="I334" i="1"/>
  <c r="H334" i="1"/>
  <c r="G334" i="1"/>
  <c r="I333" i="1"/>
  <c r="H333" i="1"/>
  <c r="G333" i="1"/>
  <c r="I332" i="1"/>
  <c r="H332" i="1"/>
  <c r="G332" i="1"/>
  <c r="I331" i="1"/>
  <c r="H331" i="1"/>
  <c r="G331" i="1"/>
  <c r="I330" i="1"/>
  <c r="H330" i="1"/>
  <c r="G330" i="1"/>
  <c r="I329" i="1"/>
  <c r="H329" i="1"/>
  <c r="G329" i="1"/>
  <c r="I328" i="1"/>
  <c r="H328" i="1"/>
  <c r="G328" i="1"/>
  <c r="I327" i="1"/>
  <c r="H327" i="1"/>
  <c r="G327" i="1"/>
  <c r="I326" i="1"/>
  <c r="H326" i="1"/>
  <c r="G326" i="1"/>
  <c r="I325" i="1"/>
  <c r="H325" i="1"/>
  <c r="G325" i="1"/>
  <c r="I324" i="1"/>
  <c r="H324" i="1"/>
  <c r="G324" i="1"/>
  <c r="I323" i="1"/>
  <c r="H323" i="1"/>
  <c r="G323" i="1"/>
  <c r="I322" i="1"/>
  <c r="H322" i="1"/>
  <c r="G322" i="1"/>
  <c r="I321" i="1"/>
  <c r="H321" i="1"/>
  <c r="G321" i="1"/>
  <c r="I320" i="1"/>
  <c r="H320" i="1"/>
  <c r="G320" i="1"/>
  <c r="I319" i="1"/>
  <c r="H319" i="1"/>
  <c r="G319" i="1"/>
  <c r="I318" i="1"/>
  <c r="H318" i="1"/>
  <c r="G318" i="1"/>
  <c r="I317" i="1"/>
  <c r="H317" i="1"/>
  <c r="G317" i="1"/>
  <c r="I316" i="1"/>
  <c r="H316" i="1"/>
  <c r="G316" i="1"/>
  <c r="I315" i="1"/>
  <c r="H315" i="1"/>
  <c r="G315" i="1"/>
  <c r="I314" i="1"/>
  <c r="H314" i="1"/>
  <c r="G314" i="1"/>
  <c r="I313" i="1"/>
  <c r="H313" i="1"/>
  <c r="G313" i="1"/>
  <c r="I312" i="1"/>
  <c r="H312" i="1"/>
  <c r="G312" i="1"/>
  <c r="I311" i="1"/>
  <c r="H311" i="1"/>
  <c r="G311" i="1"/>
  <c r="I310" i="1"/>
  <c r="H310" i="1"/>
  <c r="G310" i="1"/>
  <c r="I309" i="1"/>
  <c r="H309" i="1"/>
  <c r="G309" i="1"/>
  <c r="I308" i="1"/>
  <c r="H308" i="1"/>
  <c r="G308" i="1"/>
  <c r="I307" i="1"/>
  <c r="H307" i="1"/>
  <c r="G307" i="1"/>
  <c r="I306" i="1"/>
  <c r="H306" i="1"/>
  <c r="G306" i="1"/>
  <c r="I305" i="1"/>
  <c r="H305" i="1"/>
  <c r="G305" i="1"/>
  <c r="I304" i="1"/>
  <c r="H304" i="1"/>
  <c r="G304" i="1"/>
  <c r="I303" i="1"/>
  <c r="H303" i="1"/>
  <c r="G303" i="1"/>
  <c r="I302" i="1"/>
  <c r="H302" i="1"/>
  <c r="G302" i="1"/>
  <c r="I301" i="1"/>
  <c r="H301" i="1"/>
  <c r="G301" i="1"/>
  <c r="I300" i="1"/>
  <c r="H300" i="1"/>
  <c r="G300" i="1"/>
  <c r="I299" i="1"/>
  <c r="H299" i="1"/>
  <c r="G299" i="1"/>
  <c r="I298" i="1"/>
  <c r="H298" i="1"/>
  <c r="G298" i="1"/>
  <c r="I297" i="1"/>
  <c r="H297" i="1"/>
  <c r="G297" i="1"/>
  <c r="I296" i="1"/>
  <c r="H296" i="1"/>
  <c r="G296" i="1"/>
  <c r="I295" i="1"/>
  <c r="H295" i="1"/>
  <c r="G295" i="1"/>
  <c r="I294" i="1"/>
  <c r="H294" i="1"/>
  <c r="G294" i="1"/>
  <c r="I293" i="1"/>
  <c r="H293" i="1"/>
  <c r="G293" i="1"/>
  <c r="I292" i="1"/>
  <c r="H292" i="1"/>
  <c r="G292" i="1"/>
  <c r="I291" i="1"/>
  <c r="H291" i="1"/>
  <c r="G291" i="1"/>
  <c r="I290" i="1"/>
  <c r="H290" i="1"/>
  <c r="G290" i="1"/>
  <c r="I289" i="1"/>
  <c r="H289" i="1"/>
  <c r="G289" i="1"/>
  <c r="I288" i="1"/>
  <c r="H288" i="1"/>
  <c r="G288" i="1"/>
  <c r="I287" i="1"/>
  <c r="H287" i="1"/>
  <c r="G287" i="1"/>
  <c r="I286" i="1"/>
  <c r="H286" i="1"/>
  <c r="G286" i="1"/>
  <c r="I285" i="1"/>
  <c r="H285" i="1"/>
  <c r="G285" i="1"/>
  <c r="I284" i="1"/>
  <c r="H284" i="1"/>
  <c r="G284" i="1"/>
  <c r="I283" i="1"/>
  <c r="H283" i="1"/>
  <c r="G283" i="1"/>
  <c r="I282" i="1"/>
  <c r="H282" i="1"/>
  <c r="G282" i="1"/>
  <c r="I281" i="1"/>
  <c r="H281" i="1"/>
  <c r="G281" i="1"/>
  <c r="I280" i="1"/>
  <c r="H280" i="1"/>
  <c r="G280" i="1"/>
  <c r="I279" i="1"/>
  <c r="H279" i="1"/>
  <c r="G279" i="1"/>
  <c r="I278" i="1"/>
  <c r="H278" i="1"/>
  <c r="G278" i="1"/>
  <c r="I277" i="1"/>
  <c r="H277" i="1"/>
  <c r="G277" i="1"/>
  <c r="I276" i="1"/>
  <c r="H276" i="1"/>
  <c r="G276" i="1"/>
  <c r="I275" i="1"/>
  <c r="H275" i="1"/>
  <c r="G275" i="1"/>
  <c r="I274" i="1"/>
  <c r="H274" i="1"/>
  <c r="G274" i="1"/>
  <c r="I273" i="1"/>
  <c r="H273" i="1"/>
  <c r="G273" i="1"/>
  <c r="I272" i="1"/>
  <c r="H272" i="1"/>
  <c r="G272" i="1"/>
  <c r="I271" i="1"/>
  <c r="H271" i="1"/>
  <c r="G271" i="1"/>
  <c r="I270" i="1"/>
  <c r="H270" i="1"/>
  <c r="G270" i="1"/>
  <c r="I269" i="1"/>
  <c r="H269" i="1"/>
  <c r="G269" i="1"/>
  <c r="I268" i="1"/>
  <c r="H268" i="1"/>
  <c r="G268" i="1"/>
  <c r="I267" i="1"/>
  <c r="H267" i="1"/>
  <c r="G267" i="1"/>
  <c r="I266" i="1"/>
  <c r="H266" i="1"/>
  <c r="G266" i="1"/>
  <c r="I265" i="1"/>
  <c r="H265" i="1"/>
  <c r="G265" i="1"/>
  <c r="I264" i="1"/>
  <c r="H264" i="1"/>
  <c r="G264" i="1"/>
  <c r="I263" i="1"/>
  <c r="H263" i="1"/>
  <c r="G263" i="1"/>
  <c r="I262" i="1"/>
  <c r="H262" i="1"/>
  <c r="G262" i="1"/>
  <c r="I261" i="1"/>
  <c r="H261" i="1"/>
  <c r="G261" i="1"/>
  <c r="I260" i="1"/>
  <c r="H260" i="1"/>
  <c r="G260" i="1"/>
  <c r="I259" i="1"/>
  <c r="H259" i="1"/>
  <c r="G259" i="1"/>
  <c r="I258" i="1"/>
  <c r="H258" i="1"/>
  <c r="G258" i="1"/>
  <c r="I257" i="1"/>
  <c r="H257" i="1"/>
  <c r="G257" i="1"/>
  <c r="I256" i="1"/>
  <c r="H256" i="1"/>
  <c r="G256" i="1"/>
  <c r="I255" i="1"/>
  <c r="H255" i="1"/>
  <c r="G255" i="1"/>
  <c r="I254" i="1"/>
  <c r="H254" i="1"/>
  <c r="G254" i="1"/>
  <c r="I253" i="1"/>
  <c r="H253" i="1"/>
  <c r="G253" i="1"/>
  <c r="I252" i="1"/>
  <c r="H252" i="1"/>
  <c r="G252" i="1"/>
  <c r="I251" i="1"/>
  <c r="H251" i="1"/>
  <c r="G251" i="1"/>
  <c r="I250" i="1"/>
  <c r="H250" i="1"/>
  <c r="G250" i="1"/>
  <c r="I249" i="1"/>
  <c r="H249" i="1"/>
  <c r="G249" i="1"/>
  <c r="I248" i="1"/>
  <c r="H248" i="1"/>
  <c r="G248" i="1"/>
  <c r="I247" i="1"/>
  <c r="H247" i="1"/>
  <c r="G247" i="1"/>
  <c r="I246" i="1"/>
  <c r="H246" i="1"/>
  <c r="G246" i="1"/>
  <c r="I245" i="1"/>
  <c r="H245" i="1"/>
  <c r="G245" i="1"/>
  <c r="I244" i="1"/>
  <c r="H244" i="1"/>
  <c r="G244" i="1"/>
  <c r="I243" i="1"/>
  <c r="H243" i="1"/>
  <c r="G243" i="1"/>
  <c r="I242" i="1"/>
  <c r="H242" i="1"/>
  <c r="G242" i="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I232" i="1"/>
  <c r="H232" i="1"/>
  <c r="G232" i="1"/>
  <c r="I231" i="1"/>
  <c r="H231" i="1"/>
  <c r="G231" i="1"/>
  <c r="I230" i="1"/>
  <c r="H230" i="1"/>
  <c r="G230" i="1"/>
  <c r="I229" i="1"/>
  <c r="H229" i="1"/>
  <c r="G229" i="1"/>
  <c r="I228" i="1"/>
  <c r="H228" i="1"/>
  <c r="G228" i="1"/>
  <c r="I227" i="1"/>
  <c r="H227" i="1"/>
  <c r="G227" i="1"/>
  <c r="I226" i="1"/>
  <c r="H226" i="1"/>
  <c r="G226" i="1"/>
  <c r="I225" i="1"/>
  <c r="H225" i="1"/>
  <c r="G225" i="1"/>
  <c r="I224" i="1"/>
  <c r="H224" i="1"/>
  <c r="G224" i="1"/>
  <c r="I223" i="1"/>
  <c r="H223" i="1"/>
  <c r="G223" i="1"/>
  <c r="I222" i="1"/>
  <c r="H222" i="1"/>
  <c r="G222" i="1"/>
  <c r="I221" i="1"/>
  <c r="H221" i="1"/>
  <c r="G221" i="1"/>
  <c r="I220" i="1"/>
  <c r="H220" i="1"/>
  <c r="G220" i="1"/>
  <c r="I219" i="1"/>
  <c r="H219" i="1"/>
  <c r="G219" i="1"/>
  <c r="I218" i="1"/>
  <c r="H218" i="1"/>
  <c r="G218" i="1"/>
  <c r="I217" i="1"/>
  <c r="H217" i="1"/>
  <c r="G217" i="1"/>
  <c r="I216" i="1"/>
  <c r="H216" i="1"/>
  <c r="G216" i="1"/>
  <c r="I215" i="1"/>
  <c r="H215" i="1"/>
  <c r="G215" i="1"/>
  <c r="I214" i="1"/>
  <c r="H214" i="1"/>
  <c r="G214"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<sst xmlns="http://schemas.openxmlformats.org/spreadsheetml/2006/main" count="32642" uniqueCount="22442">
  <si>
    <t>Domain</t>
  </si>
  <si>
    <t>xxTESTCD</t>
  </si>
  <si>
    <t>xxTEST</t>
  </si>
  <si>
    <t>CDISC Synonym(s)</t>
  </si>
  <si>
    <t>CDISC Definition</t>
  </si>
  <si>
    <t>NCI Preferred Term</t>
  </si>
  <si>
    <t>LB</t>
  </si>
  <si>
    <t>A1AGLP</t>
  </si>
  <si>
    <t>Alpha-1 Acid Glycoprotein</t>
  </si>
  <si>
    <t>A measurement of the alpha-1 acid glycoprotein in a biological specimen.</t>
  </si>
  <si>
    <t>Alpha-1 Acid Glycoprotein Measurement</t>
  </si>
  <si>
    <t>A1ANTRPF</t>
  </si>
  <si>
    <t>Alpha-1 Antitrypsin, Functional</t>
  </si>
  <si>
    <t>A measurement of the functional alpha-1 antitrypsin in a biological specimen.</t>
  </si>
  <si>
    <t>Functional Alpha-1 Antitrypsin Measurement</t>
  </si>
  <si>
    <t>A1ANTRYP</t>
  </si>
  <si>
    <t>Alpha-1 Antitrypsin</t>
  </si>
  <si>
    <t>Alpha-1 Antitrypsin; Serum Trypsin Inhibitor</t>
  </si>
  <si>
    <t>A measurement of the alpha-1 antitrypsin in a biological specimen.</t>
  </si>
  <si>
    <t>Alpha-1 Antitrypsin Measurement</t>
  </si>
  <si>
    <t>A1MCGEXR</t>
  </si>
  <si>
    <t>Alpha-1 Microglobulin Excretion Rate</t>
  </si>
  <si>
    <t>A measurement of the amount of alpha-1 microglobulin being excreted in a biological specimen over a defined amount of time (e.g. one hour).</t>
  </si>
  <si>
    <t>Alpha-1 Microglobulin Excretion Rate Measurement</t>
  </si>
  <si>
    <t>A1MCREAT</t>
  </si>
  <si>
    <t>Alpha-1 Microglobulin/Creatinine</t>
  </si>
  <si>
    <t>A relative measurement (ratio or percentage) of the alpha-1 microglobulin to creatinine in a biological specimen.</t>
  </si>
  <si>
    <t>Alpha-1 Microglobulin to Creatinine Ratio Measurement</t>
  </si>
  <si>
    <t>A1MICG</t>
  </si>
  <si>
    <t>Alpha-1 Microglobulin</t>
  </si>
  <si>
    <t>Alpha-1 Microglobulin; Protein HC</t>
  </si>
  <si>
    <t>A measurement of the alpha-1 microglobulin in a biological specimen.</t>
  </si>
  <si>
    <t>Alpha-1 Microglobulin Measurement</t>
  </si>
  <si>
    <t>BS</t>
  </si>
  <si>
    <t>A260A230</t>
  </si>
  <si>
    <t>A260/A230 Ratio</t>
  </si>
  <si>
    <t>An assessment of nucleic acid purity that is measured by determining the ratio of light absorbance of the nucleic acid sample at 260nm and 230nm respectively.</t>
  </si>
  <si>
    <t>A260 to A230 Ratio</t>
  </si>
  <si>
    <t>A260A280</t>
  </si>
  <si>
    <t>A260/A280 Ratio</t>
  </si>
  <si>
    <t>An assessment of nucleic acid purity that is measured by determining the ratio of light absorbance of the nucleic acid sample at 260nm and 280nm respectively.</t>
  </si>
  <si>
    <t>A260 to A280 Ratio</t>
  </si>
  <si>
    <t>A2MACG</t>
  </si>
  <si>
    <t>Alpha-2 Macroglobulin</t>
  </si>
  <si>
    <t>A measurement of the alpha-2 macroglobulin in a biological specimen.</t>
  </si>
  <si>
    <t>Alpha-2 Macroglobulin Measurement</t>
  </si>
  <si>
    <t>A73OXC</t>
  </si>
  <si>
    <t>7-alpha-Hydroxy-4-cholesten-3-one</t>
  </si>
  <si>
    <t>7-Alpha hydroxy-4-cholesten-3-one; 7-alpha-Hydroxy-4-cholesten-3-one</t>
  </si>
  <si>
    <t>A measurement of the 7-alpha-hydroxy-4-cholesten-3-one in a biological specimen.</t>
  </si>
  <si>
    <t>7-alpha-Hydroxy-4-cholesten-3-one Measurement</t>
  </si>
  <si>
    <t>PT</t>
  </si>
  <si>
    <t>AALPHAC</t>
  </si>
  <si>
    <t>2-Amino-9H-pyrido[2,3-b]indole</t>
  </si>
  <si>
    <t>2-Amino-9H-pyrido[2,3-b]indole; A alpha C; A-alpha-C</t>
  </si>
  <si>
    <t>A measurement of the 2-amino-9h-pyrido[2,3-b]indole in a specimen.</t>
  </si>
  <si>
    <t>2-Amino-9H-pyrido[2,3-b]indole Measurement</t>
  </si>
  <si>
    <t>AAMAPAC</t>
  </si>
  <si>
    <t>Alpha-Aminoadipic Acid</t>
  </si>
  <si>
    <t>Alpha-Aminoadipate; Alpha-Aminoadipic Acid</t>
  </si>
  <si>
    <t>A measurement of the alpha-aminoadipic acid in a biological specimen.</t>
  </si>
  <si>
    <t>Alpha-Aminoadipic Acid Measurement</t>
  </si>
  <si>
    <t>AAMBTAC</t>
  </si>
  <si>
    <t>Alpha-Aminobutyric Acid</t>
  </si>
  <si>
    <t>Alpha-aminobutyrate; Alpha-Aminobutyric Acid; Homoalanine</t>
  </si>
  <si>
    <t>A measurement of the alpha-aminobutyric acid in a biological specimen.</t>
  </si>
  <si>
    <t>Alpha-Aminobutyric Acid Measurement</t>
  </si>
  <si>
    <t>MB</t>
  </si>
  <si>
    <t>AAN</t>
  </si>
  <si>
    <t>Acinetobacter anitratus</t>
  </si>
  <si>
    <t>A measurement of Acinetobacter anitratus in a biological specimen.</t>
  </si>
  <si>
    <t>Acinetobacter anitratus Measurement</t>
  </si>
  <si>
    <t>AAP</t>
  </si>
  <si>
    <t>Alanine Aminopeptidase</t>
  </si>
  <si>
    <t>A measurement of the alanine aminopeptidase in a biological specimen.</t>
  </si>
  <si>
    <t>Alanine Aminopeptidase Measurement</t>
  </si>
  <si>
    <t>AATZPL</t>
  </si>
  <si>
    <t>Alpha-1 Antitrypsin Z-Polymer</t>
  </si>
  <si>
    <t>AAT Z-Polymer; Alpha-1 Antitrypsin Z-Polymer</t>
  </si>
  <si>
    <t>A measurement of the polymers of Z-variant alpha-1 antitrypsin in a biological specimen.</t>
  </si>
  <si>
    <t>Alpha-1 Antitrypsin Z-Polymer Measurement</t>
  </si>
  <si>
    <t>CV</t>
  </si>
  <si>
    <t>AAUGIX</t>
  </si>
  <si>
    <t>Aortic Augmentation Index</t>
  </si>
  <si>
    <t>The augmentation pressure divided by the aortic pulse pressure (aortic systolic minus aortic diastolic pressure) multiplied by 100, expressed as a percentage.</t>
  </si>
  <si>
    <t>AAUGIX75</t>
  </si>
  <si>
    <t>Aortic Augmentation Index at 75bpm</t>
  </si>
  <si>
    <t>The aortic augmentation index normalized to a heart rate of 75 beats per minute.</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</si>
  <si>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</si>
  <si>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</si>
  <si>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</si>
  <si>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AAUGPRP1</t>
  </si>
  <si>
    <t>Aortic Augmentation Pressure Peak P1</t>
  </si>
  <si>
    <t>The first pressure peak in the aortic wave form secondary to ventricular ejection.</t>
  </si>
  <si>
    <t>Augmentation Pressure Point P1</t>
  </si>
  <si>
    <t>AAUGPRP2</t>
  </si>
  <si>
    <t>Aortic Augmentation Pressure Peak P2</t>
  </si>
  <si>
    <t>The second pressure peak in the aortic waveform secondary to pressure wave reflection from the periphery.</t>
  </si>
  <si>
    <t>Augmentation Pressure Point P2</t>
  </si>
  <si>
    <t>AB42AB40</t>
  </si>
  <si>
    <t>Amyloid Beta 1-42/Amyloid Beta 1-40</t>
  </si>
  <si>
    <t>A relative measurement (ratio) of the amyloid beta 1-42 to amyloid beta 1-40 in a biological specimen.</t>
  </si>
  <si>
    <t>Amyloid Beta 1-42 to Amyloid Beta 1-40 Ratio Measurement</t>
  </si>
  <si>
    <t>CP</t>
  </si>
  <si>
    <t>ABC</t>
  </si>
  <si>
    <t>Abn Blast Cells</t>
  </si>
  <si>
    <t>Abn Blast Cells; Abnormal Blast Cells</t>
  </si>
  <si>
    <t>A measurement of the abnormal blast cells in a biological specimen.</t>
  </si>
  <si>
    <t>Abnormal Blast Count</t>
  </si>
  <si>
    <t>ABCCE</t>
  </si>
  <si>
    <t>Abn Blast Cells/Total Cells</t>
  </si>
  <si>
    <t>Abn Blast Cells/Total Cells; Abnormal Blast Cells/Total Cells</t>
  </si>
  <si>
    <t>A relative measurement (ratio or percentage) of the abnormal blast cells to total cells in a biological specimen.</t>
  </si>
  <si>
    <t>Abnormal Blast to Total Cell Ratio Measurement</t>
  </si>
  <si>
    <t>ABFBCA</t>
  </si>
  <si>
    <t>AB-FUBINACA</t>
  </si>
  <si>
    <t>A measurement of the synthetic cannabinoid AB-FUBINACA in a biological specimen.</t>
  </si>
  <si>
    <t>AB-FUBINACA Measurement</t>
  </si>
  <si>
    <t>VS</t>
  </si>
  <si>
    <t>ABI</t>
  </si>
  <si>
    <t>Ankle-Brachial Index</t>
  </si>
  <si>
    <t>The ratio of ankle systolic pressure to brachial systolic pressure, used to assess arterial insufficiency in the lower extremities.</t>
  </si>
  <si>
    <t>ABNCE</t>
  </si>
  <si>
    <t>Abnormal Cells</t>
  </si>
  <si>
    <t>A measurement of the abnormal cells in a biological specimen.</t>
  </si>
  <si>
    <t>Abnormal Cell Count</t>
  </si>
  <si>
    <t>ABNCECE</t>
  </si>
  <si>
    <t>Abnormal Cells/Total Cells</t>
  </si>
  <si>
    <t>A relative measurement (ratio or percentage) of abnormal cells to total cells in a biological specimen.</t>
  </si>
  <si>
    <t>Abnormal Cells to Total Cells Ratio Measurement</t>
  </si>
  <si>
    <t>ABNCELE</t>
  </si>
  <si>
    <t>Abnormal Cells/Leukocytes</t>
  </si>
  <si>
    <t>A relative measurement (ratio or percentage) of abnormal cells to leukocytes in a biological specimen.</t>
  </si>
  <si>
    <t>Abnormal Cells to Leukocytes Ratio Measurement</t>
  </si>
  <si>
    <t>ABO</t>
  </si>
  <si>
    <t>ABO Blood Group</t>
  </si>
  <si>
    <t>The characterization of the blood type of an individual by testing for the presence of A antigen and B antigen on the surface of red blood cells.</t>
  </si>
  <si>
    <t>ABO Blood Group Determination</t>
  </si>
  <si>
    <t>ABOA1</t>
  </si>
  <si>
    <t>ABO A1 Subtype</t>
  </si>
  <si>
    <t>The characterization of the ABO blood group A1 subtype in an individual. (NCI)</t>
  </si>
  <si>
    <t>ABO A1 Subtype Determination</t>
  </si>
  <si>
    <t>RP</t>
  </si>
  <si>
    <t>ABORTN</t>
  </si>
  <si>
    <t>Number of Abortions</t>
  </si>
  <si>
    <t>A measurement of the total number of instances in which there has been a spontaneous termination of pregnancy (miscarriage) or elective termination of pregnancy.</t>
  </si>
  <si>
    <t>ABP4</t>
  </si>
  <si>
    <t>4-Aminobiphenyl</t>
  </si>
  <si>
    <t>4-ABP; 4-Aminobiphenyl</t>
  </si>
  <si>
    <t>A measurement of the 4-aminobiphenyl in a specimen.</t>
  </si>
  <si>
    <t>4-Aminobiphenyl Measurement</t>
  </si>
  <si>
    <t>ABPNCA</t>
  </si>
  <si>
    <t>AB-PINACA</t>
  </si>
  <si>
    <t>A measurement of the synthetic cannabinoid AB-PINACA in a biological specimen.</t>
  </si>
  <si>
    <t>AB-PINACA Measurement</t>
  </si>
  <si>
    <t>AU</t>
  </si>
  <si>
    <t>ABR</t>
  </si>
  <si>
    <t>Auditory Brainstem Response</t>
  </si>
  <si>
    <t>An assessment of auditory brainstem function in response to auditory stimuli.</t>
  </si>
  <si>
    <t>NV</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</si>
  <si>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</si>
  <si>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</si>
  <si>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</si>
  <si>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</si>
  <si>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</si>
  <si>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</si>
  <si>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</si>
  <si>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</si>
  <si>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</si>
  <si>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</si>
  <si>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</si>
  <si>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</si>
  <si>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</si>
  <si>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</si>
  <si>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</si>
  <si>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</si>
  <si>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</si>
  <si>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</si>
  <si>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</si>
  <si>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</si>
  <si>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</si>
  <si>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ABSCCL</t>
  </si>
  <si>
    <t>Antibody-secreting Cells</t>
  </si>
  <si>
    <t>A measurement of the antibody-secreting cells in a biological specimen.</t>
  </si>
  <si>
    <t>Antibody-secreting Cells Measurement</t>
  </si>
  <si>
    <t>FA</t>
  </si>
  <si>
    <t>ABSCNUM</t>
  </si>
  <si>
    <t>Number of Abscesses</t>
  </si>
  <si>
    <t>The number of abscesses observed.</t>
  </si>
  <si>
    <t>ABSKNF</t>
  </si>
  <si>
    <t>Abdominal Skinfold Thickness</t>
  </si>
  <si>
    <t>A measurement for determining the subcutaneous fat layer thickness whereby a pinch of skin approximately five centimeters to the right of the umbilicus is measured using calipers. (NCI)</t>
  </si>
  <si>
    <t>ACANT</t>
  </si>
  <si>
    <t>Acanthocytes</t>
  </si>
  <si>
    <t>A measurement of the acanthocytes in a biological specimen.</t>
  </si>
  <si>
    <t>Acanthocyte Count</t>
  </si>
  <si>
    <t>ACANTRBC</t>
  </si>
  <si>
    <t>Acanthocytes/Erythrocytes</t>
  </si>
  <si>
    <t>A relative measurement (ratio or percentage) of acanthocytes to all erythrocytes in a biological specimen.</t>
  </si>
  <si>
    <t>Acanthocyte to Erythrocyte Ratio Measurement</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</si>
  <si>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</si>
  <si>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</si>
  <si>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</si>
  <si>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</si>
  <si>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</si>
  <si>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</si>
  <si>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</si>
  <si>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</si>
  <si>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</si>
  <si>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</si>
  <si>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TR</t>
  </si>
  <si>
    <t>ACBSPPD</t>
  </si>
  <si>
    <t>Absolute Change Baseline in Sum of PPD</t>
  </si>
  <si>
    <t>The current sum of products of perpendicular diameters minus the baseline sum of products of perpendicular diameters.</t>
  </si>
  <si>
    <t>Absolute Change From Baseline in Sum of Products of Perpendicular Diameter</t>
  </si>
  <si>
    <t>ACE</t>
  </si>
  <si>
    <t>Angiotensin Converting Enzyme</t>
  </si>
  <si>
    <t>A measurement of the angiotensin converting enzyme in a biological specimen.</t>
  </si>
  <si>
    <t>Angiotensin Converting Enzyme Measurement</t>
  </si>
  <si>
    <t>ACETAMID</t>
  </si>
  <si>
    <t>Acetamide</t>
  </si>
  <si>
    <t>A measurement of the acetamide in a specimen.</t>
  </si>
  <si>
    <t>Acetamide Measurement</t>
  </si>
  <si>
    <t>ACETAMIN</t>
  </si>
  <si>
    <t>Acetaminophen</t>
  </si>
  <si>
    <t>Acetaminophen; Paracetamol</t>
  </si>
  <si>
    <t>A measurement of the acetaminophen in a biological specimen.</t>
  </si>
  <si>
    <t>Acetaminophen Measurement</t>
  </si>
  <si>
    <t>ACETATE</t>
  </si>
  <si>
    <t>Acetate</t>
  </si>
  <si>
    <t>Acetate; Acetic Acid</t>
  </si>
  <si>
    <t>A measurement of the acetate in a specimen.</t>
  </si>
  <si>
    <t>Acetate Measurement</t>
  </si>
  <si>
    <t>ACETOAC</t>
  </si>
  <si>
    <t>Acetoacetic Acid</t>
  </si>
  <si>
    <t>Acetoacetate; Acetoacetic Acid</t>
  </si>
  <si>
    <t>A measurement of the acetoacetic acid in a biological specimen.</t>
  </si>
  <si>
    <t>Acetoacetic Acid Measurement</t>
  </si>
  <si>
    <t>ACETOIN</t>
  </si>
  <si>
    <t>Acetoin</t>
  </si>
  <si>
    <t>3-hydroxy-2-butanone; 3-Hydroxybutanone; Acetoin; Acetyl Methyl Carbinol</t>
  </si>
  <si>
    <t>A measurement of the acetoin in a specimen.</t>
  </si>
  <si>
    <t>Acetoin Measurement</t>
  </si>
  <si>
    <t>ACETONE</t>
  </si>
  <si>
    <t>Acetone</t>
  </si>
  <si>
    <t>A measurement of the acetone in a specimen.</t>
  </si>
  <si>
    <t>Acetone Measurement</t>
  </si>
  <si>
    <t>ACH</t>
  </si>
  <si>
    <t>Acetylcholine</t>
  </si>
  <si>
    <t>A measurement of the acetylcholine hormone in a biological specimen.</t>
  </si>
  <si>
    <t>Acetylcholine Measurement</t>
  </si>
  <si>
    <t>ACHE</t>
  </si>
  <si>
    <t>Acetylcholinesterase</t>
  </si>
  <si>
    <t>A measurement of the acetylcholinesterase in a biological specimen.</t>
  </si>
  <si>
    <t>Acetylcholinesterase Measurement</t>
  </si>
  <si>
    <t>ACHNAD</t>
  </si>
  <si>
    <t>Absolute Change From Nadir</t>
  </si>
  <si>
    <t>The current value minus the lowest value previously recorded.</t>
  </si>
  <si>
    <t>ACINETOB</t>
  </si>
  <si>
    <t>Acinetobacter</t>
  </si>
  <si>
    <t>A measurement of the organisms that are not assigned to the species level but are assigned to the Acinetobacter genus level in a biological specimen.</t>
  </si>
  <si>
    <t>Acinetobacter Measurement</t>
  </si>
  <si>
    <t>ACMITYPE</t>
  </si>
  <si>
    <t>Acute Myocardial Infarction Type</t>
  </si>
  <si>
    <t>Categorization of the type of acute myocardial infarction.</t>
  </si>
  <si>
    <t>ACNDEV</t>
  </si>
  <si>
    <t>Action Taken With Device</t>
  </si>
  <si>
    <t>Action taken with respect to a device in a study, which may or may not be the device under study.</t>
  </si>
  <si>
    <t>Action Taken with Device</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</si>
  <si>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</si>
  <si>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</si>
  <si>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</si>
  <si>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</si>
  <si>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</si>
  <si>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ACNSBJ</t>
  </si>
  <si>
    <t>Action Taken With Subject</t>
  </si>
  <si>
    <t>Action taken with respect to a subject in a study.</t>
  </si>
  <si>
    <t>ACNSD</t>
  </si>
  <si>
    <t>Absolute Change Nadir in Sum of Diam</t>
  </si>
  <si>
    <t>The current sum of diameters minus the lowest sum of diameters previously recorded.</t>
  </si>
  <si>
    <t>Absolute Change From Nadir in Sum of Diameter</t>
  </si>
  <si>
    <t>ACNSPPD</t>
  </si>
  <si>
    <t>Absolute Change Nadir in Sum of PPD</t>
  </si>
  <si>
    <t>The current sum of products of perpendicular diameters minus the lowest sum of products of perpendicular diameters previously recorded.</t>
  </si>
  <si>
    <t>Absolute Change From Nadir in Sum of Products of Perpendicular Diameter</t>
  </si>
  <si>
    <t>ACPHOS</t>
  </si>
  <si>
    <t>Acid Phosphatase</t>
  </si>
  <si>
    <t>A measurement of the acid phosphatase in a biological specimen.</t>
  </si>
  <si>
    <t>Acid Phosphatase Measurement</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</si>
  <si>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</si>
  <si>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</si>
  <si>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</si>
  <si>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</si>
  <si>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</si>
  <si>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</si>
  <si>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</si>
  <si>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</si>
  <si>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ACRCTIND</t>
  </si>
  <si>
    <t>Aortic Coarctation Indicator</t>
  </si>
  <si>
    <t>An indication as to whether there is coarctation of the aorta.</t>
  </si>
  <si>
    <t>ACRCTSEV</t>
  </si>
  <si>
    <t>Aortic Coarctation Severity</t>
  </si>
  <si>
    <t>The assessment of the severity of aortic coarctation.</t>
  </si>
  <si>
    <t>ACRLAMID</t>
  </si>
  <si>
    <t>Acrylamide</t>
  </si>
  <si>
    <t>A measurement of the acrylamide in a specimen.</t>
  </si>
  <si>
    <t>Acrylamide Measurement</t>
  </si>
  <si>
    <t>ACRNCRNF</t>
  </si>
  <si>
    <t>Acylcarnitine/Carnitine, Free</t>
  </si>
  <si>
    <t>A relative measurement (ratio or percentage) of the acylcarnitine to free carnitine in a biological specimen.</t>
  </si>
  <si>
    <t>Acylcarnitine to Free Carnitine Ratio Measurement</t>
  </si>
  <si>
    <t>ACROLEIN</t>
  </si>
  <si>
    <t>Acrolein</t>
  </si>
  <si>
    <t>A measurement of the acrolein in a specimen.</t>
  </si>
  <si>
    <t>Acrolein Measurement</t>
  </si>
  <si>
    <t>ACRYNTRL</t>
  </si>
  <si>
    <t>Acrylonitrile</t>
  </si>
  <si>
    <t>A measurement of the acrylonitrile in a specimen.</t>
  </si>
  <si>
    <t>Acrylonitrile Measurement</t>
  </si>
  <si>
    <t>ACSPGM</t>
  </si>
  <si>
    <t>Acid Sphingomyelinase</t>
  </si>
  <si>
    <t>A measurement of the acid sphingomyelinase in a biological specimen.</t>
  </si>
  <si>
    <t>Sphingomyelin Phosphodiesterase Measurement</t>
  </si>
  <si>
    <t>ACT</t>
  </si>
  <si>
    <t>Activated Coagulation Time</t>
  </si>
  <si>
    <t>Activated Clotting Time; Activated Coagulation Time</t>
  </si>
  <si>
    <t>A measurement of the inhibition of blood coagulation in response to anticoagulant therapies.</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</si>
  <si>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</si>
  <si>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</si>
  <si>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</si>
  <si>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</si>
  <si>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</si>
  <si>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ACTALD</t>
  </si>
  <si>
    <t>Acetaldehyde</t>
  </si>
  <si>
    <t>A measurement of the acetaldehyde in a specimen.</t>
  </si>
  <si>
    <t>Acetaldehyde Measurement</t>
  </si>
  <si>
    <t>ACTB</t>
  </si>
  <si>
    <t>Beta-Actin</t>
  </si>
  <si>
    <t>Actin Beta; B-Actin; Beta-Actin</t>
  </si>
  <si>
    <t>A measurement of the beta-actin in a biological specimen.</t>
  </si>
  <si>
    <t>Beta-Actin Measurement</t>
  </si>
  <si>
    <t>ACTH</t>
  </si>
  <si>
    <t>Adrenocorticotropic Hormone</t>
  </si>
  <si>
    <t>Adrenocorticotropic Hormone; Corticotropin</t>
  </si>
  <si>
    <t>A measurement of the adrenocorticotropic hormone in a biological specimen.</t>
  </si>
  <si>
    <t>Adrenocorticotropic Hormone Measurement</t>
  </si>
  <si>
    <t>ACTPROPN</t>
  </si>
  <si>
    <t>Acetyl Propionyl</t>
  </si>
  <si>
    <t>2,3-Pentanedione; Acetyl propionyl; Acetylpropionyl</t>
  </si>
  <si>
    <t>A measurement of the acetyl propionyl in a specimen.</t>
  </si>
  <si>
    <t>Acetyl Propionyl Measurement</t>
  </si>
  <si>
    <t>ACTVNA</t>
  </si>
  <si>
    <t>Activin A</t>
  </si>
  <si>
    <t>A measurement of the activin A (a homodimer consisting of Inhibin Subunit Beta A) in a biological specimen.</t>
  </si>
  <si>
    <t>Activin A Measurement</t>
  </si>
  <si>
    <t>ACTVNAB</t>
  </si>
  <si>
    <t>Activin AB</t>
  </si>
  <si>
    <t>A measurement of the activin AB (a heterodimer consisting of Inhibin Subunit Beta A and Inhibin Subunit Beta B) in a biological specimen.</t>
  </si>
  <si>
    <t>Activin AB Measurement</t>
  </si>
  <si>
    <t>ACTVNB</t>
  </si>
  <si>
    <t>Activin B</t>
  </si>
  <si>
    <t>A measurement of the activin B (a homodimer consisting of Inhibin Subunit Beta B) in a biological specimen.</t>
  </si>
  <si>
    <t>Activin B Measurement</t>
  </si>
  <si>
    <t>ACUTSTRS</t>
  </si>
  <si>
    <t>Most Severe Acute Stressor</t>
  </si>
  <si>
    <t>The agent, stimulus, activity, or event that causes stress with an acute frequency, which has the highest level of severity.</t>
  </si>
  <si>
    <t>ACYCRNTN</t>
  </si>
  <si>
    <t>Acylcarnitine</t>
  </si>
  <si>
    <t>A measurement of the acylcarnitine in a biological specimen.</t>
  </si>
  <si>
    <t>Acylcarnitine Measurement</t>
  </si>
  <si>
    <t>ACYGLYCN</t>
  </si>
  <si>
    <t>Acylglycine</t>
  </si>
  <si>
    <t>A measurement of the acylglycine in a biological specimen.</t>
  </si>
  <si>
    <t>Acylglycine Measurement</t>
  </si>
  <si>
    <t>ACYLCAOX</t>
  </si>
  <si>
    <t>Acyl Coenzyme A Oxidase</t>
  </si>
  <si>
    <t>Acyl CoA Oxidase; Acyl Coenzyme A Oxidase; Fatty Acyl Coenzyme A Oxidase</t>
  </si>
  <si>
    <t>A measurement of the acyl coenzyme A oxidase in a biological specimen.</t>
  </si>
  <si>
    <t>Acyl Coenzyme A Oxidase Measurement</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</si>
  <si>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</si>
  <si>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</si>
  <si>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</si>
  <si>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</si>
  <si>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</si>
  <si>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</si>
  <si>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</si>
  <si>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</si>
  <si>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</si>
  <si>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</si>
  <si>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</si>
  <si>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</si>
  <si>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</si>
  <si>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</si>
  <si>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</si>
  <si>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</si>
  <si>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</si>
  <si>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</si>
  <si>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</si>
  <si>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</si>
  <si>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</si>
  <si>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</si>
  <si>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</si>
  <si>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</si>
  <si>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</si>
  <si>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</si>
  <si>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ADBIGA</t>
  </si>
  <si>
    <t>Binding Antidrug IgA Antibody</t>
  </si>
  <si>
    <t>A measurement of the binding antidrug IgA antibody in a biological specimen.</t>
  </si>
  <si>
    <t>Binding Antidrug IgA Antibody Measurement</t>
  </si>
  <si>
    <t>ADBIGE</t>
  </si>
  <si>
    <t>Binding Antidrug IgE Antibody</t>
  </si>
  <si>
    <t>A measurement of the binding antidrug IgE antibody in a biological specimen.</t>
  </si>
  <si>
    <t>Binding Antidrug IgE Antibody Measurement</t>
  </si>
  <si>
    <t>ADBIGG</t>
  </si>
  <si>
    <t>Binding Antidrug IgG Antibody</t>
  </si>
  <si>
    <t>A measurement of the binding antidrug IgG antibody in a biological specimen.</t>
  </si>
  <si>
    <t>Binding Antidrug IgG Antibody Measurement</t>
  </si>
  <si>
    <t>ADBIGG1</t>
  </si>
  <si>
    <t>Binding Antidrug IgG1 Antibody</t>
  </si>
  <si>
    <t>A measurement of the binding antidrug IgG1 antibody in a biological specimen.</t>
  </si>
  <si>
    <t>Binding Antidrug IgG1 Antibody Measurement</t>
  </si>
  <si>
    <t>ADBIGG2</t>
  </si>
  <si>
    <t>Binding Antidrug IgG2 Antibody</t>
  </si>
  <si>
    <t>A measurement of the binding antidrug IgG2 antibody in a biological specimen.</t>
  </si>
  <si>
    <t>Binding Antidrug IgG2 Antibody Measurement</t>
  </si>
  <si>
    <t>ADBIGG3</t>
  </si>
  <si>
    <t>Binding Antidrug IgG3 Antibody</t>
  </si>
  <si>
    <t>A measurement of the binding antidrug IgG3 antibody in a biological specimen.</t>
  </si>
  <si>
    <t>Binding Antidrug IgG3 Antibody Measurement</t>
  </si>
  <si>
    <t>ADBIGG4</t>
  </si>
  <si>
    <t>Binding Antidrug IgG4 Antibody</t>
  </si>
  <si>
    <t>A measurement of the binding antidrug IgG4 antibody in a biological specimen.</t>
  </si>
  <si>
    <t>Binding Antidrug IgG4 Antibody Measurement</t>
  </si>
  <si>
    <t>ADBIGGM</t>
  </si>
  <si>
    <t>Binding Antidrug IgG/IgM Antibody</t>
  </si>
  <si>
    <t>A measurement of the binding antidrug IgG and/or IgM antibody in a biological specimen.</t>
  </si>
  <si>
    <t>Binding Antidrug IgG/IgM Antibody Measurement</t>
  </si>
  <si>
    <t>ADBIGM</t>
  </si>
  <si>
    <t>Binding Antidrug IgM Antibody</t>
  </si>
  <si>
    <t>A measurement of the binding antidrug IgM antibody in a biological specimen.</t>
  </si>
  <si>
    <t>Binding Antidrug IgM Antibody Measurement</t>
  </si>
  <si>
    <t>ADBPNCA</t>
  </si>
  <si>
    <t>ADB-PINACA</t>
  </si>
  <si>
    <t>A measurement of the synthetic cannabinoid ADB-PINACA in a biological specimen.</t>
  </si>
  <si>
    <t>ADB-PINACA Measurement</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</si>
  <si>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</si>
  <si>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</si>
  <si>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</si>
  <si>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</si>
  <si>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</si>
  <si>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</si>
  <si>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</si>
  <si>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</si>
  <si>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</si>
  <si>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</si>
  <si>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</si>
  <si>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</si>
  <si>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</si>
  <si>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</si>
  <si>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</si>
  <si>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</si>
  <si>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</si>
  <si>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</si>
  <si>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</si>
  <si>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</si>
  <si>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</si>
  <si>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</si>
  <si>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</si>
  <si>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</si>
  <si>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</si>
  <si>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</si>
  <si>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</si>
  <si>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</si>
  <si>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</si>
  <si>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</si>
  <si>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</si>
  <si>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</si>
  <si>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</si>
  <si>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</si>
  <si>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</si>
  <si>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</si>
  <si>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</si>
  <si>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</si>
  <si>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</si>
  <si>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</si>
  <si>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</si>
  <si>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</si>
  <si>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</si>
  <si>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</si>
  <si>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</si>
  <si>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RE</t>
  </si>
  <si>
    <t>ADDRELF</t>
  </si>
  <si>
    <t>Additional Disease-Related Findings</t>
  </si>
  <si>
    <t>A determination of additional abnormalities and/or other observations that may be associated with the disease of interest, for which a targeted test has not been identified in the data.</t>
  </si>
  <si>
    <t>ADENOVAG</t>
  </si>
  <si>
    <t>Adenovirus Antigen</t>
  </si>
  <si>
    <t>A measurement of the Adenovirus antigen in a biological specimen.</t>
  </si>
  <si>
    <t>Adenovirus Antigen Measurement</t>
  </si>
  <si>
    <t>ADENOVIR</t>
  </si>
  <si>
    <t>Adenoviridae</t>
  </si>
  <si>
    <t>Adenoviridae; Adenovirus</t>
  </si>
  <si>
    <t>A measurement of the adenoviridae in a biological specimen.</t>
  </si>
  <si>
    <t>Adenoviridae Measurement</t>
  </si>
  <si>
    <t>SC</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</si>
  <si>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</si>
  <si>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</si>
  <si>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</si>
  <si>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</si>
  <si>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ADH</t>
  </si>
  <si>
    <t>Antidiuretic Hormone</t>
  </si>
  <si>
    <t>Antidiuretic Hormone; Vasopressin</t>
  </si>
  <si>
    <t>A measurement of the antidiuretic hormone in a biological specimen.</t>
  </si>
  <si>
    <t>Antidiuretic Hormone Measurement</t>
  </si>
  <si>
    <t>ADLVRDTC</t>
  </si>
  <si>
    <t>Actual Date of Delivery</t>
  </si>
  <si>
    <t>The date on which the delivery event occurred.</t>
  </si>
  <si>
    <t>ADM</t>
  </si>
  <si>
    <t>Adrenomedullin</t>
  </si>
  <si>
    <t>A measurement of the adrenomedullin in a biological specimen.</t>
  </si>
  <si>
    <t>Adrenomedullin Measurement</t>
  </si>
  <si>
    <t>ADMA</t>
  </si>
  <si>
    <t>Asymmetric Dimethylarginine</t>
  </si>
  <si>
    <t>Asymmetric Dimethylarginine; N,N-dimethylarginine</t>
  </si>
  <si>
    <t>A measurement of asymmetric dimethylarginine in a biological specimen.</t>
  </si>
  <si>
    <t>Asymmetric Dimethylarginine Measurement</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</si>
  <si>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</si>
  <si>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</si>
  <si>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</si>
  <si>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</si>
  <si>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</si>
  <si>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</si>
  <si>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</si>
  <si>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</si>
  <si>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</si>
  <si>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</si>
  <si>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</si>
  <si>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</si>
  <si>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</si>
  <si>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</si>
  <si>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</si>
  <si>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</si>
  <si>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</si>
  <si>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</si>
  <si>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</si>
  <si>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</si>
  <si>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</si>
  <si>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</si>
  <si>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</si>
  <si>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</si>
  <si>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</si>
  <si>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</si>
  <si>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</si>
  <si>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</si>
  <si>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</si>
  <si>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</si>
  <si>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</si>
  <si>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</si>
  <si>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</si>
  <si>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</si>
  <si>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</si>
  <si>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</si>
  <si>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</si>
  <si>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</si>
  <si>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</si>
  <si>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</si>
  <si>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ADNIGGM</t>
  </si>
  <si>
    <t>Neutralizing Binding Antidrug IgG/IgM AB</t>
  </si>
  <si>
    <t>A measurement of the neutralizing binding antidrug IgG and/or IgM antibody in a biological specimen.</t>
  </si>
  <si>
    <t>Neutralizing Binding Antidrug IgG/IgM Antibody Measurement</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</si>
  <si>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</si>
  <si>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</si>
  <si>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</si>
  <si>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</si>
  <si>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</si>
  <si>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</si>
  <si>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</si>
  <si>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</si>
  <si>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</si>
  <si>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</si>
  <si>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</si>
  <si>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</si>
  <si>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</si>
  <si>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</si>
  <si>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</si>
  <si>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</si>
  <si>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</si>
  <si>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</si>
  <si>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</si>
  <si>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</si>
  <si>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</si>
  <si>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</si>
  <si>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</si>
  <si>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</si>
  <si>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</si>
  <si>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</si>
  <si>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</si>
  <si>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</si>
  <si>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</si>
  <si>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</si>
  <si>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</si>
  <si>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</si>
  <si>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</si>
  <si>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</si>
  <si>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</si>
  <si>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</si>
  <si>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</si>
  <si>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</si>
  <si>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</si>
  <si>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</si>
  <si>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</si>
  <si>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</si>
  <si>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</si>
  <si>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</si>
  <si>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</si>
  <si>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</si>
  <si>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</si>
  <si>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</si>
  <si>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</si>
  <si>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</si>
  <si>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ADP</t>
  </si>
  <si>
    <t>Adenosine Diphosphate</t>
  </si>
  <si>
    <t>A measurement of the adenosine diphosphate in a biological specimen.</t>
  </si>
  <si>
    <t>Adenosine Diphosphate Measurement</t>
  </si>
  <si>
    <t>ADPNCTN</t>
  </si>
  <si>
    <t>Adiponectin</t>
  </si>
  <si>
    <t>A measurement of the total adiponectin hormone in a biological specimen.</t>
  </si>
  <si>
    <t>Adiponectin Measurement</t>
  </si>
  <si>
    <t>ADPNHMW</t>
  </si>
  <si>
    <t>Adiponectin, High Molecular Weight</t>
  </si>
  <si>
    <t>A measurement of the high molecular weight adiponectin hormone in a biological specimen.</t>
  </si>
  <si>
    <t>High Molecular Weight Adiponectin Measurement</t>
  </si>
  <si>
    <t>ADRNRAGE</t>
  </si>
  <si>
    <t>Adrenarche Age</t>
  </si>
  <si>
    <t>The age at onset of adrenal androgen-mediated secondary sexual characteristics.</t>
  </si>
  <si>
    <t>ADUCSEV</t>
  </si>
  <si>
    <t>Aortic Ductal Coarctation Severity</t>
  </si>
  <si>
    <t>Aortic Ductal Coarctation Severity; Aortic Juxta-ductal Coarctation Severity</t>
  </si>
  <si>
    <t>The assessment of the severity of ductal aortic coarctation.</t>
  </si>
  <si>
    <t>Aortic Juxta-ductal Coarctation Severity</t>
  </si>
  <si>
    <t>ADVNDNA</t>
  </si>
  <si>
    <t>Adenovirus DNA</t>
  </si>
  <si>
    <t>A measurement of the DNA from any member of the family Adenoviridae in a biological specimen.</t>
  </si>
  <si>
    <t>Adenovirus DNA Measurement</t>
  </si>
  <si>
    <t>ADVNUAC</t>
  </si>
  <si>
    <t>Adenovirus Nucleic Acid</t>
  </si>
  <si>
    <t>A measurement of the nucleic acid from any member of the family Adenoviridae in a biological specimen.</t>
  </si>
  <si>
    <t>Adenovirus Nucleic Acid Measurement</t>
  </si>
  <si>
    <t>AEBCT</t>
  </si>
  <si>
    <t>Aerobic Colony Count</t>
  </si>
  <si>
    <t>A measurement of the number of aerobic colonies in a sample.</t>
  </si>
  <si>
    <t>AEDCHIND</t>
  </si>
  <si>
    <t>AE Improve/Resolve with Dechallenge Ind</t>
  </si>
  <si>
    <t>AE Improve/Resolve with Dechallenge Ind; AE Improve/Resolve with Dechallenge Indicator</t>
  </si>
  <si>
    <t>An indication as to whether an adverse event improves or disappears after stopping a study treatment.</t>
  </si>
  <si>
    <t>Positive Dechallenge Reaction Indicator</t>
  </si>
  <si>
    <t>AERBACT</t>
  </si>
  <si>
    <t>Aerobic Bacteria</t>
  </si>
  <si>
    <t>A measurement of the aerobic bacteria in a biological specimen.</t>
  </si>
  <si>
    <t>Aerobic Bacteria Measurement</t>
  </si>
  <si>
    <t>AERCHIND</t>
  </si>
  <si>
    <t>AE Reappear/Worsen with Rechallenge Ind</t>
  </si>
  <si>
    <t>AE Reappear/Worsen with Rechallenge Ind; AE Reappear/Worsen with Rechallenge Indicator</t>
  </si>
  <si>
    <t>An indication as to whether an adverse event reappears or worsens after restarting a study treatment.</t>
  </si>
  <si>
    <t>Positive Rechallenge Indicator</t>
  </si>
  <si>
    <t>AERODNA</t>
  </si>
  <si>
    <t>Aeromonas DNA</t>
  </si>
  <si>
    <t>A measurement of the DNA from any member of the genus Aeromonas in a biological specimen.</t>
  </si>
  <si>
    <t>Aeromonas DNA Measurement</t>
  </si>
  <si>
    <t>AEROMONA</t>
  </si>
  <si>
    <t>Aeromonas</t>
  </si>
  <si>
    <t>A measurement of the organisms that are not assigned to the species level but are assigned to the Aeromonas genus level in a biological specimen.</t>
  </si>
  <si>
    <t>Aeromonas Measurement</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</si>
  <si>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</si>
  <si>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</si>
  <si>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</si>
  <si>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</si>
  <si>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AFB</t>
  </si>
  <si>
    <t>Acid-Fast Bacilli</t>
  </si>
  <si>
    <t>A measurement of any rod-shaped bacteria that resist decolorizing by acid after accepting an aqueous stain solution, due to the mycolic acids in their cell walls.</t>
  </si>
  <si>
    <t>Acid-Fast Bacilli Measurement</t>
  </si>
  <si>
    <t>AFLTOXB1</t>
  </si>
  <si>
    <t>Aflatoxin B1</t>
  </si>
  <si>
    <t>A measurement of the aflatoxin B1 in a specimen.</t>
  </si>
  <si>
    <t>Aflatoxin B1 Measurement</t>
  </si>
  <si>
    <t>AFP</t>
  </si>
  <si>
    <t>Alpha Fetoprotein</t>
  </si>
  <si>
    <t>Alpha Fetoprotein; Alpha-1-Fetoprotein</t>
  </si>
  <si>
    <t>A measurement of the alpha fetoprotein in a biological specimen.</t>
  </si>
  <si>
    <t>Alpha-fetoprotein Measurement</t>
  </si>
  <si>
    <t>AFPADJBW</t>
  </si>
  <si>
    <t>Alpha Fetoprotein Adj for Body Weight</t>
  </si>
  <si>
    <t>A measurement of alpha fetoprotein, which has been adjusted for body weight, in a biological specimen.</t>
  </si>
  <si>
    <t>Alpha Fetoprotein Adjusted for Body Weight Measurement</t>
  </si>
  <si>
    <t>AFPL1</t>
  </si>
  <si>
    <t>Alpha Fetoprotein L1</t>
  </si>
  <si>
    <t>A measurement of the alpha fetoprotein L1 in a biological specimen.</t>
  </si>
  <si>
    <t>Alpha Fetoprotein L1 Measurement</t>
  </si>
  <si>
    <t>AFPL2</t>
  </si>
  <si>
    <t>Alpha Fetoprotein L2</t>
  </si>
  <si>
    <t>A measurement of the alpha fetoprotein L2 in a biological specimen.</t>
  </si>
  <si>
    <t>Alpha Fetoprotein L2 Measurement</t>
  </si>
  <si>
    <t>AFPL3</t>
  </si>
  <si>
    <t>Alpha Fetoprotein L3</t>
  </si>
  <si>
    <t>A measurement of the alpha fetoprotein L3 in a biological specimen.</t>
  </si>
  <si>
    <t>Alpha Fetoprotein L3 Measurement</t>
  </si>
  <si>
    <t>AFPL3AFP</t>
  </si>
  <si>
    <t>A Fetoprotein L3/A Fetoprotein</t>
  </si>
  <si>
    <t>A relative measurement (ratio or percentage) of alpha fetoprotein L3 to total alpha fetoprotein in a biological specimen.</t>
  </si>
  <si>
    <t>Alpha Fetoprotein L3 to Total Alpha Fetoprotein Ratio Measurement</t>
  </si>
  <si>
    <t>AFU</t>
  </si>
  <si>
    <t>Aspergillus fumigatus</t>
  </si>
  <si>
    <t>A measurement of the Aspergillus fumigatus in a biological specimen.</t>
  </si>
  <si>
    <t>Aspergillus fumigatus Measurement</t>
  </si>
  <si>
    <t>AG1_5</t>
  </si>
  <si>
    <t>1,5-Anhydroglucitol</t>
  </si>
  <si>
    <t>A measurement of the 1,5-anhydroglucitol in a biological specimen.</t>
  </si>
  <si>
    <t>1,5-Anhydroglucitol Measurement</t>
  </si>
  <si>
    <t>AGEEPSD1</t>
  </si>
  <si>
    <t>Age At First Episode</t>
  </si>
  <si>
    <t>The age at which the first episode occurred.</t>
  </si>
  <si>
    <t>Age at First Episode</t>
  </si>
  <si>
    <t>AGEFTUSE</t>
  </si>
  <si>
    <t>Age at Full-Time Use</t>
  </si>
  <si>
    <t>The age at which the full-time use of a pre-specified object first occurred.</t>
  </si>
  <si>
    <t>AGEHOSP1</t>
  </si>
  <si>
    <t>Age At First Hospitalization</t>
  </si>
  <si>
    <t>The age at which the first hospitalization event occurred.</t>
  </si>
  <si>
    <t>Age at First Hospitalization</t>
  </si>
  <si>
    <t>AGESTSMK</t>
  </si>
  <si>
    <t>Age Started Smoking</t>
  </si>
  <si>
    <t>The age at which the individual began smoking.</t>
  </si>
  <si>
    <t>Age When First Smoked a Cigarette Question</t>
  </si>
  <si>
    <t>AGESYMST</t>
  </si>
  <si>
    <t>Age Symptoms Started</t>
  </si>
  <si>
    <t>The age at which illness-specific symptoms first began.</t>
  </si>
  <si>
    <t>Age Symptom Started</t>
  </si>
  <si>
    <t>AGETRT1</t>
  </si>
  <si>
    <t>Age At First Treatment</t>
  </si>
  <si>
    <t>The age at which the first treatment for the condition occurred.</t>
  </si>
  <si>
    <t>Age at First Treatment</t>
  </si>
  <si>
    <t>AHBDH</t>
  </si>
  <si>
    <t>Alpha Hydroxybutyrate Dehydrogenase</t>
  </si>
  <si>
    <t>A measurement of the alpha-hydroxybutyrate dehydrogenase in a biological specimen.</t>
  </si>
  <si>
    <t>Alpha Hydroxybutyrate Dehydrogenase Measurement</t>
  </si>
  <si>
    <t>AHTRZLM</t>
  </si>
  <si>
    <t>Alpha-Hydroxytriazolam</t>
  </si>
  <si>
    <t>A measurement of the alpha-hydroxytriazolam a biological specimen.</t>
  </si>
  <si>
    <t>Alpha-Hydroxytriazolam Measurement</t>
  </si>
  <si>
    <t>AIRBNCND</t>
  </si>
  <si>
    <t>Air to Bone Sound Conduction Comparison</t>
  </si>
  <si>
    <t>A relative assessment of sound transmission through air conduction versus bone conduction.</t>
  </si>
  <si>
    <t>AIRFLRT</t>
  </si>
  <si>
    <t>Airflow Rate</t>
  </si>
  <si>
    <t>The speed of the movement of air.</t>
  </si>
  <si>
    <t>AIRPRSSR</t>
  </si>
  <si>
    <t>Air Pressure</t>
  </si>
  <si>
    <t>The force exerted by air upon a surface.</t>
  </si>
  <si>
    <t>AIRTRAP</t>
  </si>
  <si>
    <t>Air Trapping</t>
  </si>
  <si>
    <t>A measurement of the gas retention in a specified intrapulmonary space at the end of exhalation.</t>
  </si>
  <si>
    <t>Air Trapping Measurement</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</si>
  <si>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</si>
  <si>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</si>
  <si>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</si>
  <si>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</si>
  <si>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AKPC</t>
  </si>
  <si>
    <t>Abn Kappa+ Plasma Cells</t>
  </si>
  <si>
    <t>Abn Kappa+ PC; Abn Kappa+ Plasma Cells; Abnormal Kappa+ Plasma Cells</t>
  </si>
  <si>
    <t>A measurement of the abnormal kappa+ plasma cells in a biological specimen.</t>
  </si>
  <si>
    <t>Abnormal Kappa Positive Plasma Cell Count</t>
  </si>
  <si>
    <t>AKPCALPC</t>
  </si>
  <si>
    <t>Abn Kappa+ PC/Abn Lambda+ PC</t>
  </si>
  <si>
    <t>Abn Kappa+ PC/Abn Lambda+ PC; Abnormal Kappa+ Plasma Cells/Abnormal Lambda+ Plasma Cells</t>
  </si>
  <si>
    <t>A relative measurement (ratio) of the abnormal kappa+ plasma cells to abnormal lambda+ plasma cells in a biological specimen.</t>
  </si>
  <si>
    <t>Abnormal Kappa Positive Plasma Cell to Abnormal Lambda Positive Plasma Cell Ratio Measurement</t>
  </si>
  <si>
    <t>ALA</t>
  </si>
  <si>
    <t>Alanine</t>
  </si>
  <si>
    <t>A measurement of the alanine in a biological specimen.</t>
  </si>
  <si>
    <t>Alanine Measurement</t>
  </si>
  <si>
    <t>ALA1ALB</t>
  </si>
  <si>
    <t>Apolipoprotein A1/Apolipoprotein B</t>
  </si>
  <si>
    <t>A relative measurement (ratio or percentage) of the Apolipoprotein A1 to Apolipoprotein B in a biological specimen.</t>
  </si>
  <si>
    <t>Apolipoprotein A1 to Apolipoprotein B Ratio Measurement</t>
  </si>
  <si>
    <t>ALAALB</t>
  </si>
  <si>
    <t>Apolipoprotein A/Apolipoprotein B</t>
  </si>
  <si>
    <t>A relative measurement (ratio) of the total apolipoprotein A to apolipoprotein B in a biological specimen.</t>
  </si>
  <si>
    <t>Apolipoprotein A to Apolipoprotein B Ratio Measurement</t>
  </si>
  <si>
    <t>ALAB</t>
  </si>
  <si>
    <t>Alloantibody</t>
  </si>
  <si>
    <t>A measurement of the binding alloantibody in a biological specimen.</t>
  </si>
  <si>
    <t>Alloantibody Measurement</t>
  </si>
  <si>
    <t>ALB</t>
  </si>
  <si>
    <t>Albumin</t>
  </si>
  <si>
    <t>Albumin; Microalbumin</t>
  </si>
  <si>
    <t>A measurement of the albumin protein in a biological specimen.</t>
  </si>
  <si>
    <t>Albumin Measurement</t>
  </si>
  <si>
    <t>ALBC</t>
  </si>
  <si>
    <t>Albumin Clearance</t>
  </si>
  <si>
    <t>A measurement of the albumin clearance in a biological specimen.</t>
  </si>
  <si>
    <t>ALBCREAT</t>
  </si>
  <si>
    <t>Albumin/Creatinine</t>
  </si>
  <si>
    <t>Albumin/Creatinine; Microalbumin/Creatinine Ratio</t>
  </si>
  <si>
    <t>A relative measurement (ratio) of the albumin to the creatinine in a biological specimen.</t>
  </si>
  <si>
    <t>Albumin To Creatinine Protein Ratio Measurement</t>
  </si>
  <si>
    <t>ALBEXR</t>
  </si>
  <si>
    <t>Albumin Excretion Rate</t>
  </si>
  <si>
    <t>A measurement of the amount of albumin excreted in a biological specimen over a defined period of time (e.g. one hour).</t>
  </si>
  <si>
    <t>ALBGALB</t>
  </si>
  <si>
    <t>Glycated Albumin/Albumin</t>
  </si>
  <si>
    <t>A relative measurement (ratio or percentage) of the glycated albumin to total albumin in a biological specimen.</t>
  </si>
  <si>
    <t>Glycated Albumin to Albumin Ratio Measurement</t>
  </si>
  <si>
    <t>ALBGLOB</t>
  </si>
  <si>
    <t>Albumin/Globulin</t>
  </si>
  <si>
    <t>The ratio of albumin to globulin in a biological specimen.</t>
  </si>
  <si>
    <t>Albumin to Globulin Ratio Measurement</t>
  </si>
  <si>
    <t>ALBGLYCA</t>
  </si>
  <si>
    <t>Glycated Albumin</t>
  </si>
  <si>
    <t>A measurement of the glycated albumin present in a biological specimen.</t>
  </si>
  <si>
    <t>Glycated Albumin Measurement</t>
  </si>
  <si>
    <t>ALBIDX</t>
  </si>
  <si>
    <t>Albumin Index</t>
  </si>
  <si>
    <t>A relative measurement (ratio) of the albumin in cerebrospinal fluid to albumin in serum or plasma in a biological specimen.</t>
  </si>
  <si>
    <t>ALBPROT</t>
  </si>
  <si>
    <t>Albumin/Total Protein</t>
  </si>
  <si>
    <t>A relative measurement (ratio or percentage) of the albumin to total protein in a biological specimen.</t>
  </si>
  <si>
    <t>Albumin to Total Protein Ratio Measurement</t>
  </si>
  <si>
    <t>ALCDRKN</t>
  </si>
  <si>
    <t>Number of Alcoholic Drinks</t>
  </si>
  <si>
    <t>The total number of alcoholic drinks.</t>
  </si>
  <si>
    <t>Number of Alcoholic Drinks Measurement</t>
  </si>
  <si>
    <t>ALDEPX</t>
  </si>
  <si>
    <t>Aldrin Epoxidase</t>
  </si>
  <si>
    <t>A measurement of the aldrin epoxidase in a biological specimen.</t>
  </si>
  <si>
    <t>Aldrin Epoxidase Measurement</t>
  </si>
  <si>
    <t>ALDOLASE</t>
  </si>
  <si>
    <t>Aldolase</t>
  </si>
  <si>
    <t>A measurement of the aldolase enzyme in a biological specimen.</t>
  </si>
  <si>
    <t>Aldolase Measurement</t>
  </si>
  <si>
    <t>ALDSTEXR</t>
  </si>
  <si>
    <t>Aldosterone Excretion Rate</t>
  </si>
  <si>
    <t>A measurement of the amount of aldosterone being excreted in a biological specimen over a defined amount of time (e.g. one hour).</t>
  </si>
  <si>
    <t>ALDSTRN</t>
  </si>
  <si>
    <t>Aldosterone</t>
  </si>
  <si>
    <t>A measurement of the aldosterone hormone in a biological specimen.</t>
  </si>
  <si>
    <t>Aldosterone Measurement</t>
  </si>
  <si>
    <t>ALFNTNL</t>
  </si>
  <si>
    <t>Alfentanil</t>
  </si>
  <si>
    <t>A measurement of the alfentanil in a biological specimen.</t>
  </si>
  <si>
    <t>Alfentanil Measurement</t>
  </si>
  <si>
    <t>ALIGGAB</t>
  </si>
  <si>
    <t>IgG Alloantibody</t>
  </si>
  <si>
    <t>A measurement of the binding IgG alloantibody in a biological specimen.</t>
  </si>
  <si>
    <t>IgG Alloantibody Measurement</t>
  </si>
  <si>
    <t>ALLOILE</t>
  </si>
  <si>
    <t>Alloisoleucine</t>
  </si>
  <si>
    <t>A measurement of the alloisoleucine in a biological specimen.</t>
  </si>
  <si>
    <t>Alloisoleucine Measurement</t>
  </si>
  <si>
    <t>ALOX5</t>
  </si>
  <si>
    <t>Arachidonate 5-Lipoxygenase</t>
  </si>
  <si>
    <t>5-Lipoxygenase; 5-LO; 5-LOX; ALOX5; Arachidonate 5-Lipoxygenase</t>
  </si>
  <si>
    <t>A measurement of the arachidonate 5-lipoxygenase in a biological specimen.</t>
  </si>
  <si>
    <t>Arachidonate 5-Lipoxygenase Measurement</t>
  </si>
  <si>
    <t>ALP</t>
  </si>
  <si>
    <t>Alkaline Phosphatase</t>
  </si>
  <si>
    <t>A measurement of the alkaline phosphatase in a biological specimen.</t>
  </si>
  <si>
    <t>Alkaline Phosphatase Measurement</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</si>
  <si>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</si>
  <si>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</si>
  <si>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</si>
  <si>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</si>
  <si>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</si>
  <si>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ALPBS</t>
  </si>
  <si>
    <t>Bone Specific Alkaline Phosphatase</t>
  </si>
  <si>
    <t>A measurement of the bone specific alkaline phosphatase isoform in a biological specimen.</t>
  </si>
  <si>
    <t>Bone Specific Alkaline Phosphatase Measurement</t>
  </si>
  <si>
    <t>ALPC</t>
  </si>
  <si>
    <t>Abn Lambda+ Plasma Cells</t>
  </si>
  <si>
    <t>Abn Lambda+ PC; Abn Lambda+ Plasma Cells; Abnormal Lambda+ Plasma Cells</t>
  </si>
  <si>
    <t>A measurement of the abnormal lambda+ plasma cells in a biological specimen.</t>
  </si>
  <si>
    <t>Abnormal Lambda Positive Plasma Cell Count</t>
  </si>
  <si>
    <t>ALPCREAT</t>
  </si>
  <si>
    <t>Alkaline Phosphatase/Creatinine</t>
  </si>
  <si>
    <t>A relative measurement (ratio or percentage) of the alkaline phosphatase to creatinine in a biological specimen.</t>
  </si>
  <si>
    <t>Alkaline Phosphatase to Creatinine Ratio Measurement</t>
  </si>
  <si>
    <t>ALPEXR</t>
  </si>
  <si>
    <t>Alkaline Phosphatase Excretion Rate</t>
  </si>
  <si>
    <t>A measurement of the amount of alkaline phosphatase being excreted in a biological specimen over a defined amount of time (e.g. one hour).</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</si>
  <si>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</si>
  <si>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</si>
  <si>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</si>
  <si>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</si>
  <si>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</si>
  <si>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ALPIS</t>
  </si>
  <si>
    <t>Intestinal Specific Alkaline Phosphatase</t>
  </si>
  <si>
    <t>A measurement of the intestinal specific alkaline phosphatase isoform in a biological specimen.</t>
  </si>
  <si>
    <t>Intestinal Specific Alkaline Phosphatase Measurement</t>
  </si>
  <si>
    <t>ALPISOE</t>
  </si>
  <si>
    <t>Alkaline Phosphatase Isoenzyme</t>
  </si>
  <si>
    <t>A measurement of the alkaline phosphatase isoenzyme in a biological specimen.</t>
  </si>
  <si>
    <t>Alkaline Phosphatase Isoenzyme Measurement</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</si>
  <si>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</si>
  <si>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</si>
  <si>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</si>
  <si>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</si>
  <si>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</si>
  <si>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</si>
  <si>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</si>
  <si>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</si>
  <si>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</si>
  <si>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ALPLS</t>
  </si>
  <si>
    <t>Liver Specific Alkaline Phosphatase</t>
  </si>
  <si>
    <t>A measurement of the liver specific alkaline phosphatase isoform in a biological specimen.</t>
  </si>
  <si>
    <t>Liver Specific Alkaline Phosphatase Measurement</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</si>
  <si>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</si>
  <si>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</si>
  <si>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</si>
  <si>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</si>
  <si>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</si>
  <si>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ALPPS</t>
  </si>
  <si>
    <t>Placental Specific Alkaline Phosphatase</t>
  </si>
  <si>
    <t>A measurement of the placental specific alkaline phosphatase isoform in a biological specimen.</t>
  </si>
  <si>
    <t>Placental Specific Alkaline Phosphatase Measurement</t>
  </si>
  <si>
    <t>ALPRZLM</t>
  </si>
  <si>
    <t>Alprazolam</t>
  </si>
  <si>
    <t>A measurement of the alprazolam present in a biological specimen.</t>
  </si>
  <si>
    <t>Alprazolam Measurement</t>
  </si>
  <si>
    <t>ALS</t>
  </si>
  <si>
    <t>Acid Labile Subunit</t>
  </si>
  <si>
    <t>Acid Labile Subunit; ALS; IGFALS; Insulin Like Growth Factor Binding Protein Acid Labile Subunit</t>
  </si>
  <si>
    <t>A measurement of the acid labile subunit in a biological specimen.</t>
  </si>
  <si>
    <t>Acid Labile Subunit Measurement</t>
  </si>
  <si>
    <t>ALT</t>
  </si>
  <si>
    <t>Alanine Aminotransferase</t>
  </si>
  <si>
    <t>Alanine Aminotransferase; SGPT</t>
  </si>
  <si>
    <t>A measurement of the alanine aminotransferase in a biological specimen.</t>
  </si>
  <si>
    <t>Alanine Aminotransferase Measurement</t>
  </si>
  <si>
    <t>ALTAST</t>
  </si>
  <si>
    <t>ALT/AST</t>
  </si>
  <si>
    <t>A relative measurement (ratio or percentage) of the alanine aminotransferase (ALT) to aspartate aminotransferase (AST) present in a sample.</t>
  </si>
  <si>
    <t>Alanine Aminotransferase to Aspartate Aminotransferase Ratio Measurement</t>
  </si>
  <si>
    <t>ALTCPHRL</t>
  </si>
  <si>
    <t>Alpha Tocopherol</t>
  </si>
  <si>
    <t>A measurement of the alpha tocopherol in a biological specimen.</t>
  </si>
  <si>
    <t>Alpha Tocopherol Measurement</t>
  </si>
  <si>
    <t>ALUMINUM</t>
  </si>
  <si>
    <t>Aluminum</t>
  </si>
  <si>
    <t>Al; Aluminum</t>
  </si>
  <si>
    <t>A measurement of aluminum in a biological specimen.</t>
  </si>
  <si>
    <t>Aluminum Measurement</t>
  </si>
  <si>
    <t>ALVVOL</t>
  </si>
  <si>
    <t>Alveolar Volume</t>
  </si>
  <si>
    <t>Alveolar Volume; VA</t>
  </si>
  <si>
    <t>The quantity of gas that enters the alveoli during inspiration.</t>
  </si>
  <si>
    <t>ALW</t>
  </si>
  <si>
    <t>Acinetobacter lwoffii</t>
  </si>
  <si>
    <t>A measurement of the Acinetobacter lwoffii in a biological specimen.</t>
  </si>
  <si>
    <t>Acinetobacter Iwoffii Measurement</t>
  </si>
  <si>
    <t>AM2201</t>
  </si>
  <si>
    <t>AM-2201</t>
  </si>
  <si>
    <t>AM-2201; AM2201</t>
  </si>
  <si>
    <t>A measurement of the synthetic cannabinoid AM-2201 in a biological specimen.</t>
  </si>
  <si>
    <t>AM-2201 Measurement</t>
  </si>
  <si>
    <t>AM694N5H</t>
  </si>
  <si>
    <t>AM694 N-5-hydroxypentyl</t>
  </si>
  <si>
    <t>A measurement of the synthetic cannabinoid metabolite AM694 N-5-hydroxypentyl in a biological specimen.</t>
  </si>
  <si>
    <t>AM694 N-5-hydroxypentyl Measurement</t>
  </si>
  <si>
    <t>AMACR</t>
  </si>
  <si>
    <t>Alpha-Methylacyl Coenzyme A Racemase</t>
  </si>
  <si>
    <t>A measurement of the alpha-methylacyl coenzyme A racemase in a biological specimen.</t>
  </si>
  <si>
    <t>Alpha-Methylacyl Coenzyme A Racemase Measurement</t>
  </si>
  <si>
    <t>AMBRBTL</t>
  </si>
  <si>
    <t>Amobarbital</t>
  </si>
  <si>
    <t>A measurement of the amobarbital present in a biological specimen.</t>
  </si>
  <si>
    <t>Amobarbital Measurement</t>
  </si>
  <si>
    <t>AMCRMRNA</t>
  </si>
  <si>
    <t>AMACR mRNA</t>
  </si>
  <si>
    <t>A measurement of the alpha-methylacyl coenzyme A racemase mRNA in a biological specimen.</t>
  </si>
  <si>
    <t>Alpha-Methylacyl Coenzyme A Racemase mRNA Measurement</t>
  </si>
  <si>
    <t>AMENSIND</t>
  </si>
  <si>
    <t>Actively Menstruating Indicator</t>
  </si>
  <si>
    <t>An indication as to whether the subject is menstruating at the time the question is asked.</t>
  </si>
  <si>
    <t>AMH</t>
  </si>
  <si>
    <t>Anti-Mullerian Hormone</t>
  </si>
  <si>
    <t>A measurement of the anti-Mullerian hormone in a biological specimen.</t>
  </si>
  <si>
    <t>Anti-Mullerian Hormone Measurement</t>
  </si>
  <si>
    <t>EG</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</si>
  <si>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</si>
  <si>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</si>
  <si>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</si>
  <si>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</si>
  <si>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AMITRPTL</t>
  </si>
  <si>
    <t>Amitriptyline</t>
  </si>
  <si>
    <t>A measurement of the amitriptyline in a biological specimen.</t>
  </si>
  <si>
    <t>Amitriptyline Measurement</t>
  </si>
  <si>
    <t>AMMONIA</t>
  </si>
  <si>
    <t>Ammonia</t>
  </si>
  <si>
    <t>Ammonia; NH3</t>
  </si>
  <si>
    <t>A measurement of the ammonia in a specimen.</t>
  </si>
  <si>
    <t>Ammonia Measurement</t>
  </si>
  <si>
    <t>AMNM</t>
  </si>
  <si>
    <t>Ammonium</t>
  </si>
  <si>
    <t>Ammonium; Ammonium Ion; NH4+</t>
  </si>
  <si>
    <t>A measurement of the ammonium ion (NH4+) in a biological specimen.</t>
  </si>
  <si>
    <t>Ammonium Measurement</t>
  </si>
  <si>
    <t>AMNMCRT</t>
  </si>
  <si>
    <t>Ammonium/Creatinine</t>
  </si>
  <si>
    <t>A relative measurement (ratio) of ammonium to creatinine in a biological specimen.</t>
  </si>
  <si>
    <t>Ammonium to Creatinine Ratio Measurement</t>
  </si>
  <si>
    <t>AMNOACID</t>
  </si>
  <si>
    <t>Amino Acids</t>
  </si>
  <si>
    <t>AA; Amino Acids</t>
  </si>
  <si>
    <t>A measurement of the total amino acids in a biological specimen.</t>
  </si>
  <si>
    <t>Amino Acid Measurement</t>
  </si>
  <si>
    <t>AMNPHTH1</t>
  </si>
  <si>
    <t>1-Aminonaphthalene</t>
  </si>
  <si>
    <t>1-Aminonaphthalene; 1-Naphthylamine</t>
  </si>
  <si>
    <t>A measurement of the 1-aminonaphthalene in a specimen.</t>
  </si>
  <si>
    <t>1-Aminonaphthalene Measurement</t>
  </si>
  <si>
    <t>AMNPHTH2</t>
  </si>
  <si>
    <t>2-Aminonaphthalene</t>
  </si>
  <si>
    <t>2-Aminonaphthalene; 2-Naphthylamine</t>
  </si>
  <si>
    <t>A measurement of the 2-aminonaphthalene in a specimen.</t>
  </si>
  <si>
    <t>2-Aminonaphthalene Measurement</t>
  </si>
  <si>
    <t>AMORPHSD</t>
  </si>
  <si>
    <t>Amorphous Sediment</t>
  </si>
  <si>
    <t>Amorphous Debris; Amorphous Sediment</t>
  </si>
  <si>
    <t>A measurement of the amorphous sediment present in a biological specimen.</t>
  </si>
  <si>
    <t>Amorphous Sediment Measurement</t>
  </si>
  <si>
    <t>AMPEA</t>
  </si>
  <si>
    <t>Alpha-Methylphenethylamine</t>
  </si>
  <si>
    <t>Alpha-Methylphenethylamine; Amphetamine</t>
  </si>
  <si>
    <t>A measurement of the alpha-methylphenethylamine in a biological specimen.</t>
  </si>
  <si>
    <t>Amphetamine Measurement</t>
  </si>
  <si>
    <t>AMPHET</t>
  </si>
  <si>
    <t>Amphetamine</t>
  </si>
  <si>
    <t>Amphetamine; Amphetamines</t>
  </si>
  <si>
    <t>A measurement of any amphetamine class drug present in a biological specimen.</t>
  </si>
  <si>
    <t>Amphetamine Drug Class Measurement</t>
  </si>
  <si>
    <t>AMPHETD</t>
  </si>
  <si>
    <t>Dextroamphetamine</t>
  </si>
  <si>
    <t>d-amphetamine; Dextroamphetamine</t>
  </si>
  <si>
    <t>A measurement of the dextroamphetamine in a biological specimen.</t>
  </si>
  <si>
    <t>Dextroamphetamine Measurement</t>
  </si>
  <si>
    <t>AMYLASE</t>
  </si>
  <si>
    <t>Amylase</t>
  </si>
  <si>
    <t>A measurement of the total enzyme amylase in a biological specimen.</t>
  </si>
  <si>
    <t>Amylase Measurement</t>
  </si>
  <si>
    <t>AMYLASEM</t>
  </si>
  <si>
    <t>Macroamylase</t>
  </si>
  <si>
    <t>A measurement of macroamylase in a biological specimen.</t>
  </si>
  <si>
    <t>Macroamylase Measurement</t>
  </si>
  <si>
    <t>AMYLASEP</t>
  </si>
  <si>
    <t>Amylase, Pancreatic</t>
  </si>
  <si>
    <t>Amylase, Pancreatic; Pancreatic Amylase Isoenzyme</t>
  </si>
  <si>
    <t>A measurement of the pancreatic enzyme amylase in a biological specimen.</t>
  </si>
  <si>
    <t>Pancreatic Amylase Measurement</t>
  </si>
  <si>
    <t>AMYLASES</t>
  </si>
  <si>
    <t>Amylase, Salivary</t>
  </si>
  <si>
    <t>Amylase, Salivary; Salivary Amylase Isoenzyme</t>
  </si>
  <si>
    <t>A measurement of the salivary enzyme amylase in a biological specimen.</t>
  </si>
  <si>
    <t>Salivary Amylase Measurement</t>
  </si>
  <si>
    <t>AMYLB38</t>
  </si>
  <si>
    <t>Amyloid Beta 1-38</t>
  </si>
  <si>
    <t>Amyloid Beta 1-38; Amyloid Beta 38; Amyloid Beta 38 Protein</t>
  </si>
  <si>
    <t>A measurement of amyloid beta protein which is composed of peptides 1 to 38 in a biological specimen.</t>
  </si>
  <si>
    <t>Amyloid Beta 1-38 Measurement</t>
  </si>
  <si>
    <t>AMYLB40</t>
  </si>
  <si>
    <t>Amyloid Beta 1-40</t>
  </si>
  <si>
    <t>Amyloid Beta 1-40; Amyloid Beta 40; Amyloid Beta 40 Protein</t>
  </si>
  <si>
    <t>A measurement of amyloid beta protein which is composed of peptides 1 to 40 in a biological specimen.</t>
  </si>
  <si>
    <t>Amyloid Beta 1-40 Measurement</t>
  </si>
  <si>
    <t>AMYLB41</t>
  </si>
  <si>
    <t>Amyloid Beta 1-41</t>
  </si>
  <si>
    <t>Amyloid Beta 1-41; Amyloid Beta 41; Amyloid Beta 41 Protein</t>
  </si>
  <si>
    <t>A measurement of amyloid beta protein which is composed of peptides 1 to 41 in a biological specimen.</t>
  </si>
  <si>
    <t>Amyloid Beta 1-41 Measurement</t>
  </si>
  <si>
    <t>AMYLB42</t>
  </si>
  <si>
    <t>Amyloid Beta 1-42</t>
  </si>
  <si>
    <t>Amyloid Beta 1-42; Amyloid Beta 42; Amyloid Beta 42 Protein</t>
  </si>
  <si>
    <t>A measurement of amyloid beta protein which is composed of peptides 1 to 42 in a biological specimen.</t>
  </si>
  <si>
    <t>Beta Amyloid 42 Measurement</t>
  </si>
  <si>
    <t>AMYLOIDA</t>
  </si>
  <si>
    <t>Amyloid A</t>
  </si>
  <si>
    <t>A measurement of the total amyloid A in a biological specimen.</t>
  </si>
  <si>
    <t>Amyloid A Measurement</t>
  </si>
  <si>
    <t>AMYLOIDB</t>
  </si>
  <si>
    <t>Amyloid, Beta</t>
  </si>
  <si>
    <t>Amyloid, Beta; Beta Amyloid</t>
  </si>
  <si>
    <t>A measurement of the total amyloid beta in a biological specimen.</t>
  </si>
  <si>
    <t>Beta Amyloid Measurement</t>
  </si>
  <si>
    <t>AMYLOIDP</t>
  </si>
  <si>
    <t>Amyloid P</t>
  </si>
  <si>
    <t>Amyloid P; Amyloid P Component; SAP; Serum Amyloid P Component</t>
  </si>
  <si>
    <t>A measurement of the total amyloid P in a biological specimen.</t>
  </si>
  <si>
    <t>Amyloid P Measurement</t>
  </si>
  <si>
    <t>ANAB</t>
  </si>
  <si>
    <t>Anti-Neutrophil Antibody</t>
  </si>
  <si>
    <t>Anti-Neutrophil Antibody; Anti-Neutrophil Autoantibody</t>
  </si>
  <si>
    <t>A measurement of the total anti-neutrophil antibody in a biological specimen.</t>
  </si>
  <si>
    <t>Anti-Neutrophil Antibody Measurement</t>
  </si>
  <si>
    <t>ANABASN</t>
  </si>
  <si>
    <t>Anabasine</t>
  </si>
  <si>
    <t>A measurement of the anabasine in a specimen.</t>
  </si>
  <si>
    <t>Anabasine Measurement</t>
  </si>
  <si>
    <t>ANABSN</t>
  </si>
  <si>
    <t>ANAG</t>
  </si>
  <si>
    <t>Alpha-N-acetylglucosaminidase</t>
  </si>
  <si>
    <t>A measurement of the alpha-N-acetylglucosaminidase in a biological specimen.</t>
  </si>
  <si>
    <t>Alpha-N-acetylglucosaminidase Measurement</t>
  </si>
  <si>
    <t>ANAPDNA</t>
  </si>
  <si>
    <t>Anaplasma DNA</t>
  </si>
  <si>
    <t>A measurement of the DNA from any member of the genus Anaplasma in a biological specimen.</t>
  </si>
  <si>
    <t>Anaplasma DNA Measurement</t>
  </si>
  <si>
    <t>ANAPLASM</t>
  </si>
  <si>
    <t>Anaplasma</t>
  </si>
  <si>
    <t>A measurement of the organisms that are not assigned to the species level but are assigned to the Anaplasma genus level in a biological specimen.</t>
  </si>
  <si>
    <t>Anaplasma Measurement</t>
  </si>
  <si>
    <t>ANARBACT</t>
  </si>
  <si>
    <t>Anaerobic Bacteria</t>
  </si>
  <si>
    <t>A measurement of the anaerobic bacteria in a biological specimen.</t>
  </si>
  <si>
    <t>Anaerobic Bacteria Measurement</t>
  </si>
  <si>
    <t>ANATBN</t>
  </si>
  <si>
    <t>Anatabine</t>
  </si>
  <si>
    <t>A measurement of the anatabine in a specimen.</t>
  </si>
  <si>
    <t>Anatabine Measurement</t>
  </si>
  <si>
    <t>ANCAB</t>
  </si>
  <si>
    <t>Anti-Neutrophil Cytoplasmic Antibody</t>
  </si>
  <si>
    <t>Anti-Neutrophil Cytoplasmic Antibody; Anti-Neutrophil Cytoplasmic Autoantibody</t>
  </si>
  <si>
    <t>A measurement of the anti-neutrophil cytoplasmic antibody in a biological specimen.</t>
  </si>
  <si>
    <t>Anti-Neutrophil Cytoplasmic Antibody Measurement</t>
  </si>
  <si>
    <t>ANCIGAB</t>
  </si>
  <si>
    <t>Anti-Neutrophil Cytoplasmic IgG Antibody</t>
  </si>
  <si>
    <t>Anti-Neutrophil Cytoplasmic IgG Antibody; Anti-Neutrophil Cytoplasmic IgG Autoantibody</t>
  </si>
  <si>
    <t>A measurement of the anti-neutrophil cytoplasmic IgG antibody in a biological specimen.</t>
  </si>
  <si>
    <t>Anti-Neutrophil Cytoplasmic IgG Antibody Measurement</t>
  </si>
  <si>
    <t>ANDSTNDL</t>
  </si>
  <si>
    <t>Androstenediol</t>
  </si>
  <si>
    <t>A measurement of the androstenediol metabolite in a biological specimen.</t>
  </si>
  <si>
    <t>Androstenediol Metabolite Measurement</t>
  </si>
  <si>
    <t>ANDSTNDN</t>
  </si>
  <si>
    <t>Androstenedione</t>
  </si>
  <si>
    <t>4-Androstenedione; Androstenedione</t>
  </si>
  <si>
    <t>A measurement of the androstenedione hormone in a biological specimen.</t>
  </si>
  <si>
    <t>Androstenedione Measurement</t>
  </si>
  <si>
    <t>ANDSTRN</t>
  </si>
  <si>
    <t>Androsterone</t>
  </si>
  <si>
    <t>A measurement of the androsterone in a biological specimen.</t>
  </si>
  <si>
    <t>Androsterone Measurement</t>
  </si>
  <si>
    <t>ANEURIND</t>
  </si>
  <si>
    <t>Aneurysm Indicator</t>
  </si>
  <si>
    <t>An indication as to whether there is the presence of one or more aneurysms.</t>
  </si>
  <si>
    <t>ANGLBIND</t>
  </si>
  <si>
    <t>Antiglobulin Test, Indirect</t>
  </si>
  <si>
    <t>Antiglobulin Test, Indirect; Indirect Coombs Test</t>
  </si>
  <si>
    <t>A test that uses Coombs' reagent to detect the presence of anti-erythrocyte antibodies in a biological specimen.</t>
  </si>
  <si>
    <t>Indirect Antiglobulin Test</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</si>
  <si>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</si>
  <si>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</si>
  <si>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</si>
  <si>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</si>
  <si>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</si>
  <si>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ANGPT1</t>
  </si>
  <si>
    <t>Angiopoietin 1</t>
  </si>
  <si>
    <t>A measurement of angiopoietin 1 in a biological specimen.</t>
  </si>
  <si>
    <t>Angiopoietin 1 Measurement</t>
  </si>
  <si>
    <t>ANGPT2</t>
  </si>
  <si>
    <t>Angiopoietin 2</t>
  </si>
  <si>
    <t>ANG2; Angiopoietin 2</t>
  </si>
  <si>
    <t>A measurement of angiopoietin 2 in a biological specimen.</t>
  </si>
  <si>
    <t>Angiopoietin 2 Measurement</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</si>
  <si>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</si>
  <si>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</si>
  <si>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</si>
  <si>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</si>
  <si>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</si>
  <si>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ANGTNS1</t>
  </si>
  <si>
    <t>Angiotensin I</t>
  </si>
  <si>
    <t>A measurement of the angiotensin I hormone in a biological specimen.</t>
  </si>
  <si>
    <t>Angiotensin I Measurement</t>
  </si>
  <si>
    <t>ANGTNS2</t>
  </si>
  <si>
    <t>Angiotensin II</t>
  </si>
  <si>
    <t>A measurement of the angiotensin II hormone in a biological specimen.</t>
  </si>
  <si>
    <t>Angiotensin II Measurement</t>
  </si>
  <si>
    <t>ANGTNSGN</t>
  </si>
  <si>
    <t>Angiotensinogen</t>
  </si>
  <si>
    <t>Angiotensin Precursor; Angiotensinogen</t>
  </si>
  <si>
    <t>A measurement of the angiotensinogen hormone in a biological specimen.</t>
  </si>
  <si>
    <t>Angiotensinogen Measurement</t>
  </si>
  <si>
    <t>ANI</t>
  </si>
  <si>
    <t>Aspergillus niger</t>
  </si>
  <si>
    <t>A measurement of the Aspergillus niger in a biological specimen.</t>
  </si>
  <si>
    <t>Aspergillus niger Measurement</t>
  </si>
  <si>
    <t>ANIONG</t>
  </si>
  <si>
    <t>Anion Gap</t>
  </si>
  <si>
    <t>A computed estimate of the unmeasured anions (those other than the chloride and bicarbonate anions) in a biological specimen.</t>
  </si>
  <si>
    <t>Anion Gap Measurement</t>
  </si>
  <si>
    <t>ANIONG3</t>
  </si>
  <si>
    <t>Anion Gap 3</t>
  </si>
  <si>
    <t>A computed estimate of the unmeasured anions (computed as sodium minus the chloride and bicarbonate) in a biological specimen.</t>
  </si>
  <si>
    <t>Anion Gap 3 Measurement</t>
  </si>
  <si>
    <t>ANIONG4</t>
  </si>
  <si>
    <t>Anion Gap 4</t>
  </si>
  <si>
    <t>A computed estimate of the unmeasured anions (computed as the difference between the sum of serum sodium + serum potassium and the sum of the serum bicarbonate+ chloride) in a biological specimen.</t>
  </si>
  <si>
    <t>Anion Gap 4 Measurement</t>
  </si>
  <si>
    <t>ANISO</t>
  </si>
  <si>
    <t>Anisocytes</t>
  </si>
  <si>
    <t>Anisocytes; Anisocytosis</t>
  </si>
  <si>
    <t>A measurement of the variability in the size of the red blood cells in a whole blood specimen.</t>
  </si>
  <si>
    <t>Anisocyte Measurement</t>
  </si>
  <si>
    <t>ANISOCHR</t>
  </si>
  <si>
    <t>Anisochromia</t>
  </si>
  <si>
    <t>A measurement of the color variation of erythrocytes in a biological specimen.</t>
  </si>
  <si>
    <t>Anisochromia Measurement</t>
  </si>
  <si>
    <t>ANLRDN</t>
  </si>
  <si>
    <t>Anileridine</t>
  </si>
  <si>
    <t>A measurement of the anileridine in a biological specimen.</t>
  </si>
  <si>
    <t>Anileridine Measurement</t>
  </si>
  <si>
    <t>ANNAVEL</t>
  </si>
  <si>
    <t>Annular a' Velocity</t>
  </si>
  <si>
    <t>The peak velocity of the annular motion during late ventricular diastole (the active filling of the ventricle).</t>
  </si>
  <si>
    <t>ANNEVEL</t>
  </si>
  <si>
    <t>Annular e' Velocity</t>
  </si>
  <si>
    <t>The peak velocity of the annular motion during early ventricular diastole (the passive filling of the ventricle).</t>
  </si>
  <si>
    <t>ANNSVEL</t>
  </si>
  <si>
    <t>Annular S' Velocity</t>
  </si>
  <si>
    <t>The peak velocity of the annular motion during ventricular systole.</t>
  </si>
  <si>
    <t>ANP</t>
  </si>
  <si>
    <t>Atrial Natriuretic Peptide</t>
  </si>
  <si>
    <t>Atrial Natriuretic Peptide; Atriopeptin</t>
  </si>
  <si>
    <t>A measurement of the atrial natriuretic peptide in a biological specimen.</t>
  </si>
  <si>
    <t>Atrial Natriuretic Peptide Measurement</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</si>
  <si>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</si>
  <si>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</si>
  <si>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</si>
  <si>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</si>
  <si>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</si>
  <si>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</si>
  <si>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</si>
  <si>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</si>
  <si>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</si>
  <si>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</si>
  <si>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ANTHRMA</t>
  </si>
  <si>
    <t>Antithrombin Activity</t>
  </si>
  <si>
    <t>Antithrombin Activity; Antithrombin III Activity</t>
  </si>
  <si>
    <t>A measurement of the antithrombin activity in a biological specimen.</t>
  </si>
  <si>
    <t>Antithrombin Activity Measurement</t>
  </si>
  <si>
    <t>ANTHRMAG</t>
  </si>
  <si>
    <t>Antithrombin Antigen</t>
  </si>
  <si>
    <t>Antithrombin; Antithrombin Antigen; Antithrombin III; Antithrombin III Antigen</t>
  </si>
  <si>
    <t>A measurement of the antithrombin antigen in a biological specimen.</t>
  </si>
  <si>
    <t>Antithrombin Antigen Measurement</t>
  </si>
  <si>
    <t>ANTIDPRS</t>
  </si>
  <si>
    <t>Antidepressants</t>
  </si>
  <si>
    <t>A measurement of any antidepressant class drug present in a biological specimen.</t>
  </si>
  <si>
    <t>Antidepressant Measurement</t>
  </si>
  <si>
    <t>DU</t>
  </si>
  <si>
    <t>ANTPLANE</t>
  </si>
  <si>
    <t>Anatomical Plane</t>
  </si>
  <si>
    <t>The position and orientation of the image slice relative to the patient-based coordinate system. (NCI)</t>
  </si>
  <si>
    <t>Image Plane</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</si>
  <si>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</si>
  <si>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</si>
  <si>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</si>
  <si>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</si>
  <si>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</si>
  <si>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</si>
  <si>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</si>
  <si>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</si>
  <si>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</si>
  <si>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</si>
  <si>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APLSMA2</t>
  </si>
  <si>
    <t>Alpha-2 Antiplasmin</t>
  </si>
  <si>
    <t>Alpha-2 Antiplasmin; Alpha-2 Plasmin Inhibitor</t>
  </si>
  <si>
    <t>A measurement of the alpha-2 antiplasmin in a biological specimen.</t>
  </si>
  <si>
    <t>Alpha-2 Antiplasmin Measurement</t>
  </si>
  <si>
    <t>APLSMA2A</t>
  </si>
  <si>
    <t>Alpha-2 Antiplasmin Activity</t>
  </si>
  <si>
    <t>A measurement of the alpha-2 antiplasmin activity in a biological specimen.</t>
  </si>
  <si>
    <t>Alpha-2 Antiplasmin Activity Measurement</t>
  </si>
  <si>
    <t>APOA</t>
  </si>
  <si>
    <t>Apolipoprotein A</t>
  </si>
  <si>
    <t>A measurement of the total apolipoprotein A in a biological specimen.</t>
  </si>
  <si>
    <t>Apolipoprotein A Measurement</t>
  </si>
  <si>
    <t>APOA1</t>
  </si>
  <si>
    <t>Apolipoprotein A1</t>
  </si>
  <si>
    <t>A measurement of the apolipoprotein A1 in a biological specimen.</t>
  </si>
  <si>
    <t>Apolipoprotein A1 Measurement</t>
  </si>
  <si>
    <t>APOA2</t>
  </si>
  <si>
    <t>Apolipoprotein AII</t>
  </si>
  <si>
    <t>A measurement of the apolipoprotein AII in a biological specimen.</t>
  </si>
  <si>
    <t>Apolipoprotein AII Measurement</t>
  </si>
  <si>
    <t>APOA4</t>
  </si>
  <si>
    <t>Apolipoprotein A4</t>
  </si>
  <si>
    <t>A measurement of the apolipoprotein A4 in a biological specimen.</t>
  </si>
  <si>
    <t>Apolipoprotein A4 Measurement</t>
  </si>
  <si>
    <t>APOA5</t>
  </si>
  <si>
    <t>Apolipoprotein A5</t>
  </si>
  <si>
    <t>A measurement of the apolipoprotein A5 in a biological specimen.</t>
  </si>
  <si>
    <t>Apolipoprotein A5 Measurement</t>
  </si>
  <si>
    <t>APOB</t>
  </si>
  <si>
    <t>Apolipoprotein B</t>
  </si>
  <si>
    <t>A measurement of the total apolipoprotein B in a biological specimen.</t>
  </si>
  <si>
    <t>Apolipoprotein B Measurement</t>
  </si>
  <si>
    <t>APOB100</t>
  </si>
  <si>
    <t>Apolipoprotein B100</t>
  </si>
  <si>
    <t>A measurement of the apolipoprotein B100 in a biological specimen.</t>
  </si>
  <si>
    <t>Apolipoprotein B100 Measurement</t>
  </si>
  <si>
    <t>APOB48</t>
  </si>
  <si>
    <t>Apolipoprotein B48</t>
  </si>
  <si>
    <t>A measurement of the apolipoprotein B48 in a biological specimen.</t>
  </si>
  <si>
    <t>Apolipoprotein B48 Measurement</t>
  </si>
  <si>
    <t>APOBAPA1</t>
  </si>
  <si>
    <t>Apolipoprotein B/Apolipoprotein A1</t>
  </si>
  <si>
    <t>A relative measurement (ratio or percentage) of the Apolipoprotein B to Apolipoprotein A1 in a biological specimen.</t>
  </si>
  <si>
    <t>Apolipoprotein B to Apolipoprotein A1 Ratio Measurement</t>
  </si>
  <si>
    <t>APOC1</t>
  </si>
  <si>
    <t>Apolipoprotein CI</t>
  </si>
  <si>
    <t>A measurement of the apolipoprotein CI in a biological specimen.</t>
  </si>
  <si>
    <t>Apolipoprotein CI Measurement</t>
  </si>
  <si>
    <t>APOC2</t>
  </si>
  <si>
    <t>Apolipoprotein C2</t>
  </si>
  <si>
    <t>Apolipoprotein C2; Apolipoprotein CII</t>
  </si>
  <si>
    <t>A measurement of the apolipoprotein C2 in a biological specimen.</t>
  </si>
  <si>
    <t>Apolipoprotein C2 Measurement</t>
  </si>
  <si>
    <t>APOC3</t>
  </si>
  <si>
    <t>Apolipoprotein CIII</t>
  </si>
  <si>
    <t>A measurement of the apolipoprotein CIII in a biological specimen.</t>
  </si>
  <si>
    <t>Apolipoprotein CIII Measurement</t>
  </si>
  <si>
    <t>APOD</t>
  </si>
  <si>
    <t>Apolipoprotein D</t>
  </si>
  <si>
    <t>A measurement of the apolipoprotein D in a biological specimen.</t>
  </si>
  <si>
    <t>Apolipoprotein D Measurement</t>
  </si>
  <si>
    <t>APOE</t>
  </si>
  <si>
    <t>Apolipoprotein E</t>
  </si>
  <si>
    <t>A measurement of the apolipoprotein E in a biological specimen.</t>
  </si>
  <si>
    <t>Apolipoprotein E Measurement</t>
  </si>
  <si>
    <t>APOE4</t>
  </si>
  <si>
    <t>Apolipoprotein E4</t>
  </si>
  <si>
    <t>A measurement of the apolipoprotein E4 in a biological specimen.</t>
  </si>
  <si>
    <t>Apolipoprotein E4 Measurement</t>
  </si>
  <si>
    <t>APOH</t>
  </si>
  <si>
    <t>Apolipoprotein H</t>
  </si>
  <si>
    <t>A measurement of the apolipoprotein H in a biological specimen.</t>
  </si>
  <si>
    <t>Apolipoprotein H Measurement</t>
  </si>
  <si>
    <t>APOJ</t>
  </si>
  <si>
    <t>Apolipoprotein J</t>
  </si>
  <si>
    <t>Apolipoprotein J; Clusterin</t>
  </si>
  <si>
    <t>A measurement of the apolipoprotein J in a biological specimen.</t>
  </si>
  <si>
    <t>Apolipoprotein J Measurement</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</si>
  <si>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</si>
  <si>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</si>
  <si>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</si>
  <si>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</si>
  <si>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</si>
  <si>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APOSCSEV</t>
  </si>
  <si>
    <t>Aortic Postductal Coarctation Severity</t>
  </si>
  <si>
    <t>The assessment of the severity of postductal aortic coarctation.</t>
  </si>
  <si>
    <t>APPA</t>
  </si>
  <si>
    <t>Amyloid Alpha Precursor Protein</t>
  </si>
  <si>
    <t>A measurement of the amyloid alpha precursor protein present in a biological specimen.</t>
  </si>
  <si>
    <t>Amyloid Alpha Precursor Protein Measurement</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</si>
  <si>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</si>
  <si>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</si>
  <si>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</si>
  <si>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</si>
  <si>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</si>
  <si>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APPEAR</t>
  </si>
  <si>
    <t>Specimen Appearance</t>
  </si>
  <si>
    <t>The outward or visible aspect of a specimen.</t>
  </si>
  <si>
    <t>Specimen Appearance Assessment</t>
  </si>
  <si>
    <t>Appearance</t>
  </si>
  <si>
    <t>Aper</t>
  </si>
  <si>
    <t>The outward or visible aspect of an entity.</t>
  </si>
  <si>
    <t>APPT</t>
  </si>
  <si>
    <t>Total Amyloid Precursor Protein</t>
  </si>
  <si>
    <t>A measurement of the total amyloid precursor protein present in a biological specimen.</t>
  </si>
  <si>
    <t>Total Amyloid Precursor Protein Measurement</t>
  </si>
  <si>
    <t>APRBRBTL</t>
  </si>
  <si>
    <t>Aprobarbital</t>
  </si>
  <si>
    <t>A measurement of the aprobarbital in a biological specimen.</t>
  </si>
  <si>
    <t>Aprobarbital Measurement</t>
  </si>
  <si>
    <t>APRECSEV</t>
  </si>
  <si>
    <t>Aortic Preductal Coarctation Severity</t>
  </si>
  <si>
    <t>The assessment of the severity of preductal aortic coarctation.</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</si>
  <si>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</si>
  <si>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</si>
  <si>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</si>
  <si>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</si>
  <si>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</si>
  <si>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</si>
  <si>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</si>
  <si>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</si>
  <si>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</si>
  <si>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</si>
  <si>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</si>
  <si>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</si>
  <si>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</si>
  <si>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</si>
  <si>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</si>
  <si>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APSE</t>
  </si>
  <si>
    <t>Annular Plane Systolic Excursion</t>
  </si>
  <si>
    <t>The longitudinal displacement of a cardiac valve annulus toward the apex of the heart.</t>
  </si>
  <si>
    <t>APSSCORE</t>
  </si>
  <si>
    <t>Amyloid Probability Score</t>
  </si>
  <si>
    <t>Amyloid Probability Score; APS; Plasma Amyloid Probability Score</t>
  </si>
  <si>
    <t>A probability score representing the estimated likelihood that the patient is amyloid positive on PET imaging.</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</si>
  <si>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</si>
  <si>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</si>
  <si>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</si>
  <si>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</si>
  <si>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</si>
  <si>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</si>
  <si>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</si>
  <si>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</si>
  <si>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</si>
  <si>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</si>
  <si>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</si>
  <si>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</si>
  <si>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</si>
  <si>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</si>
  <si>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</si>
  <si>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</si>
  <si>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</si>
  <si>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</si>
  <si>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AQMTRXSZ</t>
  </si>
  <si>
    <t>Image Acquisition Matrix Size</t>
  </si>
  <si>
    <t>A measurement of the number of data fields, pixels or data points assigned to each linear dimension in a digital image. (NCI)</t>
  </si>
  <si>
    <t>ARA</t>
  </si>
  <si>
    <t>Arachidonic Acid</t>
  </si>
  <si>
    <t>A measurement of the arachidonic acid present in a biological specimen.</t>
  </si>
  <si>
    <t>Arachidonic Acid Measurement</t>
  </si>
  <si>
    <t>ARAB</t>
  </si>
  <si>
    <t>Allergen-induced Antibody</t>
  </si>
  <si>
    <t>A measurement of the binding allergen-induced antibody in a biological specimen.</t>
  </si>
  <si>
    <t>Allergen-induced Antibody Measurement</t>
  </si>
  <si>
    <t>AREA</t>
  </si>
  <si>
    <t>Area</t>
  </si>
  <si>
    <t>The extent of a 2-dimensional surface enclosed within a boundary. (NCI)</t>
  </si>
  <si>
    <t>AREAEVD</t>
  </si>
  <si>
    <t>Area, End Ventricular Diastole</t>
  </si>
  <si>
    <t>The 2-dimensional surface enclosed within a boundary of a cardiovascular structure and measured at end ventricular diastole.</t>
  </si>
  <si>
    <t>Area at End Ventricular Diastole</t>
  </si>
  <si>
    <t>AREAEVS</t>
  </si>
  <si>
    <t>Area, End Ventricular Systole</t>
  </si>
  <si>
    <t>The 2-dimensional surface enclosed within a boundary of a cardiovascular structure and measured at end ventricular systole.</t>
  </si>
  <si>
    <t>Area at End Ventricular Systole</t>
  </si>
  <si>
    <t>AREG</t>
  </si>
  <si>
    <t>Amphiregulin</t>
  </si>
  <si>
    <t>Amphiregulin; Schwannoma-Derived Growth Factor; SDGF</t>
  </si>
  <si>
    <t>A measurement of the amphiregulin in a biological specimen.</t>
  </si>
  <si>
    <t>Amphiregulin Measurement</t>
  </si>
  <si>
    <t>ARG</t>
  </si>
  <si>
    <t>Arginine</t>
  </si>
  <si>
    <t>A measurement of the arginine in a biological specimen.</t>
  </si>
  <si>
    <t>Arginine Measurement</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</si>
  <si>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</si>
  <si>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</si>
  <si>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</si>
  <si>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</si>
  <si>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</si>
  <si>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ARGSAC</t>
  </si>
  <si>
    <t>Argininosuccinic Acid</t>
  </si>
  <si>
    <t>Argininosuccinate; Argininosuccinic Acid</t>
  </si>
  <si>
    <t>A measurement of the argininosuccinic acid in a biological specimen.</t>
  </si>
  <si>
    <t>Argininosuccinic Acid Measurement</t>
  </si>
  <si>
    <t>ARIGAAB</t>
  </si>
  <si>
    <t>Allergen-induced IgA Antibody</t>
  </si>
  <si>
    <t>A measurement of the binding allergen-induced IgA antibody in a biological specimen.</t>
  </si>
  <si>
    <t>Allergen-induced IgA Antibody Measurement</t>
  </si>
  <si>
    <t>ARIGEAB</t>
  </si>
  <si>
    <t>Allergen-induced IgE Antibody</t>
  </si>
  <si>
    <t>A measurement of the binding allergen-induced IgE antibody in a biological specimen.</t>
  </si>
  <si>
    <t>Allergen-induced IgE Antibody Measurement</t>
  </si>
  <si>
    <t>ARIGG4AB</t>
  </si>
  <si>
    <t>Allergen-induced IgG4 Antibody</t>
  </si>
  <si>
    <t>A measurement of the binding allergen-induced IgG4 antibody in a biological specimen.</t>
  </si>
  <si>
    <t>Allergen-induced IgG4 Antibody Measurement</t>
  </si>
  <si>
    <t>ARIGGAB</t>
  </si>
  <si>
    <t>Allergen-induced IgG Antibody</t>
  </si>
  <si>
    <t>A measurement of the binding allergen-induced IgG antibody in a biological specimen.</t>
  </si>
  <si>
    <t>Allergen-induced IgG Antibody Measurement</t>
  </si>
  <si>
    <t>ARIGMAB</t>
  </si>
  <si>
    <t>Allergen-induced IgM Antibody</t>
  </si>
  <si>
    <t>A measurement of the binding allergen-induced IgM antibody in a biological specimen.</t>
  </si>
  <si>
    <t>Allergen-induced IgM Antibody Measurement</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</si>
  <si>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</si>
  <si>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</si>
  <si>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</si>
  <si>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</si>
  <si>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ARPIPZL</t>
  </si>
  <si>
    <t>Aripiprazole</t>
  </si>
  <si>
    <t>A measurement of the aripiprazole in a biological specimen.</t>
  </si>
  <si>
    <t>Aripiprazole Measurement</t>
  </si>
  <si>
    <t>ARR</t>
  </si>
  <si>
    <t>Aldosterone/Renin Activity</t>
  </si>
  <si>
    <t>A relative measurement (ratio) of the aldosterone to renin activity in a biological specimen.</t>
  </si>
  <si>
    <t>Aldosterone to Renin Activity Ratio Measurement</t>
  </si>
  <si>
    <t>ARSENIC</t>
  </si>
  <si>
    <t>Arsenic</t>
  </si>
  <si>
    <t>Arsenic; As</t>
  </si>
  <si>
    <t>A measurement of the arsenic in a specimen.</t>
  </si>
  <si>
    <t>Arsenic Measurement</t>
  </si>
  <si>
    <t>ASENAPN</t>
  </si>
  <si>
    <t>Asenapine</t>
  </si>
  <si>
    <t>A measurement of the asenapine in a biological specimen.</t>
  </si>
  <si>
    <t>Asenapine Measurement</t>
  </si>
  <si>
    <t>ASMACT</t>
  </si>
  <si>
    <t>Alpha-Smooth Muscle Actin</t>
  </si>
  <si>
    <t>Alpha-Actin 2; Alpha-SMA; Alpha-Smooth Muscle Actin</t>
  </si>
  <si>
    <t>A measurement of the alpha-smooth muscle actin in a biological specimen.</t>
  </si>
  <si>
    <t>Alpha-Smooth Muscle Actin Measurement</t>
  </si>
  <si>
    <t>ASN</t>
  </si>
  <si>
    <t>Asparagine</t>
  </si>
  <si>
    <t>A measurement of the asparagine in a biological specimen.</t>
  </si>
  <si>
    <t>Asparagine Measurement</t>
  </si>
  <si>
    <t>ASP</t>
  </si>
  <si>
    <t>Aspartic Acid</t>
  </si>
  <si>
    <t>Aspartate; Aspartic Acid</t>
  </si>
  <si>
    <t>A measurement of the aspartic acid in a biological specimen.</t>
  </si>
  <si>
    <t>Aspartic Acid Measurement</t>
  </si>
  <si>
    <t>ASPAG</t>
  </si>
  <si>
    <t>Aspergillus Antigen</t>
  </si>
  <si>
    <t>A measurement of the antigen from any member of the genus Aspergillus in a biological specimen.</t>
  </si>
  <si>
    <t>Aspergillus Antigen Measurement</t>
  </si>
  <si>
    <t>ASPDNA</t>
  </si>
  <si>
    <t>Aspergillus DNA</t>
  </si>
  <si>
    <t>A measurement of the DNA from any member of the genus Aspergillus in a biological specimen.</t>
  </si>
  <si>
    <t>Aspergillus DNA Measurement</t>
  </si>
  <si>
    <t>ASPERGIL</t>
  </si>
  <si>
    <t>Aspergillus</t>
  </si>
  <si>
    <t>A measurement of the organisms that are not assigned to the species level but are assigned to the Aspergillus genus level in a biological specimen.</t>
  </si>
  <si>
    <t>Aspergillus Measurement</t>
  </si>
  <si>
    <t>ASRINDEX</t>
  </si>
  <si>
    <t>Allergen Skin Response Index</t>
  </si>
  <si>
    <t>A relative measurement (ratio or percentage) of the allergen wheal size to the positive control wheal size in an allergen skin test.</t>
  </si>
  <si>
    <t>SR</t>
  </si>
  <si>
    <t>ASRINT</t>
  </si>
  <si>
    <t>Allergen Skin Response Intensity</t>
  </si>
  <si>
    <t>A semi-quantitative assessment of the intensity of the wheal and flare reaction.</t>
  </si>
  <si>
    <t>ASSDNA</t>
  </si>
  <si>
    <t>Anti-Single Stranded DNA IgG</t>
  </si>
  <si>
    <t>A measurement of the anti-single stranded DNA IgG antibody in a biological specimen.</t>
  </si>
  <si>
    <t>Anti-Single Stranded DNA IgG Measurement</t>
  </si>
  <si>
    <t>AST</t>
  </si>
  <si>
    <t>Aspartate Aminotransferase</t>
  </si>
  <si>
    <t>Aspartate Aminotransferase; SGOT</t>
  </si>
  <si>
    <t>A measurement of the aspartate aminotransferase in a biological specimen.</t>
  </si>
  <si>
    <t>Aspartate Aminotransferase Measurement</t>
  </si>
  <si>
    <t>ASTAG</t>
  </si>
  <si>
    <t>Aspartate Aminotransferase Antigen</t>
  </si>
  <si>
    <t>Aspartate Aminotransferase Antigen; SGOT Antigen</t>
  </si>
  <si>
    <t>A measurement of the aspartate aminotransferase antigen in a biological specimen.</t>
  </si>
  <si>
    <t>Aspartate Aminotransferase Antigen Measurement</t>
  </si>
  <si>
    <t>ASTALT</t>
  </si>
  <si>
    <t>AST/ALT</t>
  </si>
  <si>
    <t>A relative measurement (ratio or percentage) of the aspartate aminotransferase (AST) to alanine aminotransferase (ALT) present in a sample.</t>
  </si>
  <si>
    <t>Aspartate Aminotransferase to Alanine Aminotransferase Ratio Measurement</t>
  </si>
  <si>
    <t>OE</t>
  </si>
  <si>
    <t>ASTAXIS</t>
  </si>
  <si>
    <t>Astigmatism Axis</t>
  </si>
  <si>
    <t>A measurement of the location, in degrees, of the flatter principal meridian on a 180-degree scale, where 90 degrees designates the vertical meridian and 180 degrees designates the horizontal meridian.</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</si>
  <si>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</si>
  <si>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</si>
  <si>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</si>
  <si>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</si>
  <si>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</si>
  <si>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</si>
  <si>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</si>
  <si>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</si>
  <si>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</si>
  <si>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</si>
  <si>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ASTCREAT</t>
  </si>
  <si>
    <t>Aspartate Aminotransferase/Creatinine</t>
  </si>
  <si>
    <t>A relative measurement (ratio or percentage) of the aspartate aminotransferase to creatinine in a biological specimen.</t>
  </si>
  <si>
    <t>Aspartate Aminotransferase to Creatinine Ratio Measurement</t>
  </si>
  <si>
    <t>ASTDLG3A</t>
  </si>
  <si>
    <t>3-Alpha-Androstanediol Glucuronide</t>
  </si>
  <si>
    <t>A measurement of the 3-alpha-androstanediol glucuronide in a biological specimen.</t>
  </si>
  <si>
    <t>3-Alpha-Androstanediol Glucuronide Measurement</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</si>
  <si>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</si>
  <si>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</si>
  <si>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</si>
  <si>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</si>
  <si>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</si>
  <si>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ASYNP</t>
  </si>
  <si>
    <t>Alpha Synuclein Protein</t>
  </si>
  <si>
    <t>A measurement of the alpha synuclein protein in a biological specimen.</t>
  </si>
  <si>
    <t>Alpha Synuclein Protein Measurement</t>
  </si>
  <si>
    <t>ATAB</t>
  </si>
  <si>
    <t>Autoantibody</t>
  </si>
  <si>
    <t>A measurement of the binding autoantibody in a biological specimen.</t>
  </si>
  <si>
    <t>Autoantibody Measurement</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</si>
  <si>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</si>
  <si>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</si>
  <si>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</si>
  <si>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</si>
  <si>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</si>
  <si>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</si>
  <si>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</si>
  <si>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</si>
  <si>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</si>
  <si>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</si>
  <si>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</si>
  <si>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</si>
  <si>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</si>
  <si>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</si>
  <si>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ATIGAAB</t>
  </si>
  <si>
    <t>IgA Autoantibody</t>
  </si>
  <si>
    <t>A measurement of the binding IgA autoantibody in a biological specimen.</t>
  </si>
  <si>
    <t>IgA Autoantibody Measurement</t>
  </si>
  <si>
    <t>ATIGG1AB</t>
  </si>
  <si>
    <t>IgG1 Autoantibody</t>
  </si>
  <si>
    <t>A measurement of the binding IgG1 autoantibody in a biological specimen.</t>
  </si>
  <si>
    <t>IgG1 Autoantibody Measurement</t>
  </si>
  <si>
    <t>ATIGG2AB</t>
  </si>
  <si>
    <t>IgG2 Autoantibody</t>
  </si>
  <si>
    <t>A measurement of the binding IgG2 autoantibody in a biological specimen.</t>
  </si>
  <si>
    <t>IgG2 Autoantibody Measurement</t>
  </si>
  <si>
    <t>ATIGG3AB</t>
  </si>
  <si>
    <t>IgG3 Autoantibody</t>
  </si>
  <si>
    <t>A measurement of the binding IgG3 autoantibody in a biological specimen.</t>
  </si>
  <si>
    <t>IgG3 Autoantibody Measurement</t>
  </si>
  <si>
    <t>ATIGGAB</t>
  </si>
  <si>
    <t>IgG Autoantibody</t>
  </si>
  <si>
    <t>A measurement of the binding IgG autoantibody in a biological specimen.</t>
  </si>
  <si>
    <t>IgG Autoantibody Measurement</t>
  </si>
  <si>
    <t>ATIGMAB</t>
  </si>
  <si>
    <t>IgM Autoantibody</t>
  </si>
  <si>
    <t>A measurement of the binding IgM autoantibody in a biological specimen.</t>
  </si>
  <si>
    <t>IgM Autoantibody Measurement</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</si>
  <si>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</si>
  <si>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</si>
  <si>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</si>
  <si>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</si>
  <si>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</si>
  <si>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ATNRFX</t>
  </si>
  <si>
    <t>Asymmetric Tonic Neck Reflex</t>
  </si>
  <si>
    <t>Asymmetric Tonic Neck Reflex; ATNR</t>
  </si>
  <si>
    <t>An involuntary, primal response in the neonate in which the arm extends to follow the infant's gaze, while the opposing arm and leg flex inward.</t>
  </si>
  <si>
    <t>Tonic Neck Reflex</t>
  </si>
  <si>
    <t>ATP</t>
  </si>
  <si>
    <t>Adenosine Triphosphate</t>
  </si>
  <si>
    <t>A measurement of the adenosine triphosphate in a biological specimen.</t>
  </si>
  <si>
    <t>Adenosine Triphosphate Measurement</t>
  </si>
  <si>
    <t>ATPVITE</t>
  </si>
  <si>
    <t>Alpha Tocopherol/Vitamin E</t>
  </si>
  <si>
    <t>A relative measurement (ratio or percentage) of alpha-tocopherol to the total vitamin E in a biological specimen.</t>
  </si>
  <si>
    <t>Alpha Tocopherol to Vitamin E Ratio Measurement</t>
  </si>
  <si>
    <t>ATROPHY</t>
  </si>
  <si>
    <t>Atrophy</t>
  </si>
  <si>
    <t>An evaluation of atrophy (decrease in size, deterioration, and/or wasting) in a biological specimen or location.</t>
  </si>
  <si>
    <t>Atrophy Assessment</t>
  </si>
  <si>
    <t>ATTCRCT</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</si>
  <si>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</si>
  <si>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t>
  </si>
  <si>
    <t>Attenuation Correction</t>
  </si>
  <si>
    <t>AUERRODS</t>
  </si>
  <si>
    <t>Auer Rods</t>
  </si>
  <si>
    <t>A measurement of the Auer rods (elongated needle structures that are found in the cytoplasm of leukemic blasts and are formed by clumps of azurophilic granular material) in a biological specimen.</t>
  </si>
  <si>
    <t>Auer Rod Measurement</t>
  </si>
  <si>
    <t>AVCOND</t>
  </si>
  <si>
    <t>Atrioventricular Conduction</t>
  </si>
  <si>
    <t>An electrocardiographic assessment of cardiac atrioventricular conduction.</t>
  </si>
  <si>
    <t>Atrioventricular Conduction ECG Assessment</t>
  </si>
  <si>
    <t>HE</t>
  </si>
  <si>
    <t>AVRGF</t>
  </si>
  <si>
    <t>Aortic Valve Regurgitant Fraction</t>
  </si>
  <si>
    <t>A measurement of the volume of retrograde blood flow across the orifice of the aortic valve expressed as a percentage of the anterograde flow volume.</t>
  </si>
  <si>
    <t>AVRGJW</t>
  </si>
  <si>
    <t>Aortic Valve Regurgitant Jet Width</t>
  </si>
  <si>
    <t>The measured width of the regurgitant jet of blood into the left ventricular outflow tract.</t>
  </si>
  <si>
    <t>AVRGVOL</t>
  </si>
  <si>
    <t>Aortic Valve Regurgitant Volume</t>
  </si>
  <si>
    <t>A measurement of the volume of retrograde blood flow across the orifice of the aortic valve.</t>
  </si>
  <si>
    <t>AVVCA</t>
  </si>
  <si>
    <t>Aortic Valve Vena Contracta Area</t>
  </si>
  <si>
    <t>The area of the vena contracta of the aortic valve.</t>
  </si>
  <si>
    <t>AVVCW</t>
  </si>
  <si>
    <t>Aortic Valve Vena Contracta Width</t>
  </si>
  <si>
    <t>The width of the vena contracta of the aortic valve.</t>
  </si>
  <si>
    <t>AWVOL</t>
  </si>
  <si>
    <t>Airway Volume</t>
  </si>
  <si>
    <t>The total volume of gas in a specified airway or set of airways at a specified point in time in the respiratory cycle.</t>
  </si>
  <si>
    <t>AWVOLPP</t>
  </si>
  <si>
    <t>Percent Predicted Airway Volume</t>
  </si>
  <si>
    <t>The total volume of gas in a specified airway or set of airways at a specified point in time in the respiratory cycle, expressed as a proportion of the predicted normal value.</t>
  </si>
  <si>
    <t>AWWVOL</t>
  </si>
  <si>
    <t>Airway Wall Volume</t>
  </si>
  <si>
    <t>The volume of the entirety of the airway tissue in a specified intrapulmonary region.</t>
  </si>
  <si>
    <t>AXISVOLT</t>
  </si>
  <si>
    <t>Axis and Voltage</t>
  </si>
  <si>
    <t>An electrocardiographic assessment of mean cardiac electrical vector and the ECG voltage.</t>
  </si>
  <si>
    <t>Axis and Voltage ECG Assessment</t>
  </si>
  <si>
    <t>AXL</t>
  </si>
  <si>
    <t>AXL Receptor Tyrosine Kinase</t>
  </si>
  <si>
    <t>ARK; AXL Receptor Tyrosine Kinase; JTK11; Tyro7; UFO</t>
  </si>
  <si>
    <t>A measurement of the AXL receptor tyrosine kinase in a biological specimen.</t>
  </si>
  <si>
    <t>AXL Receptor Tyrosine Kinase Measurement</t>
  </si>
  <si>
    <t>AXY</t>
  </si>
  <si>
    <t>Achromobacter xylosoxidans</t>
  </si>
  <si>
    <t>A measurement of the Achromobacter xylosoxidans in a biological specimen.</t>
  </si>
  <si>
    <t>Achromobacter xylosoxidans Measurement</t>
  </si>
  <si>
    <t>AZURGRAN</t>
  </si>
  <si>
    <t>Azurophilic Granules</t>
  </si>
  <si>
    <t>Azurophilic Granulation; Azurophilic Granules</t>
  </si>
  <si>
    <t>An observation of azurophilic granules in a biological specimen.</t>
  </si>
  <si>
    <t>Azurophilic Granule Measurement</t>
  </si>
  <si>
    <t>B19V</t>
  </si>
  <si>
    <t>Human Parvovirus B19</t>
  </si>
  <si>
    <t>A measurement of the Human Parvovirus B19 in a biological specimen.</t>
  </si>
  <si>
    <t>Human Parvovirus B19 Measurement</t>
  </si>
  <si>
    <t>B19VDNA</t>
  </si>
  <si>
    <t>Human Parvovirus B19 DNA</t>
  </si>
  <si>
    <t>A measurement of the Human Parvovirus B19 DNA in a biological specimen.</t>
  </si>
  <si>
    <t>Human Parvovirus B19 DNA Measurement</t>
  </si>
  <si>
    <t>B1BGLP</t>
  </si>
  <si>
    <t>Beta-1B Glycoprotein</t>
  </si>
  <si>
    <t>Beta-1B Glycoprotein; Hemopexin; HPX</t>
  </si>
  <si>
    <t>A measurement of the beta-1B glycoprotein in a biological specimen.</t>
  </si>
  <si>
    <t>Beta-1B Glycoprotein Measurement</t>
  </si>
  <si>
    <t>B2MCREAT</t>
  </si>
  <si>
    <t>Beta-2 Microglobulin/Creatinine</t>
  </si>
  <si>
    <t>A relative measurement (ratio) of the beta-2 microglobulin to creatinine in a biological specimen.</t>
  </si>
  <si>
    <t>Beta-2 Microglobulin to Creatinine Ratio Measurement</t>
  </si>
  <si>
    <t>B2MICG</t>
  </si>
  <si>
    <t>Beta-2 Microglobulin</t>
  </si>
  <si>
    <t>A measurement of the beta-2 microglobulin in a biological specimen.</t>
  </si>
  <si>
    <t>Beta-2 Microglobulin Measurement</t>
  </si>
  <si>
    <t>BABEDNA</t>
  </si>
  <si>
    <t>Babesia DNA</t>
  </si>
  <si>
    <t>A measurement of the DNA from any member of the genus Babesia in a biological specimen.</t>
  </si>
  <si>
    <t>Babesia DNA Measurement</t>
  </si>
  <si>
    <t>BABS</t>
  </si>
  <si>
    <t>BLym Ab-Secreting</t>
  </si>
  <si>
    <t>B-Lymphocytes Antibody-Secreting; BLym Ab-Secreting; BLym AbSc</t>
  </si>
  <si>
    <t>A measurement of the antibody-secreting B-lymphocytes in a biological specimen.</t>
  </si>
  <si>
    <t>Antibody-secreting B-Lymphocytes Count</t>
  </si>
  <si>
    <t>BABSB</t>
  </si>
  <si>
    <t>BLym Ab-Secreting/BLym</t>
  </si>
  <si>
    <t>B-Lymphocytes Antibody-Secreting/B-Lymphocytes; BLym Ab-Secreting/Blym; BLym AbSc/BLym</t>
  </si>
  <si>
    <t>A relative measurement (ratio or percentage) of the antibody-secreting B-lymphocytes to total B-lymphocytes in a biological specimen.</t>
  </si>
  <si>
    <t>Antibody-secreting B-Lymphocyte to B-Lymphocyte Ratio Measurement</t>
  </si>
  <si>
    <t>BABSLE</t>
  </si>
  <si>
    <t>BLym Ab-Secreting/Leuk</t>
  </si>
  <si>
    <t>B-Lymphocytes Antibody-Secreting/Leukocytes; BLym Ab-Secreting/Leuk; BLym AbSc/Leuk</t>
  </si>
  <si>
    <t>A relative measurement (ratio or percentage) of the antibody-secreting B-lymphocytes to leukocytes in a biological specimen.</t>
  </si>
  <si>
    <t>Antibody-secreting B-Lymphocyte to Leukocyte Ratio Measurement</t>
  </si>
  <si>
    <t>BABSP</t>
  </si>
  <si>
    <t>BLym Ab-Secreting Sub/BLym AbSc</t>
  </si>
  <si>
    <t>B-Lymphocytes Antibody-Secreting Sub-Population/B-Lymphocytes Antibody-Secreting; BLym Ab-Secreting Sub/BLym AbSc; BLym AbSc Sub/BLym AbSc</t>
  </si>
  <si>
    <t>A relative measurement (ratio or percentage) of a sub-population of antibody-secreting B-lymphocytes to antibody-secreting B-lymphocytes in a biological specimen.</t>
  </si>
  <si>
    <t>Antibody-secreting B-Lymphocyte Subpopulation to Antibody-secreting B-Lymphocyte Ratio Measurement</t>
  </si>
  <si>
    <t>BACBLACT</t>
  </si>
  <si>
    <t>Bacterial Beta-lactamase</t>
  </si>
  <si>
    <t>A measurement of the bacterial enzyme beta-lactamase in a biological specimen.</t>
  </si>
  <si>
    <t>Bacterial Beta-lactamase Measurement</t>
  </si>
  <si>
    <t>BACILLE</t>
  </si>
  <si>
    <t>Bacilli/Leukocytes</t>
  </si>
  <si>
    <t>A relative measurement (ratio or percentage) of the bacilli to leukocytes in a biological specimen.</t>
  </si>
  <si>
    <t>Bacillus to Leukocyte Ratio Measurement</t>
  </si>
  <si>
    <t>BACILLI</t>
  </si>
  <si>
    <t>Bacilli</t>
  </si>
  <si>
    <t>Bacilli; Rod-shaped Bacteria</t>
  </si>
  <si>
    <t>A measurement of the rod-shaped bacilli in a biological specimen.</t>
  </si>
  <si>
    <t>Bacillus Measurement</t>
  </si>
  <si>
    <t>BACILLOT</t>
  </si>
  <si>
    <t>Bacillota</t>
  </si>
  <si>
    <t>A measurement of the organisms that are not assigned to the species level but are assigned to the Bacillota phylum level in a biological specimen.</t>
  </si>
  <si>
    <t>Bacillota Measurement</t>
  </si>
  <si>
    <t>BACLPSAG</t>
  </si>
  <si>
    <t>Bacterial Lipopolysaccharide Antigen</t>
  </si>
  <si>
    <t>A measurement of the lipopolysaccharide antigen from bacteria in a biological specimen.</t>
  </si>
  <si>
    <t>Bacterial Lipopolysaccharide Antigen Measurement</t>
  </si>
  <si>
    <t>BACT</t>
  </si>
  <si>
    <t>Bacteria</t>
  </si>
  <si>
    <t>A measurement of the bacteria in a biological specimen.</t>
  </si>
  <si>
    <t>Bacterial Count</t>
  </si>
  <si>
    <t>BACTEROI</t>
  </si>
  <si>
    <t>Bacteroidia</t>
  </si>
  <si>
    <t>A measurement of the organisms that are not assigned to the species level but are assigned to the Bacteroidia phylum level in a biological specimen.</t>
  </si>
  <si>
    <t>Bacteroidia Measurement</t>
  </si>
  <si>
    <t>BAFF</t>
  </si>
  <si>
    <t>B-Cell Activating Factor</t>
  </si>
  <si>
    <t>A measurement of the B-cell activating factor in a biological specimen.</t>
  </si>
  <si>
    <t>B-Cell Activating Factor Measurement</t>
  </si>
  <si>
    <t>BALA</t>
  </si>
  <si>
    <t>Beta Alanine</t>
  </si>
  <si>
    <t>A measurement of the beta alanine in a biological specimen.</t>
  </si>
  <si>
    <t>Beta Alanine Measurement</t>
  </si>
  <si>
    <t>BAM</t>
  </si>
  <si>
    <t>Burkholderia ambifaria</t>
  </si>
  <si>
    <t>A measurement of the Burkholderia ambifaria in a biological specimen.</t>
  </si>
  <si>
    <t>Burkholderia ambifaria Measurement</t>
  </si>
  <si>
    <t>BAMBTAC</t>
  </si>
  <si>
    <t>Beta-Aminobutyric Acid</t>
  </si>
  <si>
    <t>BABA; Beta-aminobutyrate; Beta-Aminobutyric Acid</t>
  </si>
  <si>
    <t>A measurement of the beta-aminobutyric acid in a biological specimen.</t>
  </si>
  <si>
    <t>Beta-Aminobutyric Acid Measurement</t>
  </si>
  <si>
    <t>BAN</t>
  </si>
  <si>
    <t>Burkholderia anthina</t>
  </si>
  <si>
    <t>A measurement of the Burkholderia anthina in a biological specimen.</t>
  </si>
  <si>
    <t>Burkholderia anthina Measurement</t>
  </si>
  <si>
    <t>BARB</t>
  </si>
  <si>
    <t>Barbiturates</t>
  </si>
  <si>
    <t>A measurement of any barbiturate class drug present in a biological specimen.</t>
  </si>
  <si>
    <t>Barbiturate Drug Class Measurement</t>
  </si>
  <si>
    <t>BASEDEF</t>
  </si>
  <si>
    <t>Base Deficit</t>
  </si>
  <si>
    <t>A measurement of the amount of alkali required to return a biological specimen to a normal pH under standard conditions.</t>
  </si>
  <si>
    <t>BASEEXCS</t>
  </si>
  <si>
    <t>Base Excess</t>
  </si>
  <si>
    <t>Actual Base Excess; Base Excess</t>
  </si>
  <si>
    <t>A calculated measurement of the amount of acid required to return blood to a normal pH under standard conditions.</t>
  </si>
  <si>
    <t>Base Excess Measurement</t>
  </si>
  <si>
    <t>BASO</t>
  </si>
  <si>
    <t>Basophils</t>
  </si>
  <si>
    <t>A measurement of the basophils in a biological specimen.</t>
  </si>
  <si>
    <t>Absolute Basophil Count</t>
  </si>
  <si>
    <t>BASOB</t>
  </si>
  <si>
    <t>Basophils Band Form</t>
  </si>
  <si>
    <t>A measurement of the banded basophils in a biological specimen.</t>
  </si>
  <si>
    <t>Basophil Band Form Count</t>
  </si>
  <si>
    <t>BASOBLE</t>
  </si>
  <si>
    <t>Basophils Band Form/Leukocytes</t>
  </si>
  <si>
    <t>A relative measurement (ratio or percentage) of the banded basophils to leukocytes in a biological specimen.</t>
  </si>
  <si>
    <t>Basophil Band Form to Leukocytes Ratio Measurement</t>
  </si>
  <si>
    <t>BASOCE</t>
  </si>
  <si>
    <t>Basophils/Total Cells</t>
  </si>
  <si>
    <t>A relative measurement (ratio or percentage) of the basophils to total cells in a biological specimen (for example a bone marrow specimen).</t>
  </si>
  <si>
    <t>Basophil to Total Cell Ratio Measurement</t>
  </si>
  <si>
    <t>BASOIM</t>
  </si>
  <si>
    <t>Immature Basophils</t>
  </si>
  <si>
    <t>A measurement of the immature basophils in a biological specimen.</t>
  </si>
  <si>
    <t>Immature Basophil Count</t>
  </si>
  <si>
    <t>BASOIMLE</t>
  </si>
  <si>
    <t>Immature Basophils/Leukocytes</t>
  </si>
  <si>
    <t>A relative measurement (ratio or percentage) of immature basophils to total leukocytes in a biological specimen.</t>
  </si>
  <si>
    <t>Immature Basophil to Leukocyte Ratio Measurement</t>
  </si>
  <si>
    <t>BASOLE</t>
  </si>
  <si>
    <t>Basophils/Leukocytes</t>
  </si>
  <si>
    <t>A relative measurement (ratio or percentage) of the basophils to leukocytes in a biological specimen.</t>
  </si>
  <si>
    <t>Basophil to Leukocyte Ratio</t>
  </si>
  <si>
    <t>BASOMM</t>
  </si>
  <si>
    <t>Basophilic Metamyelocytes</t>
  </si>
  <si>
    <t>A measurement of the basophilic metamyelocytes in a biological specimen.</t>
  </si>
  <si>
    <t>Basophilic Metamyelocyte Count</t>
  </si>
  <si>
    <t>BASOMYL</t>
  </si>
  <si>
    <t>Basophilic Myelocytes</t>
  </si>
  <si>
    <t>A measurement of the basophilic myelocytes in a biological specimen.</t>
  </si>
  <si>
    <t>Basophilic Myelocyte Count</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</si>
  <si>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</si>
  <si>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</si>
  <si>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</si>
  <si>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</si>
  <si>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BASOSG</t>
  </si>
  <si>
    <t>Basophils, Segmented</t>
  </si>
  <si>
    <t>A measurement of the segmented basophils in a biological specimen.</t>
  </si>
  <si>
    <t>Segmented Basophil Count</t>
  </si>
  <si>
    <t>BATCAPC</t>
  </si>
  <si>
    <t>Battery Capacity</t>
  </si>
  <si>
    <t>The total electric energy stored in a battery.</t>
  </si>
  <si>
    <t>BATNOMV</t>
  </si>
  <si>
    <t>Battery Nominal Voltage</t>
  </si>
  <si>
    <t>The average voltage that a battery can output when fully charged.</t>
  </si>
  <si>
    <t>BATSBATS</t>
  </si>
  <si>
    <t>BLym Aty Sub/BLym Aty Sub</t>
  </si>
  <si>
    <t>ATBLym Sub/ATBLym Sub; Atypical B-Lymphocytes Sub-Population/Atypical B-Lymphocytes Sub-Population; BLym Aty Sub/BLym Aty Sub</t>
  </si>
  <si>
    <t>A relative measurement (ratio or percentage) of a sub-population of atypical B-lymphocytes to a sub-population of atypical B-lymphocytes in a biological specimen.</t>
  </si>
  <si>
    <t>Atypical B-Lymphocyte Subpopulation to Atypical B-Lymphocyte Subpopulation Ratio Measurement</t>
  </si>
  <si>
    <t>BCE</t>
  </si>
  <si>
    <t>Burkholderia cenocepacia</t>
  </si>
  <si>
    <t>A measurement of the Burkholderia cenocepacia in a biological specimen.</t>
  </si>
  <si>
    <t>Burkholderia cenocepacia Measurement</t>
  </si>
  <si>
    <t>BCEFNCTN</t>
  </si>
  <si>
    <t>Beta-cell Function</t>
  </si>
  <si>
    <t>A measurement of the beta cell function (insulin production and secretion) in a biological specimen.</t>
  </si>
  <si>
    <t>Beta-Cell Function Measurement</t>
  </si>
  <si>
    <t>BCEPACIA</t>
  </si>
  <si>
    <t>Burkholderia cepacia</t>
  </si>
  <si>
    <t>B. cepacia; Burkholderia cepacia; Pseudomonas cepacia</t>
  </si>
  <si>
    <t>A measurement of the Burkholderia cepacia in a biological specimen.</t>
  </si>
  <si>
    <t>Burkholderia cepacia Measurement</t>
  </si>
  <si>
    <t>BCM</t>
  </si>
  <si>
    <t>Body Cell Mass</t>
  </si>
  <si>
    <t>An estimated measurement of the total mass of metabolically active cells in the body.</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</si>
  <si>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</si>
  <si>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</si>
  <si>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</si>
  <si>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</si>
  <si>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</si>
  <si>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BCMETHOD</t>
  </si>
  <si>
    <t>Birth Control Method</t>
  </si>
  <si>
    <t>The method by which conception or impregnation is prevented.</t>
  </si>
  <si>
    <t>BCMSBCMS</t>
  </si>
  <si>
    <t>BLym Classic MemSub/BLym Classic MemSub</t>
  </si>
  <si>
    <t>B-Lymphocytes Classical Memory Sub-Population/B-Lymphocytes Classical Memory Sub-Population; BLym Class Mem Sub/BLym Class Mem Sub; BLym Classic MemSub/BLym Classic MemSub; BLym Classical Mem Sub/BLym Classical Mem Sub</t>
  </si>
  <si>
    <t>A relative measurement (ratio or percentage) of a sub-population of classical memory B-lymphocytes to a sub population of classical memory B-lymphocytes in a biological specimen.</t>
  </si>
  <si>
    <t>Classical Memory B-Lymphocyte Subpopulation to Classical Memory B-Lymphocyte Subpopulation Ratio Measurement</t>
  </si>
  <si>
    <t>BCTSILDS</t>
  </si>
  <si>
    <t>Bacterial Sialidase</t>
  </si>
  <si>
    <t>A measurement of the bacterial sialidase enzyme in a biological specimen.</t>
  </si>
  <si>
    <t>Bacterial Sialidase Measurement</t>
  </si>
  <si>
    <t>BD2</t>
  </si>
  <si>
    <t>Beta-defensin 2</t>
  </si>
  <si>
    <t>A measurement of the beta-defensin 2 in a biological specimen.</t>
  </si>
  <si>
    <t>Beta-defensin 2 Measurement</t>
  </si>
  <si>
    <t>BDN</t>
  </si>
  <si>
    <t>BLym Dbl Neg</t>
  </si>
  <si>
    <t>B-Lymphocytes Double Negative; BLym Dbl Neg; BLym DN; BLym Double Neg</t>
  </si>
  <si>
    <t>A measurement of the double-negative B-lymphocytes (B-lymphocyte that are both CD27-IgD-) in a biological specimen.</t>
  </si>
  <si>
    <t>Double-Negative B-Lymphocyte Count</t>
  </si>
  <si>
    <t>BDNBLY</t>
  </si>
  <si>
    <t>BLym Dbl Neg/BLym</t>
  </si>
  <si>
    <t>B-Lymphocytes Double Negative/B-Lymphocytes; BLym Dbl Neg/BLym; BLym DN/BLym</t>
  </si>
  <si>
    <t>A relative measurement (ratio or percentage) of double negative B-lymphocytes to B-lymphocytes in a biological specimen.</t>
  </si>
  <si>
    <t>Double-Negative B-Lymphocyte to B-Lymphocyte Ratio Measurement</t>
  </si>
  <si>
    <t>BDNF</t>
  </si>
  <si>
    <t>Brain-Derived Neurotrophic Factor</t>
  </si>
  <si>
    <t>A measurement of the brain-derived neurotrophic factor in a biological specimen.</t>
  </si>
  <si>
    <t>Brain-Derived Neurotrophic Factor Measurement</t>
  </si>
  <si>
    <t>BDNS</t>
  </si>
  <si>
    <t>BLym Dbl Neg Sub</t>
  </si>
  <si>
    <t>B-Lymphocytes Double Negative Sub-Population; BLym Dbl Neg Sub; BLym DN Sub; BLym Double Neg Sub</t>
  </si>
  <si>
    <t>A measurement of a sub-population of double-negative B-lymphocytes (B-lymphocytes that are both CD27-IgD-) in a biological specimen.</t>
  </si>
  <si>
    <t>Double-Negative B-Lymphocyte Subpopulation Count</t>
  </si>
  <si>
    <t>BDNSBLY</t>
  </si>
  <si>
    <t>BLym Dbl Neg Sub/BLym</t>
  </si>
  <si>
    <t>B-Lymphocytes Double Negative Sub-Population/B-Lymphocytes; BLym Dbl Neg Sub/BLym; BLym DN Sub/BLym</t>
  </si>
  <si>
    <t>A relative measurement (ratio or percentage) of a sub-population of double negative B-lymphocytes to B-lymphocytes in a biological specimen.</t>
  </si>
  <si>
    <t>Double-Negative B-Lymphocyte Subpopulation to B-Lymphocyte Ratio Measurement</t>
  </si>
  <si>
    <t>BDNSP</t>
  </si>
  <si>
    <t>BLym Dbl Neg Sub/BLym Dbl Neg</t>
  </si>
  <si>
    <t>B-Lymphocytes Double Negative Sub-Population/B-Lymphocytes Double Negative; BLym Dbl Neg Sub/BLym Dbl Neg; BLym DN Sub/BLym DN</t>
  </si>
  <si>
    <t>A relative measurement (ratio or percentage) of a sub-population of double negative B-lymphocytes to double negative B-lymphocytes in a biological specimen.</t>
  </si>
  <si>
    <t>Double-Negative B-Lymphocyte Subpopulation to Double-Negative B-Lymphocyte Ratio Measurement</t>
  </si>
  <si>
    <t>BDO</t>
  </si>
  <si>
    <t>Burkholderia dolosa</t>
  </si>
  <si>
    <t>A measurement of the Burkholderia dolosa in a biological specimen.</t>
  </si>
  <si>
    <t>Burkholderia dolosa Measurement</t>
  </si>
  <si>
    <t>BENZENE</t>
  </si>
  <si>
    <t>Benzene</t>
  </si>
  <si>
    <t>A measurement of the benzene in a specimen.</t>
  </si>
  <si>
    <t>Benzene Measurement</t>
  </si>
  <si>
    <t>BERYLIUM</t>
  </si>
  <si>
    <t>Beryllium</t>
  </si>
  <si>
    <t>BE; Beryllium</t>
  </si>
  <si>
    <t>A measurement of the beryllium in a specimen.</t>
  </si>
  <si>
    <t>Beryllium Measurement</t>
  </si>
  <si>
    <t>BETACRTN</t>
  </si>
  <si>
    <t>Beta Carotene</t>
  </si>
  <si>
    <t>b-Carotene; Beta Carotene; Beta Carotin</t>
  </si>
  <si>
    <t>A measurement of the beta carotene in a biological specimen.</t>
  </si>
  <si>
    <t>Beta Carotene Measurement</t>
  </si>
  <si>
    <t>BETAINES</t>
  </si>
  <si>
    <t>Betaines</t>
  </si>
  <si>
    <t>A measurement of the betaine class compounds in a biological specimen.</t>
  </si>
  <si>
    <t>Betaines Measurement</t>
  </si>
  <si>
    <t>BFTNN</t>
  </si>
  <si>
    <t>Bufotenine</t>
  </si>
  <si>
    <t>A measurement of the bufotenine in a biological specimen.</t>
  </si>
  <si>
    <t>Bufotenine Measurement</t>
  </si>
  <si>
    <t>BGTCPHRL</t>
  </si>
  <si>
    <t>Beta+Gamma Tocopherol</t>
  </si>
  <si>
    <t>Beta and Gamma Tocopherol; Beta+Gamma Tocopherol</t>
  </si>
  <si>
    <t>A measurement of the beta and gamma tocopherol in a biological specimen.</t>
  </si>
  <si>
    <t>Beta and Gamma Tocopherol Measurement</t>
  </si>
  <si>
    <t>BHBACTAC</t>
  </si>
  <si>
    <t>Beta-Hydroxybutyrate/Acetoacetate</t>
  </si>
  <si>
    <t>A relative measurement (ratio) of the beta-hydroxybutyrate to acetoacetate in a biological specimen.</t>
  </si>
  <si>
    <t>Beta-Hydroxybutyrate to Acetoacetate Ratio Measurement</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</si>
  <si>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</si>
  <si>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</si>
  <si>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</si>
  <si>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</si>
  <si>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</si>
  <si>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BHODNA</t>
  </si>
  <si>
    <t>Blastocystis hominis DNA</t>
  </si>
  <si>
    <t>A measurement of the Blastocystis hominis DNA in a biological specimen.</t>
  </si>
  <si>
    <t>Blastocystis hominis DNA Measurement</t>
  </si>
  <si>
    <t>BHYXBTR</t>
  </si>
  <si>
    <t>Beta-Hydroxybutyrate</t>
  </si>
  <si>
    <t>3-Hydroxybutyrate; B-Hydroxybutyrate; Beta-Hydroxybutyrate; Beta-Hydroxybutyric Acid; BHB</t>
  </si>
  <si>
    <t>A measurement of the total Beta-hydroxybutyrate in a biological specimen.</t>
  </si>
  <si>
    <t>Beta-Hydroxybutyrate Measurement</t>
  </si>
  <si>
    <t>BICARB</t>
  </si>
  <si>
    <t>Bicarbonate</t>
  </si>
  <si>
    <t>Bicarbonate; HCO3</t>
  </si>
  <si>
    <t>A measurement of the bicarbonate in a biological specimen.</t>
  </si>
  <si>
    <t>Bicarbonate Measurement</t>
  </si>
  <si>
    <t>BIGG</t>
  </si>
  <si>
    <t>BLym IgG+</t>
  </si>
  <si>
    <t>B-Lymphocytes IgG+; BLym IgG+</t>
  </si>
  <si>
    <t>A measurement of the IgG+ B-lymphocytes in a biological specimen.</t>
  </si>
  <si>
    <t>IgG-positive B-Lymphocyte Count</t>
  </si>
  <si>
    <t>BIGGBLY</t>
  </si>
  <si>
    <t>BLym IgG+/BLym</t>
  </si>
  <si>
    <t>B-Lymphocytes IgG+/B-Lymphocytes; BLym IgG+/BLym</t>
  </si>
  <si>
    <t>A relative measurement (ratio or percentage) of the IgG+ B-lymphocytes to total B-lymphocytes in a biological specimen.</t>
  </si>
  <si>
    <t>IgG-positive B-Lymphocyte to B-Lymphocyte Ratio Measurement</t>
  </si>
  <si>
    <t>BIGM</t>
  </si>
  <si>
    <t>BLym IgM+</t>
  </si>
  <si>
    <t>B-Lymphocytes IgM+; BLym IgM+</t>
  </si>
  <si>
    <t>A measurement of the IgM+ B-lymphocytes in a biological specimen.</t>
  </si>
  <si>
    <t>IgM-positive B-Lymphocyte Count</t>
  </si>
  <si>
    <t>BIGMBLY</t>
  </si>
  <si>
    <t>BLym IgM+/BLym</t>
  </si>
  <si>
    <t>B-Lymphocytes IgM+/B-Lymphocytes; BLym IgM+/BLym</t>
  </si>
  <si>
    <t>A relative measurement (ratio or percentage) of the IgM+ B-lymphocytes to total B-lymphocytes in a biological specimen.</t>
  </si>
  <si>
    <t>IgM-positive B-Lymphocyte to B-Lymphocyte Ratio Measurement</t>
  </si>
  <si>
    <t>BILDELTA</t>
  </si>
  <si>
    <t>Delta Bilirubin</t>
  </si>
  <si>
    <t>Albumin-Bound Bilirubin; Biliprotein; Delta Bilirubin; Delta Fraction</t>
  </si>
  <si>
    <t>A measurement of the albumin-bound bilirubin in a biological specimen.</t>
  </si>
  <si>
    <t>Delta Bilirubin Measurement</t>
  </si>
  <si>
    <t>BILDIR</t>
  </si>
  <si>
    <t>Direct Bilirubin</t>
  </si>
  <si>
    <t>Conjugated Bilirubin + Albumin-Bound Bilirubin; Conjugated Bilirubin + Delta Bilirubin; Direct Bilirubin</t>
  </si>
  <si>
    <t>A measurement of the glucuronidated bilirubin and albumin-bound bilirubin in a biological specimen.</t>
  </si>
  <si>
    <t>Direct Bilirubin Measurement</t>
  </si>
  <si>
    <t>BILDIRBI</t>
  </si>
  <si>
    <t>Direct Bilirubin/Bilirubin</t>
  </si>
  <si>
    <t>A relative measurement (ratio or percentage) of the direct bilirubin to total bilirubin in a biological specimen.</t>
  </si>
  <si>
    <t>Direct Bilirubin to Bilirubin Ratio Measurement</t>
  </si>
  <si>
    <t>BILEAC</t>
  </si>
  <si>
    <t>Bile Acid</t>
  </si>
  <si>
    <t>Bile Acid; Bile Acids; Bile Salt; Bile Salts</t>
  </si>
  <si>
    <t>A measurement of the total bile acids in a biological specimen.</t>
  </si>
  <si>
    <t>Bile Acid Measurement</t>
  </si>
  <si>
    <t>BILGLC</t>
  </si>
  <si>
    <t>Glucuronidated Bilirubin</t>
  </si>
  <si>
    <t>Conjugated Bilirubin; Glucuronidated Bilirubin</t>
  </si>
  <si>
    <t>A measurement of the glucuronidated bilirubin (water soluble) in a biological specimen.</t>
  </si>
  <si>
    <t>Glucuronidated Bilirubin Measurement</t>
  </si>
  <si>
    <t>BILI</t>
  </si>
  <si>
    <t>Bilirubin</t>
  </si>
  <si>
    <t>Bilirubin; Total Bilirubin</t>
  </si>
  <si>
    <t>A measurement of the total bilirubin in a biological specimen.</t>
  </si>
  <si>
    <t>Total Bilirubin Measurement</t>
  </si>
  <si>
    <t>BILIND</t>
  </si>
  <si>
    <t>Indirect Bilirubin</t>
  </si>
  <si>
    <t>Indirect Bilirubin; Non-Glucuronidated Bilirubin; Unconjugated Bilirubin</t>
  </si>
  <si>
    <t>A measurement of the unconjugated or non-water-soluble bilirubin in a biological specimen.</t>
  </si>
  <si>
    <t>Indirect Bilirubin Measurement</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</si>
  <si>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</si>
  <si>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</si>
  <si>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</si>
  <si>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</si>
  <si>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</si>
  <si>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BIOBRON</t>
  </si>
  <si>
    <t>Number of Brothers, Biological</t>
  </si>
  <si>
    <t>The number of brothers that are biologically related to the subject. (NCI)</t>
  </si>
  <si>
    <t>Number of Biological Brothers</t>
  </si>
  <si>
    <t>BIOPSIND</t>
  </si>
  <si>
    <t>Biopsy Specimen Taken Indicator</t>
  </si>
  <si>
    <t>An indication as to whether a biopsy specimen was collected.</t>
  </si>
  <si>
    <t>BIOPSNUM</t>
  </si>
  <si>
    <t>Number of Biopsy Specimens Taken</t>
  </si>
  <si>
    <t>The total number of biopsy specimens collected.</t>
  </si>
  <si>
    <t>BIOSISN</t>
  </si>
  <si>
    <t>Number of Sisters, Biological</t>
  </si>
  <si>
    <t>The number of sisters that are biologically related to the subject. (NCI)</t>
  </si>
  <si>
    <t>Number of Biological Sisters</t>
  </si>
  <si>
    <t>BITECE</t>
  </si>
  <si>
    <t>Bite Cells</t>
  </si>
  <si>
    <t>A measurement of the bite cells (erythrocytes with the appearance of a bite having been removed, due to oxidative hemolysis) in a biological specimen.</t>
  </si>
  <si>
    <t>Bite Cell Count</t>
  </si>
  <si>
    <t>BJPROT</t>
  </si>
  <si>
    <t>Bence-Jones Protein</t>
  </si>
  <si>
    <t>A measurement of the total Bence-Jones protein in a biological specimen.</t>
  </si>
  <si>
    <t>Bence-Jones Protein Measurement</t>
  </si>
  <si>
    <t>BLAPCTL</t>
  </si>
  <si>
    <t>Body Length-for-Age Percentile</t>
  </si>
  <si>
    <t>An assessed relationship of an individual's body length and age to that of a reference population, expressed as a percentile.</t>
  </si>
  <si>
    <t>BLAST</t>
  </si>
  <si>
    <t>Blasts</t>
  </si>
  <si>
    <t>A measurement of the blast cells in a biological specimen.</t>
  </si>
  <si>
    <t>Blast Count</t>
  </si>
  <si>
    <t>BLASTCE</t>
  </si>
  <si>
    <t>Blasts/Total Cells</t>
  </si>
  <si>
    <t>A relative measurement (ratio or percentage) of the blasts to total cells in a biological specimen.</t>
  </si>
  <si>
    <t>Blasts to Total Cells Ratio Measurement</t>
  </si>
  <si>
    <t>BLASTERY</t>
  </si>
  <si>
    <t>Basophilic Erythroblast</t>
  </si>
  <si>
    <t>A measurement of the basophilic erythroblasts in a biological specimen taken from a non-human organism.</t>
  </si>
  <si>
    <t>Basophilic Erythroblast Count</t>
  </si>
  <si>
    <t>BLASTIMM</t>
  </si>
  <si>
    <t>Immunoblasts</t>
  </si>
  <si>
    <t>Immunoblastic Lymphocytes; Immunoblasts</t>
  </si>
  <si>
    <t>A measurement of the immunoblasts in a biological specimen.</t>
  </si>
  <si>
    <t>Immunoblast Count</t>
  </si>
  <si>
    <t>BLASTLE</t>
  </si>
  <si>
    <t>Blasts/Leukocytes</t>
  </si>
  <si>
    <t>A relative measurement (ratio or percentage) of the blasts to leukocytes in a biological specimen.</t>
  </si>
  <si>
    <t>Blast to Leukocyte Ratio</t>
  </si>
  <si>
    <t>BLASTLM</t>
  </si>
  <si>
    <t>Leukemic Blasts</t>
  </si>
  <si>
    <t>A measurement of the leukemic blasts (lymphoblasts and/or myeloblasts that remain in an immature state even when outside the bone marrow) in a biological specimen.</t>
  </si>
  <si>
    <t>Leukemic Blast Count</t>
  </si>
  <si>
    <t>BLASTRUB</t>
  </si>
  <si>
    <t>Rubriblast</t>
  </si>
  <si>
    <t>Proerythroblast; Pronormoblast; Rubriblast</t>
  </si>
  <si>
    <t>A measurement of the rubriblasts in a biological specimen.</t>
  </si>
  <si>
    <t>Proerythroblast Measurement</t>
  </si>
  <si>
    <t>BLCLMBLY</t>
  </si>
  <si>
    <t>BLym Classic Mem/BLym</t>
  </si>
  <si>
    <t>B-Lymphocytes Classical Memory/B-Lymphocytes; BLym Classic Mem/BLym</t>
  </si>
  <si>
    <t>A relative measurement (ratio or percentage) of classical memory B-lymphocytes to total B-lymphocytes in a biological specimen.</t>
  </si>
  <si>
    <t>Classical Memory B-Lymphocyte to B-Lymphocyte Ratio Measurement</t>
  </si>
  <si>
    <t>BLCLMSP</t>
  </si>
  <si>
    <t>BLym Classic Mem Sub/BLym Classic Mem</t>
  </si>
  <si>
    <t>B-Lymphocytes Classical Memory Sub-Population/B-Lymphocytes Classical Memory; BLym Classic Mem Sub/BLym Classic Mem; BLym Classical Mem Sub/BLym Classical Mem</t>
  </si>
  <si>
    <t>A relative measurement (ratio or percentage) of a sub-population of classical memory B-lymphocytes to all classical memory B-lymphocytes in a biological specimen.</t>
  </si>
  <si>
    <t>Classical Memory B-Lymphocyte Subpopulation to Classical Memory B-Lymphocyte Ratio Measurement</t>
  </si>
  <si>
    <t>BLDFLRT</t>
  </si>
  <si>
    <t>Blood Flow Rate</t>
  </si>
  <si>
    <t>The volume of blood per unit time passing through a specified location, such as a point in a blood vessel or an entire organ.</t>
  </si>
  <si>
    <t>BLDSPNUM</t>
  </si>
  <si>
    <t>Number of Continuous Days of Bleed/Spot</t>
  </si>
  <si>
    <t>The number of days one has experienced continuous menstrual bleeding and/or spotting.</t>
  </si>
  <si>
    <t>Number of Continuous Days of Menstrual Bleeding and/or Spotting</t>
  </si>
  <si>
    <t>BLEEDIND</t>
  </si>
  <si>
    <t>Abnormal Bleeding Indicator</t>
  </si>
  <si>
    <t>An indication as to whether there is the presence of abnormal bleeding.</t>
  </si>
  <si>
    <t>BLEEDT</t>
  </si>
  <si>
    <t>Bleeding Time</t>
  </si>
  <si>
    <t>Bleeding Time; Clotting Time Homeostasis</t>
  </si>
  <si>
    <t>A measurement of the time from the start to cessation of an induced bleed.</t>
  </si>
  <si>
    <t>BLISTCE</t>
  </si>
  <si>
    <t>Blister Cell</t>
  </si>
  <si>
    <t>A measurement of the blister cells in a biological specimen.</t>
  </si>
  <si>
    <t>Blister Cell Count</t>
  </si>
  <si>
    <t>BLISTIND</t>
  </si>
  <si>
    <t>Blistering Indicator</t>
  </si>
  <si>
    <t>An indication as to whether blistering occurred.</t>
  </si>
  <si>
    <t>BLMSBLMS</t>
  </si>
  <si>
    <t>BLym Mem Sub/BLym Mem Sub</t>
  </si>
  <si>
    <t>B-Lymphocytes Memory Sub-Population/B-Lymphocytes Memory Sub-Population; BLym Mem Sub/BLym Mem Sub</t>
  </si>
  <si>
    <t>A relative measurement (ratio or percentage) of a sub-population of memory B-lymphocyte cells to a sub-population of memory B-lymphocyte cells in a biological specimen.</t>
  </si>
  <si>
    <t>Memory B-Lymphocyte Subpopulation to Memory B-Lymphocyte Subpopulation Ratio Measurement</t>
  </si>
  <si>
    <t>BLNBAC</t>
  </si>
  <si>
    <t>Beta-lactamase Negative Bacteria</t>
  </si>
  <si>
    <t>A measurement of the beta-lactamase negative bacteria in a biological specimen.</t>
  </si>
  <si>
    <t>Beta-lactamase Negative Bacteria Measurement</t>
  </si>
  <si>
    <t>BLNMABL</t>
  </si>
  <si>
    <t>BLym Naive Mat/BLym</t>
  </si>
  <si>
    <t>B-Lymphocytes Naive Mature/B-Lymphocytes; BLym Naive Mat/BLym</t>
  </si>
  <si>
    <t>A relative measurement (ratio or percentage) of naive mature B-lymphocytes to B-lymphocytes in a biological specimen.</t>
  </si>
  <si>
    <t>Naive Mature B-Lymphocytes to Total B-Lymphocytes Ratio Measurement</t>
  </si>
  <si>
    <t>BLNMASP</t>
  </si>
  <si>
    <t>BLym Naive Mat Sub/BLymNM</t>
  </si>
  <si>
    <t>B-Lymphocytes Naive Mature Sub-Population/B-Lymphocytes Naive Mature; BLym Naive Mat Sub/BLym Naive Mat; BLym Naive Mat Sub/BLymNM</t>
  </si>
  <si>
    <t>A relative measurement (ratio or percentage) a sub-population of naive mature B-lymphocytes to total naive mature B-lymphocytes in a biological specimen.</t>
  </si>
  <si>
    <t>Naive Mature B-Lymphocyte Subpopulation to Total Naive Mature B-Lymphocyte Ratio Measurement</t>
  </si>
  <si>
    <t>BLPBAC</t>
  </si>
  <si>
    <t>Beta-lactamase Positive Bacteria</t>
  </si>
  <si>
    <t>A measurement of the beta-lactamase positive bacteria in a biological specimen.</t>
  </si>
  <si>
    <t>Beta-lactamase Positive Bacteria Measurement</t>
  </si>
  <si>
    <t>BLSLY</t>
  </si>
  <si>
    <t>BLym Sub/Lym</t>
  </si>
  <si>
    <t>B-Lymphocytes Sub-Population/Lymphocytes; BLym Sub/Lym</t>
  </si>
  <si>
    <t>A relative measurement (ratio or percentage) of a sub-population of B-lymphocytes to lymphocytes in a biological specimen.</t>
  </si>
  <si>
    <t>B-Lymphocyte Subpopulation to Lymphocyte Ratio Measurement</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</si>
  <si>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</si>
  <si>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</si>
  <si>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</si>
  <si>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</si>
  <si>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</si>
  <si>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BLSTLMLY</t>
  </si>
  <si>
    <t>Leukemic Blasts/Lymphocytes</t>
  </si>
  <si>
    <t>A relative measurement (ratio or percentage) of the leukemic blasts (immature lymphoblasts and/or myeloblasts) to mature lymphocytes in a biological specimen.</t>
  </si>
  <si>
    <t>Leukemic Blast to Lymphocyte Ratio Measurement</t>
  </si>
  <si>
    <t>BLSTLY</t>
  </si>
  <si>
    <t>Lymphoblasts</t>
  </si>
  <si>
    <t>Lymphoblasts; Lymphoid Blasts</t>
  </si>
  <si>
    <t>A measurement of the lymphoblasts (immature cells that differentiate to form lymphocytes) in a biological specimen.</t>
  </si>
  <si>
    <t>Lymphoblast Count</t>
  </si>
  <si>
    <t>BLSTLYLE</t>
  </si>
  <si>
    <t>Lymphoblasts/Leukocytes</t>
  </si>
  <si>
    <t>A relative measurement (ratio or percentage) of the lymphoblasts to leukocytes in a biological specimen.</t>
  </si>
  <si>
    <t>Lymphoblast to Leukocyte Ratio Measurement</t>
  </si>
  <si>
    <t>BLSTLYLY</t>
  </si>
  <si>
    <t>Lymphoblasts/Lymphocytes</t>
  </si>
  <si>
    <t>A relative measurement (ratio or percentage) of the lymphoblasts to lymphocytes in a biological specimen.</t>
  </si>
  <si>
    <t>Lymphoblast to Lymphocyte Ratio Measurement</t>
  </si>
  <si>
    <t>BLSTMBCE</t>
  </si>
  <si>
    <t>Myeloblasts/Total Cells</t>
  </si>
  <si>
    <t>A relative measurement (ratio or percentage) of the myeloblasts to total cells in a biological specimen (for example a bone marrow specimen).</t>
  </si>
  <si>
    <t>Myeloblast to Total Cell Ratio Measurement</t>
  </si>
  <si>
    <t>BLSTMGK</t>
  </si>
  <si>
    <t>Megakaryoblasts</t>
  </si>
  <si>
    <t>A measurement of the megakaryoblasts in a biological specimen.</t>
  </si>
  <si>
    <t>Megakaryoblast Cell Count</t>
  </si>
  <si>
    <t>BLSTMKCE</t>
  </si>
  <si>
    <t>Megakaryoblasts/Total Cells</t>
  </si>
  <si>
    <t>A relative measurement (ratio or percentage) of the megakaryoblasts to total cells in a biological specimen (for example a bone marrow specimen).</t>
  </si>
  <si>
    <t>Megakaryoblast to Total Cell Ratio Measurement</t>
  </si>
  <si>
    <t>BLSTMKLE</t>
  </si>
  <si>
    <t>Megakaryoblasts/Leukocytes</t>
  </si>
  <si>
    <t>A relative measurement (ratio or percentage) of megakaryoblasts to total leukocytes in a biological specimen.</t>
  </si>
  <si>
    <t>Megakaryoblasts to Leukocytes Ratio Measurement</t>
  </si>
  <si>
    <t>BLSTNM</t>
  </si>
  <si>
    <t>Normoblasts</t>
  </si>
  <si>
    <t>A measurement of the normoblasts in a biological specimen.</t>
  </si>
  <si>
    <t>Normoblast Count</t>
  </si>
  <si>
    <t>BLSTNMCE</t>
  </si>
  <si>
    <t>Normoblasts/Total Cells</t>
  </si>
  <si>
    <t>A relative measurement (ratio or percentage) of the normoblasts to total cells in a biological specimen (for example a bone marrow specimen).</t>
  </si>
  <si>
    <t>Normoblast to Total Cell Ratio Measurement</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</si>
  <si>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</si>
  <si>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</si>
  <si>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</si>
  <si>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</si>
  <si>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</si>
  <si>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</si>
  <si>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</si>
  <si>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</si>
  <si>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</si>
  <si>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BLSTSID</t>
  </si>
  <si>
    <t>Sideroblast</t>
  </si>
  <si>
    <t>A measurement of the sideroblasts (nucleated erythroblasts with iron granules in the cytoplasm) in a biological specimen.</t>
  </si>
  <si>
    <t>Sideroblast Measurement</t>
  </si>
  <si>
    <t>BLYATBLY</t>
  </si>
  <si>
    <t>BLym Aty/BLym</t>
  </si>
  <si>
    <t>ATBLym/BLym; Atypical B-Lymphocytes/B-Lymphocytes; BLym Aty/BLym</t>
  </si>
  <si>
    <t>A relative measurement (ratio or percentage) of atypical B-lymphocytes to total B-lymphocytes in a biological specimen.</t>
  </si>
  <si>
    <t>Atypical B-Lymphocyte to B-Lymphocyte Ratio Measurement</t>
  </si>
  <si>
    <t>BLYATSP</t>
  </si>
  <si>
    <t>BLym Aty Sub/BLym Aty</t>
  </si>
  <si>
    <t>ATBLym Sub/ATBLym; Atypical B-Lymphocytes Sub-Population/Atypical B-Lymphocytes; BLym Aty Sub/BLym Aty</t>
  </si>
  <si>
    <t>A relative measurement (ratio or percentage) of a sub-population of atypical B-lymphocytes to total atypical B-lymphocytes in a biological specimen.</t>
  </si>
  <si>
    <t>Atypical B-Lymphocyte Subpopulation to Atypical B-Lymphocyte Ratio Measurement</t>
  </si>
  <si>
    <t>BLYB1</t>
  </si>
  <si>
    <t>BLym B1</t>
  </si>
  <si>
    <t>B-Lymphocytes B1; BLym B1</t>
  </si>
  <si>
    <t>A measurement of B-lymphocytes B1 in a biological specimen.</t>
  </si>
  <si>
    <t>B-Lymphocytes B1 Count</t>
  </si>
  <si>
    <t>BLYB1A</t>
  </si>
  <si>
    <t>BLym B1a</t>
  </si>
  <si>
    <t>B-Lymphocytes B1a; BLym B1a</t>
  </si>
  <si>
    <t>A measurement of the B1a B-lymphocytes in a biological specimen.</t>
  </si>
  <si>
    <t>B-Lymphocyte B1a Count</t>
  </si>
  <si>
    <t>BLYB1B</t>
  </si>
  <si>
    <t>BLym B1b</t>
  </si>
  <si>
    <t>B-Lymphocytes B1b; BLym B1b</t>
  </si>
  <si>
    <t>A measurement of the B1b B-lymphocytes in a biological specimen.</t>
  </si>
  <si>
    <t>B-Lymphocyte B1b Count</t>
  </si>
  <si>
    <t>BLYB1S</t>
  </si>
  <si>
    <t>BLym B1 Sub</t>
  </si>
  <si>
    <t>B-Lymphocytes B1 Sub-Population; BLym B1 Sub</t>
  </si>
  <si>
    <t>A measurement of a subpopulation of B-lymphocytes B1 in a biological specimen.</t>
  </si>
  <si>
    <t>B-Lymphocytes B1 Subpopulation Count</t>
  </si>
  <si>
    <t>BLYB1T</t>
  </si>
  <si>
    <t>BLym B1 Trans</t>
  </si>
  <si>
    <t>B-Lymphocytes B1 Transitional; BLym B1 Trans</t>
  </si>
  <si>
    <t>A measurement of the transitional B1 B-lymphocytes in a biological specimen.</t>
  </si>
  <si>
    <t>Transitional B-Lymphocyte B1 Count</t>
  </si>
  <si>
    <t>BLYB2IM</t>
  </si>
  <si>
    <t>BLym B2 Immat</t>
  </si>
  <si>
    <t>B-Lymphocytes B2 Immature; BLym B2 Immat</t>
  </si>
  <si>
    <t>A measurement of the immature B2 B-lymphocytes in a biological specimen.</t>
  </si>
  <si>
    <t>Immature B-Lymphocyte B2 Count</t>
  </si>
  <si>
    <t>BLYB2MA</t>
  </si>
  <si>
    <t>BLym B2 Mat</t>
  </si>
  <si>
    <t>B-Lymphocytes B2 Mature; BLym B2 Mat</t>
  </si>
  <si>
    <t>A measurement of the mature B2 B-lymphocytes in a biological specimen.</t>
  </si>
  <si>
    <t>Mature B-Lymphocyte B2 Count</t>
  </si>
  <si>
    <t>BLYB2T</t>
  </si>
  <si>
    <t>BLym B2 Trans</t>
  </si>
  <si>
    <t>B-Lymphocytes B2 Transitional; BLym B2 Trans</t>
  </si>
  <si>
    <t>A measurement of the transitional B2 B-lymphocytes in a biological specimen.</t>
  </si>
  <si>
    <t>Transitional B-Lymphocyte B2 Count</t>
  </si>
  <si>
    <t>BLYCE</t>
  </si>
  <si>
    <t>B-Lymphocytes</t>
  </si>
  <si>
    <t>B Cells; B-Cell Lymphocytes; B-Cells; B-Lymphocytes</t>
  </si>
  <si>
    <t>A measurement of the B-lymphocytes in a biological specimen.</t>
  </si>
  <si>
    <t>B-Lymphocyte Count</t>
  </si>
  <si>
    <t>BLYCECE</t>
  </si>
  <si>
    <t>B-Lymphocytes/Total Cells</t>
  </si>
  <si>
    <t>A relative measurement (ratio or percentage) of the B-lymphocytes to total cells in a biological specimen.</t>
  </si>
  <si>
    <t>B-Lymphocyte to Total Cells Ratio Measurement</t>
  </si>
  <si>
    <t>BLYCELE</t>
  </si>
  <si>
    <t>B-Lymphocytes/Leukocytes</t>
  </si>
  <si>
    <t>B Cells/Leukocytes; B-Lymphocytes/Leukocytes; BLym/Leuk</t>
  </si>
  <si>
    <t>A relative measurement (ratio or percentage) of B-lymphocytes to leukocytes in a biological specimen.</t>
  </si>
  <si>
    <t>B-Lymphocyte to Leukocyte Ratio Measurement</t>
  </si>
  <si>
    <t>BLym/Leuk</t>
  </si>
  <si>
    <t>BLYCELY</t>
  </si>
  <si>
    <t>B-Lymphocytes/Lymphocytes</t>
  </si>
  <si>
    <t>A relative measurement (ratio or percentage) of the B-lymphocytes to total lymphocytes in a biological specimen.</t>
  </si>
  <si>
    <t>B-Lymphocyte to Lymphocyte Ratio Measurement</t>
  </si>
  <si>
    <t>BLYE</t>
  </si>
  <si>
    <t>BLym Eff</t>
  </si>
  <si>
    <t>B-Lymphocytes Effector; BLym Eff</t>
  </si>
  <si>
    <t>A measurement of the effector B-lymphocytes in a biological specimen.</t>
  </si>
  <si>
    <t>Effector B-Lymphocyte Count</t>
  </si>
  <si>
    <t>BLYE1</t>
  </si>
  <si>
    <t>BLym Eff 1</t>
  </si>
  <si>
    <t>B-Lymphocytes Effector 1; BLym Eff 1</t>
  </si>
  <si>
    <t>A measurement of the effector 1 B-lymphocytes in a biological specimen.</t>
  </si>
  <si>
    <t>Effector 1 B-Lymphocyte Count</t>
  </si>
  <si>
    <t>BLYE1S</t>
  </si>
  <si>
    <t>BLym Eff 1 Sub</t>
  </si>
  <si>
    <t>B-Lymphocytes Effector 1 Sub-Population; BLym Eff 1 Sub</t>
  </si>
  <si>
    <t>A measurement of a sub-population of effector 1 B-lymphocytes in a biological specimen.</t>
  </si>
  <si>
    <t>Effector 1 B-Lymphocyte Subpopulation Count</t>
  </si>
  <si>
    <t>BLYE2</t>
  </si>
  <si>
    <t>BLym Eff 2</t>
  </si>
  <si>
    <t>B-Lymphocytes Effector 2; BLym Eff 2</t>
  </si>
  <si>
    <t>A measurement of the effector 2 B-lymphocytes in a biological specimen.</t>
  </si>
  <si>
    <t>Effector 2 B-Lymphocyte Count</t>
  </si>
  <si>
    <t>BLYE2S</t>
  </si>
  <si>
    <t>BLym Eff 2 Sub</t>
  </si>
  <si>
    <t>B-Lymphocytes Effector 2 Sub-Population; BLym Eff 2 Sub</t>
  </si>
  <si>
    <t>A measurement of a sub-population of effector 2 B-lymphocytes in a biological specimen.</t>
  </si>
  <si>
    <t>Effector 2 B-Lymphocyte Subpopulation Count</t>
  </si>
  <si>
    <t>BLYES</t>
  </si>
  <si>
    <t>BLym Eff Sub</t>
  </si>
  <si>
    <t>B-Lymphocytes Effector Sub-Population; BLym Eff Sub</t>
  </si>
  <si>
    <t>A measurement of a sub-population of effector B-lymphocytes in a biological specimen.</t>
  </si>
  <si>
    <t>Effector B-Lymphocyte Subpopulation Count</t>
  </si>
  <si>
    <t>BLYF</t>
  </si>
  <si>
    <t>BLym Foll</t>
  </si>
  <si>
    <t>B-Lymphocytes Follicular; BLym Foll</t>
  </si>
  <si>
    <t>A measurement of the follicular B-lymphocytes in a biological specimen.</t>
  </si>
  <si>
    <t>Follicular B-Lymphocyte Count</t>
  </si>
  <si>
    <t>BLYFS</t>
  </si>
  <si>
    <t>BLym Foll Sub</t>
  </si>
  <si>
    <t>B-Lymphocytes Follicular Sub-Population; BLym Foll Sub</t>
  </si>
  <si>
    <t>A measurement of a sub-population of follicular B-lymphocytes in a biological specimen.</t>
  </si>
  <si>
    <t>Follicular B-Lymphocyte Subpopulation Count</t>
  </si>
  <si>
    <t>BLYGC</t>
  </si>
  <si>
    <t>BLym Germ Ctr</t>
  </si>
  <si>
    <t>B-Lymphocytes Germinal Center; BLym Germ Ctr</t>
  </si>
  <si>
    <t>A measurement of the germinal center B-lymphocytes in a biological specimen.</t>
  </si>
  <si>
    <t>Germinal Center B-Lymphocyte Count</t>
  </si>
  <si>
    <t>BLYGCS</t>
  </si>
  <si>
    <t>BLym Germ Ctr Sub</t>
  </si>
  <si>
    <t>B-Lymphocytes Germinal Center Sub-Population; BLym Germ Ctr Sub</t>
  </si>
  <si>
    <t>A measurement of a sub-population of germinal center B-lymphocytes in a biological specimen.</t>
  </si>
  <si>
    <t>Germinal Center B-Lymphocyte Subpopulation Count</t>
  </si>
  <si>
    <t>BLYIM</t>
  </si>
  <si>
    <t>BLym Immat</t>
  </si>
  <si>
    <t>B-Lymphocytes Immature; BLym Immat</t>
  </si>
  <si>
    <t>A measurement of the immature B-lymphocytes in a biological specimen.</t>
  </si>
  <si>
    <t>Immature B-Lymphocyte Count</t>
  </si>
  <si>
    <t>BLYM</t>
  </si>
  <si>
    <t>BLym Mem</t>
  </si>
  <si>
    <t>B-Lymphocytes Memory; BLym Mem</t>
  </si>
  <si>
    <t>A measurement of the memory B-lymphocytes in a biological specimen.</t>
  </si>
  <si>
    <t>Memory B-Lymphocyte Count</t>
  </si>
  <si>
    <t>BLYMA</t>
  </si>
  <si>
    <t>BLym Mat</t>
  </si>
  <si>
    <t>B-Lymphocytes Mature; BLym Mat</t>
  </si>
  <si>
    <t>A measurement of the mature B-lymphocytes in a biological specimen.</t>
  </si>
  <si>
    <t>Mature B-Lymphocyte Count</t>
  </si>
  <si>
    <t>BLYMBLY</t>
  </si>
  <si>
    <t>BLym Mem/BLym</t>
  </si>
  <si>
    <t>B-Lymphocytes Memory/B-Lymphocytes; BLym Mem/BLym</t>
  </si>
  <si>
    <t>A relative measurement (ratio or percentage) of memory B-lymphocytes to total B-lymphocytes in a biological specimen.</t>
  </si>
  <si>
    <t>Memory B-Lymphocytes to Total B-Lymphocytes Ratio Measurement</t>
  </si>
  <si>
    <t>BLYMCB1</t>
  </si>
  <si>
    <t>BLym Mem cB1</t>
  </si>
  <si>
    <t>B-Lymphocytes Memory cB1; BLym Mem cB1</t>
  </si>
  <si>
    <t>A measurement of the cB1 memory B-lymphocytes in a biological specimen.</t>
  </si>
  <si>
    <t>Memory B-Lymphocyte cB1 Count</t>
  </si>
  <si>
    <t>BLYMCB2</t>
  </si>
  <si>
    <t>BLym Mem cB2</t>
  </si>
  <si>
    <t>B-Lymphocytes Memory cB2; BLym Mem cB2</t>
  </si>
  <si>
    <t>A measurement of the cB2 memory B-lymphocytes in a biological specimen.</t>
  </si>
  <si>
    <t>Memory B-Lymphocyte cB2 Count</t>
  </si>
  <si>
    <t>BLYMCB3</t>
  </si>
  <si>
    <t>BLym Mem cB3</t>
  </si>
  <si>
    <t>B-Lymphocytes Memory cB3; BLym Mem cB3</t>
  </si>
  <si>
    <t>A measurement of the cB3 memory B-lymphocytes in a biological specimen.</t>
  </si>
  <si>
    <t>Memory B-Lymphocyte cB3 Count</t>
  </si>
  <si>
    <t>BLYMIM</t>
  </si>
  <si>
    <t>BLym Mem Immat</t>
  </si>
  <si>
    <t>B-Lymphocytes Memory Immature; BLym Mem Immat</t>
  </si>
  <si>
    <t>A measurement of the memory immature B-lymphocytes in a biological specimen.</t>
  </si>
  <si>
    <t>Immature Memory B-Lymphocyte Count</t>
  </si>
  <si>
    <t>BLYMMA</t>
  </si>
  <si>
    <t>BLym Mem Mat</t>
  </si>
  <si>
    <t>B-Lymphocytes Memory Mature; BLym Mem Mat</t>
  </si>
  <si>
    <t>A measurement of the memory mature B-lymphocytes in a biological specimen.</t>
  </si>
  <si>
    <t>Mature Memory B-Lymphocyte Count</t>
  </si>
  <si>
    <t>BLYMNSW</t>
  </si>
  <si>
    <t>BLym Mem NSw</t>
  </si>
  <si>
    <t>B-Lymphocytes Memory Non-Class-Switched; B-Lymphocytes Memory Unswitched; BLym Mem NSw</t>
  </si>
  <si>
    <t>A measurement of the non-class-switched memory B-lymphocytes in a biological specimen.</t>
  </si>
  <si>
    <t>Nonclass-switched Memory B-Lymphocyte Count</t>
  </si>
  <si>
    <t>BLYMNSWG</t>
  </si>
  <si>
    <t>BLym Mem NSw IgG+</t>
  </si>
  <si>
    <t>B-Lymphocytes Memory Non-Class-Switched IgG+; B-Lymphocytes Memory Unswitched IgG+; BLym Mem NSw IgG+</t>
  </si>
  <si>
    <t>A measurement of the IgG+ non-class-switched memory B-lymphocytes in a biological specimen.</t>
  </si>
  <si>
    <t>Non-class-switched IgG-positive Memory B-Lymphocyte Count</t>
  </si>
  <si>
    <t>BLYMNSWM</t>
  </si>
  <si>
    <t>BLym Mem NSw IgM+</t>
  </si>
  <si>
    <t>B-Lymphocytes Memory Non-Class-Switched IgM+; B-Lymphocytes Memory Unswitched IgM+; BLym Mem NSw IgM+</t>
  </si>
  <si>
    <t>A measurement of the IgM+ non-class-switched memory B-lymphocytes in a biological specimen.</t>
  </si>
  <si>
    <t>Non-class-switched IgM-positive Memory B-Lymphocyte Count</t>
  </si>
  <si>
    <t>BLYMNSWS</t>
  </si>
  <si>
    <t>BLym Mem NSw Sub</t>
  </si>
  <si>
    <t>B-Lymphocytes Memory Non-Class-Switched Sub-Population; B-Lymphocytes Memory Unswitched Sub-Population; BLym Mem NSw Sub</t>
  </si>
  <si>
    <t>A measurement of a sub-population of non-class-switched memory B-lymphocytes in a biological specimen.</t>
  </si>
  <si>
    <t>Nonclass-switched Memory B-Lymphocyte Subpopulation Count</t>
  </si>
  <si>
    <t>BLYMS</t>
  </si>
  <si>
    <t>BLym Mem Sub</t>
  </si>
  <si>
    <t>B-Lymphocytes Memory Sub-Population; BLym Mem Sub</t>
  </si>
  <si>
    <t>A measurement of a sub-population of memory B-lymphocytes in a biological specimen.</t>
  </si>
  <si>
    <t>Memory B-Lymphocyte Subpopulation Count</t>
  </si>
  <si>
    <t>BLYMSP</t>
  </si>
  <si>
    <t>BLym Mem Sub/BLym Mem</t>
  </si>
  <si>
    <t>B-Lymphocytes Memory Sub-Population/B-Lymphocytes Memory; BLym Mem Sub/BLym Mem</t>
  </si>
  <si>
    <t>A relative measurement (ratio or percentage) of a sub-population of memory B-lymphocytes to total memory B-lymphocytes in a biological specimen.</t>
  </si>
  <si>
    <t>Memory B-Lymphocyte Subpopulation to Memory B-Lymphocyte Ratio Measurement</t>
  </si>
  <si>
    <t>BLYMSW</t>
  </si>
  <si>
    <t>BLym Mem Sw</t>
  </si>
  <si>
    <t>B-Lymphocytes Memory Class-Switched; B-Lymphocytes Memory Switched; BLym Mem Sw</t>
  </si>
  <si>
    <t>A measurement of the class-switched memory B-lymphocytes in a biological specimen.</t>
  </si>
  <si>
    <t>Class-switched Memory B-Lymphocyte Count</t>
  </si>
  <si>
    <t>BLYMSWS</t>
  </si>
  <si>
    <t>BLym Mem Sw Sub</t>
  </si>
  <si>
    <t>B-Lymphocytes Memory Class-Switched Sub-Population; BLym Mem Sw Sub</t>
  </si>
  <si>
    <t>A measurement of a sub-population of class-switched memory B-lymphocytes in a biological specimen.</t>
  </si>
  <si>
    <t>Class-switched Memory B-Lymphocyte Subpopulation Count</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</si>
  <si>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</si>
  <si>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</si>
  <si>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</si>
  <si>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</si>
  <si>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BLYMZ</t>
  </si>
  <si>
    <t>BLym Marg Zn</t>
  </si>
  <si>
    <t>B-Lymphocytes Marginal Zone; BLym Marg Zn</t>
  </si>
  <si>
    <t>A measurement of the marginal zone B-lymphocytes in a biological specimen.</t>
  </si>
  <si>
    <t>Marginal Zone B-Lymphocyte Count</t>
  </si>
  <si>
    <t>BLYN</t>
  </si>
  <si>
    <t>BLym Naive</t>
  </si>
  <si>
    <t>B-Lymphocytes, Naive; BLym Naive; Naive B Cells; Naive B-Lymphocytes</t>
  </si>
  <si>
    <t>A measurement of the naive B-lymphocytes in a biological specimen.</t>
  </si>
  <si>
    <t>Naive B-Lymphocyte Measurement</t>
  </si>
  <si>
    <t>BLYNBLY</t>
  </si>
  <si>
    <t>BLym Naive/BLym</t>
  </si>
  <si>
    <t>B Cell, Naive/B Cell; B-Lymphocyte, Naive/B-Lymphocyte; BLym Naive/BLym; Naive B-Lymphocytes/B-Lymphocytes</t>
  </si>
  <si>
    <t>A relative measurement (ratio or percentage) of naive B-lymphocytes to B-lymphocytes in a biological specimen.</t>
  </si>
  <si>
    <t>Naive B-Lymphocytes to Total B-Lymphocytes Ratio Measurement</t>
  </si>
  <si>
    <t>BLYNG</t>
  </si>
  <si>
    <t>BLym Naive IgG+</t>
  </si>
  <si>
    <t>B-Lymphocytes Naive IgG+; BLym Naive IgG+</t>
  </si>
  <si>
    <t>A measurement of the IgG+ naive B-lymphocytes in a biological specimen.</t>
  </si>
  <si>
    <t>IgG-positive Naive B-Lymphocyte Count</t>
  </si>
  <si>
    <t>BLYNGBN</t>
  </si>
  <si>
    <t>BLym Naive IgG+/BLymN</t>
  </si>
  <si>
    <t>B-Lymphocytes Naive IgG+/B-Lymphocytes Naive; BLym Naive IgG+/BLym Naive; BLym Naive IgG+/BLymN</t>
  </si>
  <si>
    <t>A relative measurement (ratio or percentage) of the IgG+ naive B-lymphocytes to total naive B-lymphocytes in a biological specimen.</t>
  </si>
  <si>
    <t>IgG-positive Naive B-Lymphocyte to Naive B-Lymphocyte Ratio Measurement</t>
  </si>
  <si>
    <t>BLYNLE</t>
  </si>
  <si>
    <t>BLym Naive/Leuk</t>
  </si>
  <si>
    <t>B-Lymphocytes Naive/Leukocytes; BLym Naive/Leuk</t>
  </si>
  <si>
    <t>A relative measurement (ratio or percentage) of naive B-lymphocytes to total leukocytes in a biological specimen.</t>
  </si>
  <si>
    <t>Naive B-Lymphocyte to Leukocyte Ratio Measurement</t>
  </si>
  <si>
    <t>BLYNM</t>
  </si>
  <si>
    <t>BLym Naive IgM+</t>
  </si>
  <si>
    <t>B-Lymphocytes Naive IgM+; BLym Naive IgM+</t>
  </si>
  <si>
    <t>A measurement of the IgM+ naive B-lymphocytes in a biological specimen.</t>
  </si>
  <si>
    <t>IgM-positive Naive B-Lymphocyte Count</t>
  </si>
  <si>
    <t>BLYNMA</t>
  </si>
  <si>
    <t>BLym Naive Mat</t>
  </si>
  <si>
    <t>B-Lymphocytes Naive Mature; BLym Naive Mat</t>
  </si>
  <si>
    <t>A measurement of the naive mature B-lymphocytes in a biological specimen.</t>
  </si>
  <si>
    <t>Naive Mature B-Lymphocyte Count</t>
  </si>
  <si>
    <t>BLYNMAS</t>
  </si>
  <si>
    <t>BLym Naive Mat Sub</t>
  </si>
  <si>
    <t>B-Lymphocytes Naive Mature Sub-Population; BLym Naive Mat Sub</t>
  </si>
  <si>
    <t>A measurement of a sub-population of naive mature B-lymphocytes in a biological specimen.</t>
  </si>
  <si>
    <t>Naive Mature B-Lymphocyte Subpopulation Count</t>
  </si>
  <si>
    <t>BLYNMBN</t>
  </si>
  <si>
    <t>BLym Naive IgM+/BLymN</t>
  </si>
  <si>
    <t>B-Lymphocytes Naive IgM+/B-Lymphocytes Naive; BLym Naive IgM+/BLym Naive; BLym Naive IgM+/BLymN</t>
  </si>
  <si>
    <t>A relative measurement (ratio or percentage) of the IgM+ naive B-lymphocytes to total naive B-lymphocytes in a biological specimen.</t>
  </si>
  <si>
    <t>IgM-positive Naive B-Lymphocyte to Naive B-Lymphocyte Ratio Measurement</t>
  </si>
  <si>
    <t>BLYNS</t>
  </si>
  <si>
    <t>BLym Naive Sub</t>
  </si>
  <si>
    <t>B-Lymphocytes Naive Sub-Population; BLym Naive Sub</t>
  </si>
  <si>
    <t>A measurement of a sub-population of naive B-lymphocytes in a biological specimen.</t>
  </si>
  <si>
    <t>Naive B-Lymphocyte Subpopulation Count</t>
  </si>
  <si>
    <t>BLYPRE</t>
  </si>
  <si>
    <t>Pre-BLym</t>
  </si>
  <si>
    <t>B-Lymphocyte Precursor Cells; Pre-B Cells; Pre-BLym; Precursor B-Lymphocytes</t>
  </si>
  <si>
    <t>A measurement of the precursor B-lymphocytes in a biological specimen.</t>
  </si>
  <si>
    <t>Precursor B-Lymphocyte Count</t>
  </si>
  <si>
    <t>BLYPRO</t>
  </si>
  <si>
    <t>Pro-BLym</t>
  </si>
  <si>
    <t>B-Lymphocyte Progenitor Cells; Pro-B Cells; Pro-BLym; Progenitor B-Lymphocytes</t>
  </si>
  <si>
    <t>A measurement of the progenitor B-lymphocytes in a biological specimen.</t>
  </si>
  <si>
    <t>Progenitor B-Lymphocyte Count</t>
  </si>
  <si>
    <t>BLYPROCE</t>
  </si>
  <si>
    <t>Pro-BLym/Total Cells</t>
  </si>
  <si>
    <t>B-Lymphocyte Progenitor Cells/Total Cells; Pro-B Cells/Total Cells; Pro-BLym/Total Cells</t>
  </si>
  <si>
    <t>A relative measurement (ratio or percentage) of the progenitor B-lymphocytes to total cells in a biological specimen.</t>
  </si>
  <si>
    <t>Progenitor B-Lymphocyte to Total Cells Ratio Measurement</t>
  </si>
  <si>
    <t>BLYR</t>
  </si>
  <si>
    <t>BLym Reg</t>
  </si>
  <si>
    <t>B-Lymphocytes Regulatory; BLym Reg</t>
  </si>
  <si>
    <t>A measurement of the regulatory B-lymphocytes in a biological specimen.</t>
  </si>
  <si>
    <t>Regulatory B-Lymphocyte Count</t>
  </si>
  <si>
    <t>BLYRS</t>
  </si>
  <si>
    <t>BLym Reg Sub</t>
  </si>
  <si>
    <t>B-Lymphocytes Regulatory Sub-Population; BLym Reg Sub</t>
  </si>
  <si>
    <t>A measurement of the sub-population of regulatory B-lymphocytes in a biological specimen.</t>
  </si>
  <si>
    <t>Regulatory B-Lymphocyte Subpopulation Count</t>
  </si>
  <si>
    <t>BLYS</t>
  </si>
  <si>
    <t>BLym Sub</t>
  </si>
  <si>
    <t>B-Lymphocytes Sub-Population; BLym Sub</t>
  </si>
  <si>
    <t>A measurement of a subpopulation of B-lymphocytes in a biological specimen.</t>
  </si>
  <si>
    <t>B-Lymphocytes Subpopulation Count</t>
  </si>
  <si>
    <t>BLYSBLY</t>
  </si>
  <si>
    <t>BLym Sub/BLym</t>
  </si>
  <si>
    <t>B-Lymphocyte Sub-Population/B-Lymphocyte; BLym Sub/BLym</t>
  </si>
  <si>
    <t>A relative measurement (ratio or percentage) of a subpopulation of B-lymphocytes to B-lymphocytes in a biological specimen.</t>
  </si>
  <si>
    <t>B-Lymphocytes Subpopulation to Total B-Lymphocytes Ratio Measurement</t>
  </si>
  <si>
    <t>BLYSBLYS</t>
  </si>
  <si>
    <t>BLym Sub/BLym Sub</t>
  </si>
  <si>
    <t>B-Lymphocytes Sub-Population/B-Lymphocytes Sub-Population; BLym Sub/BLym Sub</t>
  </si>
  <si>
    <t>A relative measurement (ratio or percentage) of a sub-population of B-lymphocytes to a sub-population of B-lymphocytes in a biological specimen.</t>
  </si>
  <si>
    <t>B-Lymphocyte Subpopulation to B-Lymphocyte Subpopulation Ratio Measurement</t>
  </si>
  <si>
    <t>BLYSLE</t>
  </si>
  <si>
    <t>BLym Sub/Leuk</t>
  </si>
  <si>
    <t>B-Lymphocytes Sub-Population/Leukocytes; BLym Sub/Leuk; BLym Sub/Leukocytes</t>
  </si>
  <si>
    <t>A relative measurement (ratio or percentage) of a sub-population of B-lymphocytes to leukocytes in a biological specimen.</t>
  </si>
  <si>
    <t>B-Lymphocyte Subpopulation to Leukocyte Ratio Measurement</t>
  </si>
  <si>
    <t>BLYT</t>
  </si>
  <si>
    <t>BLym Trans</t>
  </si>
  <si>
    <t>B-Lymphocytes Transitional; BLym Trans</t>
  </si>
  <si>
    <t>A measurement of the transitional B-lymphocytes in a biological specimen.</t>
  </si>
  <si>
    <t>Transitional B-Lymphocyte Count</t>
  </si>
  <si>
    <t>BLYT1</t>
  </si>
  <si>
    <t>BLym Trans 1</t>
  </si>
  <si>
    <t>B-Lymphocytes Transitional 1; BLym Trans 1</t>
  </si>
  <si>
    <t>A measurement of the transitional 1 B-lymphocytes in a biological specimen.</t>
  </si>
  <si>
    <t>Transitional 1 B-Lymphocyte Count</t>
  </si>
  <si>
    <t>BLYT2</t>
  </si>
  <si>
    <t>BLym Trans 2</t>
  </si>
  <si>
    <t>B-Lymphocytes Transitional 2; BLym Trans 2</t>
  </si>
  <si>
    <t>A measurement of the transitional 2 B-lymphocytes in a biological specimen.</t>
  </si>
  <si>
    <t>Transitional 2 B-Lymphocyte Count</t>
  </si>
  <si>
    <t>BLYT3</t>
  </si>
  <si>
    <t>BLym Trans 3</t>
  </si>
  <si>
    <t>B-Lymphocytes Transitional 3; BLym Trans 3</t>
  </si>
  <si>
    <t>A measurement of the transitional 3 B-lymphocytes in a biological specimen.</t>
  </si>
  <si>
    <t>Transitional 3 B-Lymphocyte Count</t>
  </si>
  <si>
    <t>BLYTBLY</t>
  </si>
  <si>
    <t>BLym Trans/BLym</t>
  </si>
  <si>
    <t>B-Lymphocytes Transitional/B-Lymphocytes; BLym Trans/BLym</t>
  </si>
  <si>
    <t>A relative measurement (ratio or percentage) of transitional B-lymphocytes to B-lymphocytes in a biological specimen.</t>
  </si>
  <si>
    <t>Transitional B-Lymphocytes to B-Lymphocytes Ratio Measurement</t>
  </si>
  <si>
    <t>BLYTBN</t>
  </si>
  <si>
    <t>BLym Trans/BLymN</t>
  </si>
  <si>
    <t>B-Lymphocytes Transitional/B-Lymphocytes Naive; BLym Trans/BLym Naive; BLym Trans/BLymN</t>
  </si>
  <si>
    <t>A relative measurement (ratio or percentage) of the transitional B-lymphocytes to the naive B-lymphocytes in a biological specimen.</t>
  </si>
  <si>
    <t>Transitional B-Lymphocyte to Naive B-Lymphocyte Ratio Measurement</t>
  </si>
  <si>
    <t>BLYTS</t>
  </si>
  <si>
    <t>BLym Trans Sub</t>
  </si>
  <si>
    <t>B-Lymphocytes Transitional Sub-Population; BLym Trans Sub</t>
  </si>
  <si>
    <t>A measurement of a sub-population of transitional B-lymphocytes in a biological specimen.</t>
  </si>
  <si>
    <t>Transitional B-Lymphocyte Subpopulation Count</t>
  </si>
  <si>
    <t>BLYTSBLY</t>
  </si>
  <si>
    <t>BLym Trans Sub/BLym</t>
  </si>
  <si>
    <t>B-Lymphocytes Transitional Sub-Population/B-Lymphocytes; BLym Trans Sub/BLym</t>
  </si>
  <si>
    <t>A relative measurement (ratio or percentage) of a sub-population of transitional B-lymphocytes to B-lymphocytes in a biological specimen.</t>
  </si>
  <si>
    <t>Transitional B-Lymphocyte Subpopulation to B-Lymphocyte Ratio Measurement</t>
  </si>
  <si>
    <t>BLYTSP</t>
  </si>
  <si>
    <t>BLym Trans Sub/BLym Trans</t>
  </si>
  <si>
    <t>B-Lymphocytes Transitional Sub-Population/B-Lymphocytes Transitional; BLym Trans Sub/BLym Trans</t>
  </si>
  <si>
    <t>A relative measurement (ratio or percentage) of a sub-population of transitional B-lymphocytes to total transitional B-lymphocytes in a biological specimen.</t>
  </si>
  <si>
    <t>Transitional B-Lymphocyte Subpopulation to Total Transitional B-Lymphocyte Ratio Measurement</t>
  </si>
  <si>
    <t>BMI</t>
  </si>
  <si>
    <t>Body Mass Index</t>
  </si>
  <si>
    <t>A general indicator of the body fat an individual is carrying based upon the ratio of weight to height. (NCI)</t>
  </si>
  <si>
    <t>BMIAPCTL</t>
  </si>
  <si>
    <t>BMI-for-Age Percentile</t>
  </si>
  <si>
    <t>An assessed relationship of an individual's body mass index and age to that of a reference population, expressed as a percentile.</t>
  </si>
  <si>
    <t>BMNSWB</t>
  </si>
  <si>
    <t>BLym Mem NSw/BLym</t>
  </si>
  <si>
    <t>B-Lymphocytes Memory Non-Class-Switched/B-Lymphocytes; B-Lymphocytes Memory Unswitched/B-Lymphocytes; BLym Mem NSw/BLym</t>
  </si>
  <si>
    <t>A relative measurement (ratio or percentage) of the non-class-switched memory B-lymphocytes to total B-lymphocytes in a biological specimen.</t>
  </si>
  <si>
    <t>Non-class-switched Memory B-Lymphocyte to Total B-Lymphocyte Ratio Measurement</t>
  </si>
  <si>
    <t>BMNSWLE</t>
  </si>
  <si>
    <t>BLym Mem NSw/Leuk</t>
  </si>
  <si>
    <t>B-Lymphocytes Memory Non-Class-Switched/Leukocytes; B-Lymphocytes Memory Unswitched/Leukocytes; BLym Mem NSw/Leuk</t>
  </si>
  <si>
    <t>A relative measurement (ratio or percentage) of the non-class-switched memory B-lymphocytes to total leukocytes in a biological specimen.</t>
  </si>
  <si>
    <t>Non-class-switched Memory B-Lymphocyte to Leukocyte Ratio Measurement</t>
  </si>
  <si>
    <t>BMNSWSP</t>
  </si>
  <si>
    <t>BLym Mem NSw Sub/BLymMNSw</t>
  </si>
  <si>
    <t>B-Lymphocytes Memory Non-Class-Switched Sub-Population/B-Lymphocytes Memory Non-Class-Switched; B-Lymphocytes Memory Unswitched Sub-Population/B-Lymphocytes Memory Unswitched; BLym Mem NSw Sub/BLymMNSw</t>
  </si>
  <si>
    <t>A relative measurement (ratio or percentage) of a sub-population of non-class-switched memory B-lymphocytes to total non-class-switched memory B-lymphocytes in a biological specimen.</t>
  </si>
  <si>
    <t>Non-class-switched Memory B-Lymphocyte Subpopulation to Total Non-class-switched Memory B-Lymphocyte Ratio Measurement</t>
  </si>
  <si>
    <t>BMR</t>
  </si>
  <si>
    <t>Basal Metabolic Rate</t>
  </si>
  <si>
    <t>The measurement of a subject's energy expenditure when at rest.</t>
  </si>
  <si>
    <t>BMSB</t>
  </si>
  <si>
    <t>BLym Mem Sw/Blym</t>
  </si>
  <si>
    <t>B-Lymphocytes Memory Class-Switched/B-Lymphocytes; B-Lymphocytes Memory Switched/B-Lymphocytes; BLym Mem Sw/Blym</t>
  </si>
  <si>
    <t>A relative measurement (ratio or percentage) of the class-switched memory B-lymphocytes to total B-lymphocytes in a biological specimen.</t>
  </si>
  <si>
    <t>Class-switched Memory B-Lymphocyte to B-Lymphocyte Ratio Measurement</t>
  </si>
  <si>
    <t>BMSG</t>
  </si>
  <si>
    <t>BLym Mem Sw IgG+</t>
  </si>
  <si>
    <t>B-Lymphocytes Memory Switched IgG+; BLym Mem Sw IgG+</t>
  </si>
  <si>
    <t>A measurement of the IgG+ class-switched memory B-lymphocytes in a biological specimen.</t>
  </si>
  <si>
    <t>Immunoglobulin G Positive Class-switched Memory B-Lymphocyte Count</t>
  </si>
  <si>
    <t>BMSGBMS</t>
  </si>
  <si>
    <t>BLym Mem Sw IgG+/BLym Mem Sw</t>
  </si>
  <si>
    <t>B-Lymphocytes Memory Switched IgG+/B-Lymphocytes Memory Switched; BLym Mem Sw IgG+/BLym Mem Sw</t>
  </si>
  <si>
    <t>A relative measurement (ratio or percentage) of IgG+ memory switched B-Lymphocytes to class-switched memory B-lymphocytes in a biological specimen.</t>
  </si>
  <si>
    <t>Immunoglobulin G Positive Memory Switched B-Lymphocyte to Memory Switched B-Lymphocyte Ratio Measurement</t>
  </si>
  <si>
    <t>BMSM</t>
  </si>
  <si>
    <t>BLym Mem Sw IgM+</t>
  </si>
  <si>
    <t>B-Lymphocytes Memory Switched IgM+; BLym Mem Sw IgM+</t>
  </si>
  <si>
    <t>A measurement of the IgM+ class-switched memory B-lymphocytes in a biological specimen.</t>
  </si>
  <si>
    <t>Immunoglobulin M Positive Class-switched Memory B-Lymphocyte Count</t>
  </si>
  <si>
    <t>BMSMBMS</t>
  </si>
  <si>
    <t>BLym Mem Sw IgM+/BLym Mem Sw</t>
  </si>
  <si>
    <t>B-Lymphocytes Memory Switched IgM+/B-Lymphocytes Memory Switched; BLym Mem Sw IgM+/BLym Mem Sw</t>
  </si>
  <si>
    <t>A relative measurement (ratio or percentage) of IgM+ class-switched memory B-Lymphocytes to class-switched memory B-lymphocytes in a biological specimen.</t>
  </si>
  <si>
    <t>Immunoglobulin M Positive Memory Switched B-Lymphocyte to Memory Switched B-Lymphocyte Ratio Measurement</t>
  </si>
  <si>
    <t>BMSU</t>
  </si>
  <si>
    <t>BLym Mem Sw Uncv</t>
  </si>
  <si>
    <t>B-Lymphocytes Memory Class-Switched Unconventional; B-Lymphocytes Memory Switched Unconventional; BLym Mem Sw Uncv</t>
  </si>
  <si>
    <t>A measurement of the unconventional class-switched memory B-lymphocytes in a biological specimen.</t>
  </si>
  <si>
    <t>Unconventional Class-switched Memory B-Lymphocyte Count</t>
  </si>
  <si>
    <t>BMSUB</t>
  </si>
  <si>
    <t>BLym Mem Sw Uncv/BLym</t>
  </si>
  <si>
    <t>B-Lymphocytes Memory Class-Switched Unconventional/B-Lymphocytes; B-Lymphocytes Memory Switched Unconventional/B-Lymphocytes; BLym Mem Sw Uncv/BLym</t>
  </si>
  <si>
    <t>A relative measurement (ratio or percentage) the unconventional class-switched memory B-lymphocytes to B-lymphocytes in a biological specimen.</t>
  </si>
  <si>
    <t>Unconventional Class-switched Memory B-Lymphocyte to B-Lymphocyte Ratio Measurement</t>
  </si>
  <si>
    <t>BMSUG</t>
  </si>
  <si>
    <t>BLym Mem Sw Uncv IgG+</t>
  </si>
  <si>
    <t>B-Lymphocytes Memory Switched Unconventional IgG+; BLym Mem Sw Uncv IgG+</t>
  </si>
  <si>
    <t>A measurement of the unconventional class-switched IgG-positive memory B-lymphocytes in a biological specimen.</t>
  </si>
  <si>
    <t>Unconventional Class-switched IgG-positive Memory B-Lymphocyte Count</t>
  </si>
  <si>
    <t>BMSULE</t>
  </si>
  <si>
    <t>BLym Mem Sw Uncv/Leuk</t>
  </si>
  <si>
    <t>B-Lymphocytes Memory Class-Switched Unconventional/Leukocytes; B-Lymphocytes Memory Switched Unconventional/Leukcoytes; BLym Mem Sw Uncv/Leuk</t>
  </si>
  <si>
    <t>A relative measurement (ratio or percentage) of the unconventional class-switched memory B-lymphocytes to leukocytes in a biological specimen.</t>
  </si>
  <si>
    <t>Unconventional Class-switched Memory B-Lymphocyte to Leukocyte Ratio Measurement</t>
  </si>
  <si>
    <t>BMSUS</t>
  </si>
  <si>
    <t>BLym Mem Sw Uncv Sub</t>
  </si>
  <si>
    <t>B-Lymphocytes Memory Class-Switched Unconventional Sub-Population; B-Lymphocytes Memory Switched Unconventional Sub-Population; BLym Mem Sw Uncv Sub</t>
  </si>
  <si>
    <t>A measurement of a sub-population of unconventional class-switched memory B-lymphocytes in a biological specimen.</t>
  </si>
  <si>
    <t>Unconventional Class-switched Memory B-Lymphocyte Subpopulation Count</t>
  </si>
  <si>
    <t>BMSUSP</t>
  </si>
  <si>
    <t>BLym Mem Sw Uncv Sub/BLym Mem Sw Uncv</t>
  </si>
  <si>
    <t>B-Lymphocytes Memory Class-Switched Unconventional Sub-Population/B-Lymphocytes Memory Class-Switched Unconventional; B-Lymphocytes Memory Switched Unconventional Sub-Population/B-Lymphocytes Memory Switched Unconventional; BLym Mem Sw Uncv Sub/BLym Mem S</t>
  </si>
  <si>
    <t>A relative measurement (ratio or percentage) of a sub-population of unconventional class-switched memory B-lymphocytes to unconventional class-switched memory B-lymphocytes in a biological specimen.</t>
  </si>
  <si>
    <t>Unconventional Class-switched Memory B-Lymphocyte Subpopulation to Unconventional Class-switched Memory B-Lymphocyte Ratio Measurement</t>
  </si>
  <si>
    <t>BMSWSB</t>
  </si>
  <si>
    <t>BLym Mem Sw Sub/BLym</t>
  </si>
  <si>
    <t>B-Lymphocytes Memory Class-Switched Sub-Population/B-Lymphocytes; B-Lymphocytes Memory Switched Sub-Population/B-Lymphocytes; BLym Mem Sw Sub/BLym</t>
  </si>
  <si>
    <t>A relative measurement (ratio or percentage) of a sub-population of class-switched memory B-lymphocytes to total B-lymphocytes in a biological specimen.</t>
  </si>
  <si>
    <t>Class-switched Memory B-Lymphocyte Subpopulation to Total B-Lymphocyte Ratio Measurement</t>
  </si>
  <si>
    <t>BMSWSP</t>
  </si>
  <si>
    <t>BLym Mem Sw Sub/BLymMSw</t>
  </si>
  <si>
    <t>B-Lymphocytes Memory Class-Switched Sub-Population/B-Lymphocytes Memory Class-Switched; B-Lymphocytes Memory Switched Sub-Population/B-Lymphocytes Memory Switched; BLym Mem Sw Sub/BLym Mem Sw; BLym Mem Sw Sub/BLymMSw</t>
  </si>
  <si>
    <t>A relative measurement (ratio or percentage) of a sub-population of class-switched memory B-lymphocytes to total class-switched memory B-lymphocytes in a biological specimen.</t>
  </si>
  <si>
    <t>Class-switched Memory B-Lymphocytes Subpopulation to Total Class-switched Memory B-Lymphocytes Ratio Measurement</t>
  </si>
  <si>
    <t>BMU</t>
  </si>
  <si>
    <t>Burkholderia multivorans</t>
  </si>
  <si>
    <t>A measurement of the Burkholderia multivorans in a biological specimen.</t>
  </si>
  <si>
    <t>Burkholderia multivorans Measurement</t>
  </si>
  <si>
    <t>BMUPTAKE</t>
  </si>
  <si>
    <t>Bone Marrow Tracer Uptake</t>
  </si>
  <si>
    <t>A visually assessed combination of extent and intensity of tracer uptake within the bone marrow.</t>
  </si>
  <si>
    <t>BNLNUM</t>
  </si>
  <si>
    <t>Number of Bone Lesions</t>
  </si>
  <si>
    <t>The number of lesions within the bone.</t>
  </si>
  <si>
    <t>BNP</t>
  </si>
  <si>
    <t>Brain Natriuretic Peptide</t>
  </si>
  <si>
    <t>B-Type Natriuretic Peptide; Brain Natriuretic Peptide</t>
  </si>
  <si>
    <t>A measurement of the brain (B-type) natriuretic peptide in a biological specimen.</t>
  </si>
  <si>
    <t>Brain Natriuretic Peptide Measurement</t>
  </si>
  <si>
    <t>BNPPRO</t>
  </si>
  <si>
    <t>ProB-type Natriuretic Peptide</t>
  </si>
  <si>
    <t>Pro-Brain Natriuretic Peptide; ProB-type Natriuretic Peptide; proBNP</t>
  </si>
  <si>
    <t>A measurement of the proB-type natriuretic peptide in a biological specimen.</t>
  </si>
  <si>
    <t>ProB-Type Natriuretic Peptide Measurement</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</si>
  <si>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</si>
  <si>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</si>
  <si>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</si>
  <si>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</si>
  <si>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</si>
  <si>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BNSBN</t>
  </si>
  <si>
    <t>BLym Naive Sub/BLym Naive</t>
  </si>
  <si>
    <t>B-Lymphocytes Naive Sub-Population/B-Lymphocytes, Naive; BLym Naive Sub/BLym Naive</t>
  </si>
  <si>
    <t>A relative measurement (ratio or percentage) of a subpopulation of naive B-lymphocytes to naive B-lymphocytes in a biological specimen.</t>
  </si>
  <si>
    <t>Naive B-Lymphocytes Subpopulation to Total B-Lymphocytes Naive Ratio Measurement</t>
  </si>
  <si>
    <t>BNZDZPN</t>
  </si>
  <si>
    <t>Benzodiazepine</t>
  </si>
  <si>
    <t>A measurement of any benzodiazepine class drug present in a biological specimen.</t>
  </si>
  <si>
    <t>Benzodiazepine Measurement</t>
  </si>
  <si>
    <t>BNZLCGN</t>
  </si>
  <si>
    <t>Benzoylecgonine</t>
  </si>
  <si>
    <t>A measurement of the benzoylecgonine in a biological specimen.</t>
  </si>
  <si>
    <t>Benzoylecgonine Measurement</t>
  </si>
  <si>
    <t>BNZOICAC</t>
  </si>
  <si>
    <t>Benzoic Acid</t>
  </si>
  <si>
    <t>Benzoate; Benzoic Acid</t>
  </si>
  <si>
    <t>A measurement of the benzoic acid in a specimen.</t>
  </si>
  <si>
    <t>Benzoic Acid Measurement</t>
  </si>
  <si>
    <t>BODLNGTH</t>
  </si>
  <si>
    <t>Body Length</t>
  </si>
  <si>
    <t>The linear extent in space from one end of the body to the other end, or the extent of the body from beginning to end.</t>
  </si>
  <si>
    <t>Total Body Length</t>
  </si>
  <si>
    <t>BODYFATM</t>
  </si>
  <si>
    <t>Body Fat Measurement</t>
  </si>
  <si>
    <t>A measurement of the total fat mass within the subject's body. (NCI)</t>
  </si>
  <si>
    <t>BOLDNON</t>
  </si>
  <si>
    <t>Boldenone</t>
  </si>
  <si>
    <t>A measurement of the boldenone in a biological specimen.</t>
  </si>
  <si>
    <t>Boldenone Measurement</t>
  </si>
  <si>
    <t>BOLSTRN</t>
  </si>
  <si>
    <t>Bolasterone</t>
  </si>
  <si>
    <t>A measurement of the bolasterone in a biological specimen.</t>
  </si>
  <si>
    <t>Bolasterone Measurement</t>
  </si>
  <si>
    <t>BORRDNA</t>
  </si>
  <si>
    <t>Borrelia DNA</t>
  </si>
  <si>
    <t>A measurement of the DNA from any member of the genus Borrelia in a biological specimen.</t>
  </si>
  <si>
    <t>Borrelia DNA Measurement</t>
  </si>
  <si>
    <t>BPA</t>
  </si>
  <si>
    <t>Bordetella parapertussis</t>
  </si>
  <si>
    <t>A measurement of the Bordetella parapertussis in a biological specimen.</t>
  </si>
  <si>
    <t>Bordetella Parapertussis Measurement</t>
  </si>
  <si>
    <t>BPADNA</t>
  </si>
  <si>
    <t>Bordetella parapertussis DNA</t>
  </si>
  <si>
    <t>A measurement of the Bordetella parapertussis DNA in a biological specimen.</t>
  </si>
  <si>
    <t>Bordetella Parapertussis DNA Measurement</t>
  </si>
  <si>
    <t>BPE</t>
  </si>
  <si>
    <t>Bordetella pertussis</t>
  </si>
  <si>
    <t>A measurement of the Bordetella pertussis in a biological specimen.</t>
  </si>
  <si>
    <t>Bordetella pertussis Measurement</t>
  </si>
  <si>
    <t>BPEAG</t>
  </si>
  <si>
    <t>Bordetella pertussis Antigen</t>
  </si>
  <si>
    <t>A measurement of the Bordetella pertussis antigen in a biological specimen.</t>
  </si>
  <si>
    <t>Bordetella pertussis Antigen Measurement</t>
  </si>
  <si>
    <t>BPEDNA</t>
  </si>
  <si>
    <t>Bordetella pertussis DNA</t>
  </si>
  <si>
    <t>A measurement of the Bordetella pertussis DNA in a biological specimen.</t>
  </si>
  <si>
    <t>Bordetella pertussis DNA Measurement</t>
  </si>
  <si>
    <t>BPSPTHAP</t>
  </si>
  <si>
    <t>Pathologic Appearance of Biopsy Site</t>
  </si>
  <si>
    <t>A description of the appearance of the anatomical site from which a biopsy specimen has been collected.</t>
  </si>
  <si>
    <t>BPY</t>
  </si>
  <si>
    <t>Burkholderia pyrrocinia</t>
  </si>
  <si>
    <t>A measurement of the Burkholderia pyrrocinia in a biological specimen.</t>
  </si>
  <si>
    <t>Burkholderia pyrrocinia Measurement</t>
  </si>
  <si>
    <t>BRADYKIN</t>
  </si>
  <si>
    <t>Bradykinesia</t>
  </si>
  <si>
    <t>An evaluation of bradykinesia (slow movement).</t>
  </si>
  <si>
    <t>Bradykinesia Evaluation</t>
  </si>
  <si>
    <t>BRBTL</t>
  </si>
  <si>
    <t>Barbital</t>
  </si>
  <si>
    <t>A measurement of the barbital in a biological specimen.</t>
  </si>
  <si>
    <t>Barbital Measurement</t>
  </si>
  <si>
    <t>BRCTRY</t>
  </si>
  <si>
    <t>Birth Country</t>
  </si>
  <si>
    <t>Birth Country; Country of Birth</t>
  </si>
  <si>
    <t>The name of the country in which the subject was born.</t>
  </si>
  <si>
    <t>BRCTRYCD</t>
  </si>
  <si>
    <t>Birth Country Code</t>
  </si>
  <si>
    <t>Birth Country Code; Country of Birth Code</t>
  </si>
  <si>
    <t>A coded value specifying the name of the country in which the subject was born.</t>
  </si>
  <si>
    <t>BRFEDIND</t>
  </si>
  <si>
    <t>Breast Fed Indicator</t>
  </si>
  <si>
    <t>An indication as to whether the subject was breast fed (received mother's milk) as an infant.</t>
  </si>
  <si>
    <t>BRFENDTC</t>
  </si>
  <si>
    <t>Breastfeeding End Date</t>
  </si>
  <si>
    <t>The date on which breastfeeding ended.</t>
  </si>
  <si>
    <t>BRFSTDTC</t>
  </si>
  <si>
    <t>Breastfeeding Start Date</t>
  </si>
  <si>
    <t>The date on which breastfeeding started.</t>
  </si>
  <si>
    <t>BRMZPM</t>
  </si>
  <si>
    <t>Bromazepam</t>
  </si>
  <si>
    <t>A measurement of the bromazepam in a biological specimen.</t>
  </si>
  <si>
    <t>Bromazepam Measurement</t>
  </si>
  <si>
    <t>BRTHFTN</t>
  </si>
  <si>
    <t>Number Full Term Live Births</t>
  </si>
  <si>
    <t>A measurement of the total number of live birth events at which the gestational age of the neonate is 39 weeks and 0 days through 40 weeks and 6 days.</t>
  </si>
  <si>
    <t>Number of Full Term Live Births</t>
  </si>
  <si>
    <t>BRTHLVN</t>
  </si>
  <si>
    <t>Number of Live Births</t>
  </si>
  <si>
    <t>A measurement of the total number of live-born offspring a female has delivered.</t>
  </si>
  <si>
    <t>BRTHN</t>
  </si>
  <si>
    <t>Number of Births</t>
  </si>
  <si>
    <t>A measurement of the total number of birth events experienced by a female.</t>
  </si>
  <si>
    <t>BRTHPRN</t>
  </si>
  <si>
    <t>Number of Premature Live Births</t>
  </si>
  <si>
    <t>A measurement of the total number of live birth events at which the gestational age of the neonate is less than 37 weeks and 0 days.</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</si>
  <si>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</si>
  <si>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</si>
  <si>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</si>
  <si>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BRTHWT</t>
  </si>
  <si>
    <t>Birth Weight</t>
  </si>
  <si>
    <t>A measurement of the weight of a neonate at birth.</t>
  </si>
  <si>
    <t>BRTLVIND</t>
  </si>
  <si>
    <t>Live Birth Indicator</t>
  </si>
  <si>
    <t>An indication as to whether the subject has ever delivered live-born offspring.</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</si>
  <si>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</si>
  <si>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</si>
  <si>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</si>
  <si>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</si>
  <si>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BRVRCTM</t>
  </si>
  <si>
    <t>Brivaracetam</t>
  </si>
  <si>
    <t>A measurement of the brivaracetam in a biological specimen.</t>
  </si>
  <si>
    <t>Brivaracetam Measurement</t>
  </si>
  <si>
    <t>BRXPIPZL</t>
  </si>
  <si>
    <t>Brexpiprazole</t>
  </si>
  <si>
    <t>A measurement of the brexpiprazole in a biological specimen.</t>
  </si>
  <si>
    <t>Brexpiprazole Measurement</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</si>
  <si>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</si>
  <si>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</si>
  <si>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</si>
  <si>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</si>
  <si>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</si>
  <si>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</si>
  <si>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</si>
  <si>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</si>
  <si>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BSI</t>
  </si>
  <si>
    <t>Boundary Shift Integral</t>
  </si>
  <si>
    <t>A measurement of change in volume of an organ or anatomical feature as determined by a shift in tissue boundary over time.</t>
  </si>
  <si>
    <t>BST</t>
  </si>
  <si>
    <t>Burkholderia stabilis</t>
  </si>
  <si>
    <t>A measurement of the Burkholderia stabilis in a biological specimen.</t>
  </si>
  <si>
    <t>Burkholderia stabilis Measurement</t>
  </si>
  <si>
    <t>BTC</t>
  </si>
  <si>
    <t>Betacellulin</t>
  </si>
  <si>
    <t>A measurement of the betacellulin in a biological specimen.</t>
  </si>
  <si>
    <t>Betacellulin Measurement</t>
  </si>
  <si>
    <t>BTCHTPL</t>
  </si>
  <si>
    <t>Battery Charging Temperature Limits</t>
  </si>
  <si>
    <t>The safe range of charging temperatures for a battery.</t>
  </si>
  <si>
    <t>BTCRATE</t>
  </si>
  <si>
    <t>Battery C-Rate</t>
  </si>
  <si>
    <t>Battery C-Rate; Battery Current Rating; C-Rate</t>
  </si>
  <si>
    <t>The rate at which a battery is discharged relative to its maximum capacity.</t>
  </si>
  <si>
    <t>Battery Current Rating</t>
  </si>
  <si>
    <t>BTCRTORG</t>
  </si>
  <si>
    <t>Battery Current Operating Range</t>
  </si>
  <si>
    <t>The range of current that a battery puts out to heat a heating element.</t>
  </si>
  <si>
    <t>BTDCTMPL</t>
  </si>
  <si>
    <t>Battery Discharge Temperature Limits</t>
  </si>
  <si>
    <t>The safe range of discharging temperatures for a battery.</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</si>
  <si>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</si>
  <si>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</si>
  <si>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</si>
  <si>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</si>
  <si>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BTENDCV</t>
  </si>
  <si>
    <t>Battery End of Discharge Voltage</t>
  </si>
  <si>
    <t>The voltage at which a battery is considered completely discharged.</t>
  </si>
  <si>
    <t>BTHGLIND</t>
  </si>
  <si>
    <t>Bartholin's Gland Abnormality Indicator</t>
  </si>
  <si>
    <t>An indication as to whether the Bartholin's gland is abnormal.</t>
  </si>
  <si>
    <t>BTHPLRTY</t>
  </si>
  <si>
    <t>Birth Plurality</t>
  </si>
  <si>
    <t>The number of fetuses delivered live or dead at any time in the pregnancy, regardless of gestational age or if the fetuses were delivered at different dates in the pregnancy. (CDC)</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</si>
  <si>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</si>
  <si>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</si>
  <si>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</si>
  <si>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</si>
  <si>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</si>
  <si>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BTKFR</t>
  </si>
  <si>
    <t>Bruton's Tyrosine Kinase, Free</t>
  </si>
  <si>
    <t>A measurement of the free Bruton's tyrosine kinase in a biological specimen.</t>
  </si>
  <si>
    <t>Free Bruton's Tyrosine Kinase Measurement</t>
  </si>
  <si>
    <t>BTLBARTL</t>
  </si>
  <si>
    <t>Butabarbital</t>
  </si>
  <si>
    <t>A measurement of the butabarbital in a biological specimen.</t>
  </si>
  <si>
    <t>Butabarbital Measurement</t>
  </si>
  <si>
    <t>BTLBTL</t>
  </si>
  <si>
    <t>Butalbital</t>
  </si>
  <si>
    <t>A measurement of the butalbital present in a biological specimen.</t>
  </si>
  <si>
    <t>Butalbital Measurement</t>
  </si>
  <si>
    <t>BTMXCHC</t>
  </si>
  <si>
    <t>Battery Maximum Charging Current</t>
  </si>
  <si>
    <t>The greatest amount of current that a battery can accept during charging.</t>
  </si>
  <si>
    <t>BTMXDCC</t>
  </si>
  <si>
    <t>Battery Maximum Discharging Current</t>
  </si>
  <si>
    <t>The greatest amount of current that a battery can discharge.</t>
  </si>
  <si>
    <t>BTRPHNL</t>
  </si>
  <si>
    <t>Butorphanol</t>
  </si>
  <si>
    <t>A measurement of the butorphanol in a biological specimen.</t>
  </si>
  <si>
    <t>Butorphanol Measurement</t>
  </si>
  <si>
    <t>BTULCHV</t>
  </si>
  <si>
    <t>Battery Upper Limit Charging Voltage</t>
  </si>
  <si>
    <t>The maximum voltage in charge for a battery.</t>
  </si>
  <si>
    <t>BTVLTORG</t>
  </si>
  <si>
    <t>Battery Voltage Operating Range</t>
  </si>
  <si>
    <t>The maximum voltage in charge and minimum voltage in discharge for a battery.</t>
  </si>
  <si>
    <t>BTYALD</t>
  </si>
  <si>
    <t>Butyraldehyde</t>
  </si>
  <si>
    <t>Butanal; Butyraldehyde</t>
  </si>
  <si>
    <t>A measurement of the butyraldehyde in a specimen.</t>
  </si>
  <si>
    <t>Butyraldehyde Measurement</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</si>
  <si>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</si>
  <si>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</si>
  <si>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</si>
  <si>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</si>
  <si>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</si>
  <si>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DO</t>
  </si>
  <si>
    <t>BULBNUM</t>
  </si>
  <si>
    <t>Number of Bulbs</t>
  </si>
  <si>
    <t>Number of Bulbs; Number of Light Bulbs</t>
  </si>
  <si>
    <t>The total number of light bulbs associated with the entity.</t>
  </si>
  <si>
    <t>BUPREN</t>
  </si>
  <si>
    <t>Buprenorphine</t>
  </si>
  <si>
    <t>A measurement of the buprenorphine drug present in a biological specimen.</t>
  </si>
  <si>
    <t>Buprenorphine Measurement</t>
  </si>
  <si>
    <t>BUPROP</t>
  </si>
  <si>
    <t>Bupropion</t>
  </si>
  <si>
    <t>A measurement of the bupropion in a biological specimen.</t>
  </si>
  <si>
    <t>Bupropion Measurement</t>
  </si>
  <si>
    <t>BURKHOLD</t>
  </si>
  <si>
    <t>Burkholderia</t>
  </si>
  <si>
    <t>A measurement of the organisms that are not assigned to the species level but are assigned to the Burkholderia genus level in a biological specimen.</t>
  </si>
  <si>
    <t>Burkholderia Measurement</t>
  </si>
  <si>
    <t>BURRCE</t>
  </si>
  <si>
    <t>Burr Cells</t>
  </si>
  <si>
    <t>Burr Cells; Echinocytes</t>
  </si>
  <si>
    <t>A measurement of the Burr cells (erythrocytes characterized by the presence of small, blunt projections evenly distributed across the cell surface) in a biological specimen.</t>
  </si>
  <si>
    <t>Burr Cell Count</t>
  </si>
  <si>
    <t>BUTANOL</t>
  </si>
  <si>
    <t>n-Butanol</t>
  </si>
  <si>
    <t>1-Butanol; Butan-1-ol; Butanol; Butyl Alcohol; n-Butanol; N-Butyl Alcohol</t>
  </si>
  <si>
    <t>A measurement of the n-butanol in a specimen.</t>
  </si>
  <si>
    <t>n-Butanol Measurement</t>
  </si>
  <si>
    <t>BUTDN1_3</t>
  </si>
  <si>
    <t>1,3-Butadiene</t>
  </si>
  <si>
    <t>A measurement of the 1,3-butadiene in a specimen.</t>
  </si>
  <si>
    <t>1,3-Butadiene Measurement</t>
  </si>
  <si>
    <t>BUTYLN</t>
  </si>
  <si>
    <t>Butylone</t>
  </si>
  <si>
    <t>A measurement of the butylone in a biological specimen.</t>
  </si>
  <si>
    <t>Butylone Measurement</t>
  </si>
  <si>
    <t>BVI</t>
  </si>
  <si>
    <t>Burkholderia vietnamiensis</t>
  </si>
  <si>
    <t>A measurement of the Burkholderia vietnamiensis in a biological specimen.</t>
  </si>
  <si>
    <t>Burkholderia vietnamiensis Measurement</t>
  </si>
  <si>
    <t>BZAATC</t>
  </si>
  <si>
    <t>Benzo[a]anthracene</t>
  </si>
  <si>
    <t>Benz(a)anthracene; Benz[a]anthracene; Benzo(a)anthracene; Benzo[a]anthracene</t>
  </si>
  <si>
    <t>A measurement of the benzo[a]anthracene in a specimen.</t>
  </si>
  <si>
    <t>Benzo[a]anthracene Measurement</t>
  </si>
  <si>
    <t>BZACT</t>
  </si>
  <si>
    <t>Benzyl Acetate</t>
  </si>
  <si>
    <t>Benzyl acetate; Benzyl Acetic Acid</t>
  </si>
  <si>
    <t>A measurement of the benzyl acetate in a specimen.</t>
  </si>
  <si>
    <t>Benzyl Acetate Measurement</t>
  </si>
  <si>
    <t>BZAPYR</t>
  </si>
  <si>
    <t>Benzo[a]pyrene</t>
  </si>
  <si>
    <t>3,4-Benzpyrene; Benz(a)pyrene; Benz[a]pyrene; Benzo(a)pyrene; Benzo[a]pyrene</t>
  </si>
  <si>
    <t>A measurement of the benzo[a]pyrene in a specimen.</t>
  </si>
  <si>
    <t>Benzo[a]pyrene Measurement</t>
  </si>
  <si>
    <t>BZBFLAN</t>
  </si>
  <si>
    <t>Benzo[b]fluoranthene</t>
  </si>
  <si>
    <t>Benz(b)fluoranthene; Benz[b]fluoranthene; Benzo(b)fluoranthene; Benzo[b]fluoranthene</t>
  </si>
  <si>
    <t>A measurement of the benzo[b]fluoranthene in a specimen.</t>
  </si>
  <si>
    <t>Benzo[b]fluoranthene Measurement</t>
  </si>
  <si>
    <t>BZBFURAN</t>
  </si>
  <si>
    <t>Benzo[b]furan</t>
  </si>
  <si>
    <t>1-Benzofuran; Benz(b)furan; Benz[b]furan; Benzo(b)furan; Benzo[b]furan; Benzofuran; Coumarone</t>
  </si>
  <si>
    <t>A measurement of the benzo[b]furan in a specimen.</t>
  </si>
  <si>
    <t>Benzo[b]furan Measurement</t>
  </si>
  <si>
    <t>BZCPHNTR</t>
  </si>
  <si>
    <t>Benzo[c]phenanthrene</t>
  </si>
  <si>
    <t>Benz(c)phenanthrene; Benz[c]phenanthrene; Benzo(c)phenanthrene; Benzo[c]phenanthrene</t>
  </si>
  <si>
    <t>A measurement of the benzo[c]phenanthrene in a specimen.</t>
  </si>
  <si>
    <t>Benzo[c]phenanthrene Measurement</t>
  </si>
  <si>
    <t>BZJAAL</t>
  </si>
  <si>
    <t>Benzo[j]aceanthrylene</t>
  </si>
  <si>
    <t>Benz(j)aceanthrylene; Benz[j]aceanthrylene; Benzo(j)aceanthrylene; Benzo[j]aceanthrylene</t>
  </si>
  <si>
    <t>A measurement of the benzo[j]aceanthrylene in a specimen.</t>
  </si>
  <si>
    <t>Benzo[j]aceanthrylene Measurement</t>
  </si>
  <si>
    <t>BZKFLAN</t>
  </si>
  <si>
    <t>Benzo[k]fluoranthene</t>
  </si>
  <si>
    <t>Benz(k)fluoranthene; Benz[k]fluoranthene; Benzo(k)fluoranthene; Benzo[k]fluoranthene</t>
  </si>
  <si>
    <t>A measurement of the benzo[k]fluoranthene in a specimen.</t>
  </si>
  <si>
    <t>Benzo[k]fluoranthene Measurement</t>
  </si>
  <si>
    <t>BZP</t>
  </si>
  <si>
    <t>Benzylpiperazine</t>
  </si>
  <si>
    <t>1-benzylpiperazine; Benzylpiperazine; N-benzylpiperazine</t>
  </si>
  <si>
    <t>A measurement of the benzylpiperazine in a biological specimen.</t>
  </si>
  <si>
    <t>Benzylpiperazine Measurement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</si>
  <si>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</si>
  <si>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</si>
  <si>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</si>
  <si>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</si>
  <si>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</si>
  <si>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</si>
  <si>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</si>
  <si>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</si>
  <si>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</si>
  <si>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</si>
  <si>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</si>
  <si>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</si>
  <si>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</si>
  <si>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</si>
  <si>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</si>
  <si>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</si>
  <si>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</si>
  <si>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</si>
  <si>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</si>
  <si>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</si>
  <si>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</si>
  <si>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</si>
  <si>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</si>
  <si>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</si>
  <si>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</si>
  <si>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</si>
  <si>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</si>
  <si>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</si>
  <si>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</si>
  <si>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</si>
  <si>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</si>
  <si>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</si>
  <si>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</si>
  <si>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</si>
  <si>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</si>
  <si>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</si>
  <si>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</si>
  <si>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</si>
  <si>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</si>
  <si>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</si>
  <si>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</si>
  <si>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</si>
  <si>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</si>
  <si>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</si>
  <si>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</si>
  <si>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</si>
  <si>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</si>
  <si>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</si>
  <si>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</si>
  <si>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</si>
  <si>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</si>
  <si>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</si>
  <si>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C189300</t>
  </si>
  <si>
    <t>Mono/Non-TBNK Leuk</t>
  </si>
  <si>
    <t>A relative measurement (ratio or percentage) of the monocytes to all leukocytes that are not T-cells, B-cells, or natural killer cells in a biological specimen.</t>
  </si>
  <si>
    <t>Monocyte to Non-TBNK Leukocyte Ratio Measurement</t>
  </si>
  <si>
    <t>C189371</t>
  </si>
  <si>
    <t>Mono Classic Sub/Non-TBNK Leuk</t>
  </si>
  <si>
    <t>Mono Classic Sub-population/Non-TBNK Leukocytes; Mono Classic Sub/Non-TBNK Leuk</t>
  </si>
  <si>
    <t>A relative measurement (ratio or percentage) of a sub-population of classical monocytes to all leukocytes that are not T-cells, B-cells, or natural killer cells, in a biological specimen.</t>
  </si>
  <si>
    <t>Classical Monocyte Subpopulation to Non-TBNK Leukocyte Ratio Measurement</t>
  </si>
  <si>
    <t>C189373</t>
  </si>
  <si>
    <t>Mono Intermed Sub/Non-TBNK Leuk</t>
  </si>
  <si>
    <t>Mono Intermed Sub/Non-TBNK; Mono Intermed Sub/Non-TBNK Leuk; Monocytes Intermediate Sub-Population/Non-TBNK Leukocytes</t>
  </si>
  <si>
    <t>A relative measurement (ratio or percentage) of a sub-population of intermediate monocytes to all leukocytes that are not T-cells, B-cells, or natural killer cells, in a biological specimen.</t>
  </si>
  <si>
    <t>Intermediate Monocyte Subpopulation to Non-TBNK Leukocyte Ratio Measurement</t>
  </si>
  <si>
    <t>C189374</t>
  </si>
  <si>
    <t>Mono NonClassic Sub/Non-TBNK Leuk</t>
  </si>
  <si>
    <t>Mono NonClassic Sub/Non-TBNK Leuk; Monocytes Non-Classical Sub-Population/Non-TBNK Leukocytes</t>
  </si>
  <si>
    <t>A relative measurement (ratio or percentage) of a sub-population of non-classical monocytes to all leukocytes that are not T-cells, B-cells, or natural killer cells, in a biological specimen.</t>
  </si>
  <si>
    <t>Non-Classical Monocyte Subpopulation to Non-TBNK Leukocyte Ratio Measurement</t>
  </si>
  <si>
    <t>C189381</t>
  </si>
  <si>
    <t>MDSC/Non-TBNK Leuk</t>
  </si>
  <si>
    <t>MDSC/Non-TBNK Leuk; MDSC/Non-TBNK Leukocytes; Myeloid-Derived Suppressor Cells/Non-TBNK Leukocytes</t>
  </si>
  <si>
    <t>A relative measurement (ratio or percentage) of the myeloid-derived suppressor cells to all leukocytes that are not T-cells, B-cells, or natural killer cells, in a biological specimen.</t>
  </si>
  <si>
    <t>Myeloid-Derived Suppressor Cell to Non-TBNK Leukocyte Ratio Measurement</t>
  </si>
  <si>
    <t>C189382</t>
  </si>
  <si>
    <t>Mono Classic/Non-TBNK Leuk</t>
  </si>
  <si>
    <t>Mono Classic/Non-TBNK Leuk; Monocytes Classical/Non-TBNK Leukocytes</t>
  </si>
  <si>
    <t>A relative measurement (ratio or percentage) of the classical monocytes to all leukocytes that are not T-cells, B-cells, or natural killer cells, in a biological specimen.</t>
  </si>
  <si>
    <t>Classical Monocyte to Non-TBNK Leukocyte Ratio Measurement</t>
  </si>
  <si>
    <t>C189383</t>
  </si>
  <si>
    <t>Mono Intermed/Non-TBNK Leuk</t>
  </si>
  <si>
    <t>Mono Intermed/Non-TBNK Leuk; Monocytes Intermediate/Non-TBNK Leukocytes</t>
  </si>
  <si>
    <t>A relative measurement (ratio or percentage) of the intermediate monocytes to all leukocytes that are not T-cells, B-cells, or natural killer cells, in a biological specimen.</t>
  </si>
  <si>
    <t>Intermediate Monocyte to Non-TBNK Leukocyte Ratio Measurement</t>
  </si>
  <si>
    <t>C189384</t>
  </si>
  <si>
    <t>Mono NonClassic/Non-TBNK Leuk</t>
  </si>
  <si>
    <t>Mono NonClassic/Non-TBNK Leuk; Monocytes Non-Classical/Non-TBNK Leukocytes</t>
  </si>
  <si>
    <t>A relative measurement (ratio or percentage) of the non-classical monocytes to all leukocytes that are not T-cells, B-cells, or natural killer cells, in a biological specimen.</t>
  </si>
  <si>
    <t>Non-Classical Monocyte to Non-TBNK Leukocyte Ratio Measurement</t>
  </si>
  <si>
    <t>C191206</t>
  </si>
  <si>
    <t>TLym Cytx SC Mem Sub/TLym Cytx</t>
  </si>
  <si>
    <t>T-Lymphocytes Cytotoxic Stem Cell Memory Sub-Population/T-Lymphocytes Cytotoxic; TLym Cytx SC Mem Sub/TLym Cytx</t>
  </si>
  <si>
    <t>A relative measurement (ratio or percentage) of a sub-population of cytotoxic stem cell memory T-lymphocytes to total cytotoxic T-lymphocytes in a biological specimen.</t>
  </si>
  <si>
    <t>Stem Cell Memory Cytotoxic T-Lymphocyte Subpopulation to Cytotoxic T-Lymphocyte Ratio Measurement</t>
  </si>
  <si>
    <t>C191217</t>
  </si>
  <si>
    <t>TLym Cytx SC Mem/TLym Cytx</t>
  </si>
  <si>
    <t>T-Lymphocytes Cytotoxic Stem Cell Memory/T-Lymphocytes Cytotoxic; TLym Cytx SC Mem/TLym Cytx</t>
  </si>
  <si>
    <t>A relative measurement (ratio or percentage) of the cytotoxic stem cell memory T-lymphocytes to total cytotoxic T-lymphocytes in a biological specimen.</t>
  </si>
  <si>
    <t>Stem Cell Memory Cytotoxic T-Lymphocyte to Cytotoxic T-Lymphocyte Ratio Measurement</t>
  </si>
  <si>
    <t>C191218</t>
  </si>
  <si>
    <t>TLym Cytx SC Mem/TLymCN</t>
  </si>
  <si>
    <t>T-Lymphocytes Cytotoxic Stem Cell Memory/T-Lymphocytes Cytotoxic Naive; TLym Cytx SC Mem/TLymCN</t>
  </si>
  <si>
    <t>A relative measurement (ratio or percentage) of the cytotoxic stem cell memory T-lymphocytes to cytotoxic naive T-lymphocytes in a biological specimen.</t>
  </si>
  <si>
    <t>Stem Cell Memory Cytotoxic T-Lymphocyte to Naive Cytotoxic T-Lymphocyte Ratio Measurement</t>
  </si>
  <si>
    <t>C191219</t>
  </si>
  <si>
    <t>TLym Cytx Term Mem Sub/TLym Cytx</t>
  </si>
  <si>
    <t>T-Lymphocytes Cytotoxic Terminal Memory Sub-Population/T-Lymphocytes Cytotoxic; TLym Cytx Term Mem Sub/TLym Cytx</t>
  </si>
  <si>
    <t>A relative measurement (ratio or percentage) of a sub-population of cytotoxic terminal memory T-lymphocytes to total cytotoxic T-lymphocytes in a biological specimen.</t>
  </si>
  <si>
    <t>Terminal Memory Cytotoxic T-Lymphocyte Subpopulation to Cytotoxic T-Lymphocyte Ratio Measurement</t>
  </si>
  <si>
    <t>C199707</t>
  </si>
  <si>
    <t>TLym Cytx Mem GH Sub/TLymCM</t>
  </si>
  <si>
    <t>T-Lymphocytes Cytotoxic Memory Gut-Homing Sub-Population/T-Lymphocytes Cytotoxic Memory; TLym Cytx Mem GH Sub/TLym Cytx Mem; TLym Cytx Mem GH Sub/TLymCM</t>
  </si>
  <si>
    <t>A relative measurement (ratio or percentage) of a sub-population of gut-homing cytotoxic memory T-lymphocytes to total cytotoxic memory T-lymphocytes in a biological specimen.</t>
  </si>
  <si>
    <t>Gut-Homing Cytotoxic Memory T-Lymphocyte Subpopulation to Cytotoxic Memory T-Lymphocyte Ratio Measurement</t>
  </si>
  <si>
    <t>C199714</t>
  </si>
  <si>
    <t>TLym Cytx Mem SH Sub/TLymCM</t>
  </si>
  <si>
    <t>T-Lymphocytes Cytotoxic Memory Skin-Homing Sub-Population/T-Lymphocytes Cytotoxic Memory; TLym Cytx Mem SH Sub/TLym Cytx Mem; TLym Cytx Mem SH Sub/TLymCM</t>
  </si>
  <si>
    <t>A relative measurement (ratio or percentage) of a sub-population of skin-homing cytotoxic memory T-lymphocytes to total cytotoxic memory T-lymphocytes in a biological specimen.</t>
  </si>
  <si>
    <t>Skin-Homing Cytotoxic Memory T-Lymphocyte Subpopulation to Cytotoxic Memory T-Lymphocyte Ratio Measurement</t>
  </si>
  <si>
    <t>C199718</t>
  </si>
  <si>
    <t>TLym Cytx Cen Mem GH/TLymCCM</t>
  </si>
  <si>
    <t>T-Lymphocytes Cytotoxic Central Memory Gut-Homing/T-Lymphocytes Cytotoxic Central Memory; TLym Cytx Cen Mem GH/TLym Cytx Cen Mem; TLym Cytx Cen Mem GH/TLymCCM</t>
  </si>
  <si>
    <t>A relative measurement (ratio or percentage) of the gut-homing cytotoxic central memory T-lymphocytes to total cytotoxic central memory T-lymphocytes in a biological specimen.</t>
  </si>
  <si>
    <t>Gut-Homing Cytotoxic Central Memory T-Lymphocyte to Cytotoxic Central Memory T-Lymphocyte Ratio Measurement</t>
  </si>
  <si>
    <t>C199720</t>
  </si>
  <si>
    <t>TLym Cytx Cen Mem GH Sub/TLymC</t>
  </si>
  <si>
    <t>T-Lymphocytes Cytotoxic Central Memory Gut-Homing Sub-Population/T-Lymphocytes Cytotoxic; TLym Cytx Cen Mem GH Sub/TLym Cytx; TLym Cytx Cen Mem GH Sub/TLymC</t>
  </si>
  <si>
    <t>A relative measurement (ratio or percentage) of a sub-population of gut-homing cytotoxic central memory T-lymphocytes to total cytotoxic T-lymphocytes in a biological specimen.</t>
  </si>
  <si>
    <t>Gut-Homing Cytotoxic Central Memory T-Lymphocyte Subpopulation to Cytotoxic T-Lymphocyte Ratio Measurement</t>
  </si>
  <si>
    <t>C199721</t>
  </si>
  <si>
    <t>TLym Cytx Cen Mem GH Sub/TLymCCM</t>
  </si>
  <si>
    <t>T-Lymphocytes Cytotoxic Central Memory Gut-Homing Sub-Population/T-Lymphocytes Cytotoxic Central Memory; TLym Cytx Cen Mem GH Sub/TLym Cytx Cen Mem; TLym Cytx Cen Mem GH Sub/TLymCCM; TLym Cytx Cen Mem Gut-Homing Sub/TLymCCM</t>
  </si>
  <si>
    <t>A relative measurement (ratio or percentage) of a sub-population of gut-homing cytotoxic central memory T-lymphocytes to total gut-homing cytotoxic T-lymphocytes in a biological specimen.</t>
  </si>
  <si>
    <t>Gut-Homing Cytotoxic Central Memory T-Lymphocyte Subpopulation to Gut-Homing Cytotoxic T-Lymphocyte Ratio Measurement</t>
  </si>
  <si>
    <t>C199725</t>
  </si>
  <si>
    <t>TLym Cytx Cen Mem SH/TLymCCM</t>
  </si>
  <si>
    <t>T-Lymphocytes Cytotoxic Central Memory Skin-Homing/T-Lymphocytes Cytotoxic Central Memory; TLym Cytx Cen Mem SH/TLym Cytx Cen Mem; TLym Cytx Cen Mem SH/TLymCCM</t>
  </si>
  <si>
    <t>A relative measurement (ratio or percentage) of the skin-homing cytotoxic central memory T-lymphocytes to total cytotoxic central memory T-lymphocytes in a biological specimen.</t>
  </si>
  <si>
    <t>Skin-Homing Cytotoxic Central Memory T-Lymphocyte to Cytotoxic Central Memory T-Lymphocyte Ratio Measurement</t>
  </si>
  <si>
    <t>C199727</t>
  </si>
  <si>
    <t>TLym Cytx Cen Mem SH Sub/TLymC</t>
  </si>
  <si>
    <t>T-Lymphocytes Cytotoxic Central Memory Skin-Homing Sub-Population/T-Lymphocytes Cytotoxic; TLym Cytx Cen Mem SH Sub/TLym Cytx; TLym Cytx Cen Mem SH Sub/TLymC</t>
  </si>
  <si>
    <t>A relative measurement (ratio or percentage) of a sub-population of skin-homing cytotoxic central memory T-lymphocytes to total cytotoxic T-lymphocytes in a biological specimen.</t>
  </si>
  <si>
    <t>Skin-Homing Cytotoxic Central Memory T-Lymphocyte Subpopulation to Cytotoxic T-Lymphocyte Ratio Measurement</t>
  </si>
  <si>
    <t>C199728</t>
  </si>
  <si>
    <t>TLym Cytx Cen Mem SH Sub/TLymCCM</t>
  </si>
  <si>
    <t>T-Lymphocytes Cytotoxic Central Memory Skin-Homing Sub-Population/T-Lymphocytes Cytotoxic Central Memory; TLym Cytx Cen Mem SH Sub/TLym Cytx Cen Mem; TLym Cytx Cen Mem SH Sub/TLymCCM; TLym Cytx Cen Mem Skin-Homing Sub/TLymCCM</t>
  </si>
  <si>
    <t>A relative measurement (ratio or percentage) of a sub-population of skin-homing cytotoxic central memory T-lymphocytes to total cytotoxic central memory T-lymphocytes in a biological specimen.</t>
  </si>
  <si>
    <t>Skin-Homing Cytotoxic Central Memory T-Lymphocyte Subpopulation to Cytotoxic Central Memory T-Lymphocyte Ratio Measurement</t>
  </si>
  <si>
    <t>C199732</t>
  </si>
  <si>
    <t>TLym Cytx Eff Mem GH/TLymCEM</t>
  </si>
  <si>
    <t>T-Lymphocytes Cytotoxic Effector Memory Gut-Homing/T-Lymphocytes Cytotoxic Effector Memory; TLym Cytx Eff Mem GH/TLym Cytx Eff Mem; TLym Cytx Eff Mem GH/TLymCEM</t>
  </si>
  <si>
    <t>A relative measurement (ratio or percentage) of the gut-homing cytotoxic effector memory T-lymphocytes to total cytotoxic effector memory T-lymphocytes in a biological specimen.</t>
  </si>
  <si>
    <t>Gut-Homing Cytotoxic Effector Memory T-Lymphocyte to Cytotoxic T-Lymphocyte to Cytotoxic Effector Memory T-Lymphocyte Ratio Measurement</t>
  </si>
  <si>
    <t>C199734</t>
  </si>
  <si>
    <t>TLym Cytx Eff Mem GH Sub/TLymC</t>
  </si>
  <si>
    <t>T-Lymphocytes Cytotoxic Effector Memory Gut-Homing Sub-Population/T-Lymphocytes Cytotoxic; TLym Cytx Eff Mem GH Sub/TLym Cytx; TLym Cytx Eff Mem GH Sub/TLymC</t>
  </si>
  <si>
    <t>A relative measurement (ratio or percentage) of a sub-population of gut-homing cytotoxic effector memory T-lymphocytes to total cytotoxic T-lymphocytes in a biological specimen.</t>
  </si>
  <si>
    <t>Gut-Homing Cytotoxic Effector Memory T-Lymphocyte Subpopulation to Cytotoxic T-Lymphocyte Ratio Measurement</t>
  </si>
  <si>
    <t>C199735</t>
  </si>
  <si>
    <t>TLym Cytx Eff Mem GH Sub/TLymCEM</t>
  </si>
  <si>
    <t>T-Lymphocytes Cytotoxic Effector Memory Gut-Homing Sub-Population/T-Lymphocytes Cytotoxic Effector Memory; TLym Cytx Eff Mem GH Sub/TLym Cytx Eff Mem; TLym Cytx Eff Mem GH Sub/TLymCEM; TLym Cytx Eff Mem Gut-Homing Sub/TLymCEM</t>
  </si>
  <si>
    <t>A relative measurement (ratio or percentage) of a sub-population of gut-homing cytotoxic effector memory T-lymphocytes to total cytotoxic effector T-lymphocytes in a biological specimen.</t>
  </si>
  <si>
    <t>Gut-Homing Cytotoxic Effector Memory T-Lymphocyte Subpopulation to Cytotoxic Effector T-Lymphocyte Ratio Measurement</t>
  </si>
  <si>
    <t>C199739</t>
  </si>
  <si>
    <t>TLym Cytx Eff Mem SH/TLymCEM</t>
  </si>
  <si>
    <t>T-Lymphocytes Cytotoxic Effector Memory Skin-Homing/T-Lymphocytes Cytotoxic Effector Memory; TLym Cytx Eff Mem SH/TLym Cytx Eff Mem; TLym Cytx Eff Mem SH/TLymCEM</t>
  </si>
  <si>
    <t>A relative measurement (ratio or percentage) of the skin-homing cytotoxic effector memory T-lymphocytes to total cytotoxic effector memory T-lymphocytes in a biological specimen.</t>
  </si>
  <si>
    <t>Skin-Homing Cytotoxic Effector Memory T-Lymphocyte to Cytotoxic Effector Memory T-Lymphocyte Ratio Measurement</t>
  </si>
  <si>
    <t>C199741</t>
  </si>
  <si>
    <t>TLym Cytx Eff Mem SH Sub/TLymC</t>
  </si>
  <si>
    <t>T-Lymphocytes Cytotoxic Effector Memory Skin-Homing Sub-Population/T-Lymphocytes Cytotoxic; TLym Cytx Eff Mem SH Sub/TLym Cytx; TLym Cytx Eff Mem SH Sub/TLymC</t>
  </si>
  <si>
    <t>A relative measurement (ratio or percentage) of a sub-population of skin-homing cytotoxic effector memory T-lymphocytes to total cytotoxic T-lymphocytes in a biological specimen.</t>
  </si>
  <si>
    <t>Skin-Homing Cytotoxic Effector Memory T-Lymphocyte Subpopulation to Cytotoxic T-Lymphocyte Ratio Measurement</t>
  </si>
  <si>
    <t>C199742</t>
  </si>
  <si>
    <t>TLym Cytx Eff Mem SH Sub/TLymCEM</t>
  </si>
  <si>
    <t>T-Lymphocytes Cytotoxic Effector Memory Skin-Homing Sub-Population/T-Lymphocytes Cytotoxic Effector Memory; TLym Cytx Eff Mem SH Sub/TLym Cytx Eff Mem; TLym Cytx Eff Mem SH Sub/TLymCEM; TLym Cytx Eff Mem Skin-Homing Sub/TLymCEM</t>
  </si>
  <si>
    <t>A relative measurement (ratio or percentage) of a sub-population of skin-homing cytotoxic effector memory T-lymphocytes to total cytotoxic effector memory T-lymphocytes in a biological specimen.</t>
  </si>
  <si>
    <t>Skin-Homing Cytotoxic Effector Memory T-Lymphocyte Subpopulation to Cytotoxic Effector Memory T-Lymphocyte Ratio Measurement</t>
  </si>
  <si>
    <t>C199746</t>
  </si>
  <si>
    <t>TLym Cytx Term Mem GH/TLymCTM</t>
  </si>
  <si>
    <t>T-Lymphocytes Cytotoxic Terminal Memory Gut-Homing/T-Lymphocytes Cytotoxic Terminal Memory; TLym Cytx Term Mem GH/TLym Cytx Term Mem; TLym Cytx Term Mem GH/TLymCTM</t>
  </si>
  <si>
    <t>A relative measurement (ratio or percentage) of the gut-homing cytotoxic terminal memory T-lymphocytes to total cytotoxic terminal memory T-lymphocytes in a biological specimen.</t>
  </si>
  <si>
    <t>Gut-Homing Cytotoxic Terminal Memory T-Lymphocyte to Cytotoxic Terminal Memory T-Lymphocyte Ratio Measurement</t>
  </si>
  <si>
    <t>C199748</t>
  </si>
  <si>
    <t>TLym Cytx Term Mem GH Sub/TLymC</t>
  </si>
  <si>
    <t>T-Lymphocytes Cytotoxic Terminal Memory Gut-Homing Sub-Population/T-Lymphocytes Cytotoxic; TLym Cytx Term Mem GH Sub/TLym Cytx; TLym Cytx Term Mem GH Sub/TLymC</t>
  </si>
  <si>
    <t>A relative measurement (ratio or percentage) of a sub-population of gut-homing cytotoxic terminal memory T-lymphocytes to total cytotoxic T-lymphocytes in a biological specimen.</t>
  </si>
  <si>
    <t>Gut-Homing Cytotoxic Terminal Memory T-Lymphocyte Subpopulation to Cytotoxic T-Lymphocyte Ratio Measurement</t>
  </si>
  <si>
    <t>C199749</t>
  </si>
  <si>
    <t>TLym Cytx Term Mem GH Sub/TLymCTM</t>
  </si>
  <si>
    <t>T-Lymphocytes Cytotoxic Terminal Memory Gut-Homing Sub-Population/T-Lymphocytes Cytotoxic Terminal Memory; TLym Cytx Term Mem GH Sub/TLym Cytx Term Mem; TLym Cytx Term Mem GH Sub/TLymCTM; TLym Cytx Term Mem Gut-Homing Sub/TLymCTM</t>
  </si>
  <si>
    <t>A relative measurement (ratio or percentage) of a sub-population of gut-homing cytotoxic terminal memory T-lymphocytes to total cytotoxic terminal memory T-lymphocytes in a biological specimen.</t>
  </si>
  <si>
    <t>Gut-Homing Cytotoxic Terminal Memory T-Lymphocyte Subpopulation to Cytotoxic Terminal Memory T-Lymphocyte Ratio Measurement</t>
  </si>
  <si>
    <t>C199753</t>
  </si>
  <si>
    <t>TLym Cytx Term Mem SH/TLymCTM</t>
  </si>
  <si>
    <t>T-Lymphocytes Cytotoxic Terminal Memory Skin-Homing/T-Lymphocytes Cytotoxic Terminal Memory; TLym Cytx Term Mem SH/TLym Cytx Term Mem; TLym Cytx Term Mem SH/TLymCTM</t>
  </si>
  <si>
    <t>A relative measurement (ratio or percentage) of the skin-homing cytotoxic terminal memory T-lymphocytes to total cytotoxic terminal memory T-lymphocytes in a biological specimen.</t>
  </si>
  <si>
    <t>Skin-Homing Cytotoxic Terminal Memory T-Lymphocyte to Cytotoxic Terminal Memory T-Lymphocyte Ratio Measurement</t>
  </si>
  <si>
    <t>C199755</t>
  </si>
  <si>
    <t>TLym Cytx Term Mem SH Sub/TLymC</t>
  </si>
  <si>
    <t>T-Lymphocytes Cytotoxic Terminal Memory Skin-Homing Sub-Population/T-Lymphocytes Cytotoxic; TLym Cytx Term Mem SH Sub/TLym Cytx; TLym Cytx Term Mem SH Sub/TLymC</t>
  </si>
  <si>
    <t>A relative measurement (ratio or percentage) of a sub-population of skin-homing cytotoxic terminal memory T-lymphocytes to total cytotoxic T-lymphocytes in a biological specimen.</t>
  </si>
  <si>
    <t>Skin-Homing Cytotoxic Terminal Memory T-Lymphocyte Subpopulation to Cytotoxic T-Lymphocyte Ratio Measurement</t>
  </si>
  <si>
    <t>C199756</t>
  </si>
  <si>
    <t>TLym Cytx Term Mem SH Sub/TLymCTM</t>
  </si>
  <si>
    <t>T-Lymphocytes Cytotoxic Terminal Memory Skin-Homing Sub-Population/T-Lymphocytes Cytotoxic Terminal Memory; TLym Cytx Term Mem SH Sub/TLym Cytx Term Mem; TLym Cytx Term Mem SH Sub/TLymCTM; TLym Cytx Term Mem Skin-Homing Sub/TLymCTM</t>
  </si>
  <si>
    <t>A relative measurement (ratio or percentage) of a sub-population of skin-homing cytotoxic terminal memory T-lymphocytes to total cytotoxic terminal memory T-lymphocytes in a biological specimen.</t>
  </si>
  <si>
    <t>Skin-Homing Cytotoxic Terminal Memory T-Lymphocyte Subpopulation to Cytotoxic Terminal Memory T-Lymphocyte Ratio Measurement</t>
  </si>
  <si>
    <t>C199763</t>
  </si>
  <si>
    <t>TLym Help Mem GH Sub/TLymHM</t>
  </si>
  <si>
    <t>T-Lymphocytes Helper Memory Gut-Homing Sub-Population/T-Lymphocytes Helper Memory; TLym Help Mem GH Sub/TLym Help Mem; TLym Help Mem GH Sub/TLymHM</t>
  </si>
  <si>
    <t>A relative measurement (ratio or percentage) of a sub-population of gut-homing helper memory T-lymphocytes to total helper memory T-lymphocytes in a biological specimen.</t>
  </si>
  <si>
    <t>Gut-Homing Helper Memory T-Lymphocyte Subpopulation to Helper Memory T-Lymphocyte Ratio Measurement</t>
  </si>
  <si>
    <t>C199770</t>
  </si>
  <si>
    <t>TLym Help Mem SH Sub/TLymHM</t>
  </si>
  <si>
    <t>T-Lymphocytes Helper Memory Skin-Homing Sub-Population/T-Lymphocytes Helper Memory; TLym Help Mem SH Sub/TLym Help Mem; TLym Help Mem SH Sub/TLymHM</t>
  </si>
  <si>
    <t>A relative measurement (ratio or percentage) of a sub-population of skin-homing helper memory T-lymphocytes to total helper memory T-lymphocytes in a biological specimen.</t>
  </si>
  <si>
    <t>Skin-Homing Helper Memory T-Lymphocyte Subpopulation to Helper Memory T-Lymphocyte Ratio Measurement</t>
  </si>
  <si>
    <t>C199774</t>
  </si>
  <si>
    <t>TLym Help Cen Mem GH/TLymHCM</t>
  </si>
  <si>
    <t>T-Lymphocytes Helper Central Memory Gut-Homing/T-Lymphocytes Helper Central Memory; TLym Help Cen Mem GH/TLym Help Cen Mem; TLym Help Cen Mem GH/TLymHCM</t>
  </si>
  <si>
    <t>A relative measurement (ratio or percentage) of the gut-homing helper central memory T-lymphocytes to total helper central memory T-lymphocytes in a biological specimen.</t>
  </si>
  <si>
    <t>Gut-Homing Helper Central Memory T-Lymphocyte to Helper Central Memory T-Lymphocyte Ratio Measurement</t>
  </si>
  <si>
    <t>C199776</t>
  </si>
  <si>
    <t>TLym Help Cen Mem GH Sub/TLymH</t>
  </si>
  <si>
    <t>T-Lymphocytes Helper Central Memory Gut-Homing Sub-Population/T-Lymphocytes Helper; TLym Help Cen Mem GH Sub/TLym Help; TLym Help Cen Mem GH Sub/TLymH</t>
  </si>
  <si>
    <t>A relative measurement (ratio or percentage) of a sub-population of gut-homing helper central memory T-lymphocytes to total helper T-lymphocytes in a biological specimen.</t>
  </si>
  <si>
    <t>Gut-Homing Helper Central Memory T-Lymphocyte Subpopulation to Helper T-Lymphocyte Ratio Measurement</t>
  </si>
  <si>
    <t>C199777</t>
  </si>
  <si>
    <t>TLym Help Cen Mem GH Sub/TLymHCM</t>
  </si>
  <si>
    <t>T-Lymphocytes Helper Central Memory Gut-Homing Sub-Population/T-Lymphocytes Helper Central Memory; TLym Help Cen Mem GH Sub/TLym Help Cen Mem; TLym Help Cen Mem GH Sub/TLymHCM; TLym Help Cen Mem Gut-Homing Sub/TLymHCM</t>
  </si>
  <si>
    <t>A relative measurement (ratio or percentage) of a sub-population of gut-homing helper central memory T-lymphocytes to total helper central memory T-lymphocytes in a biological specimen.</t>
  </si>
  <si>
    <t>Gut-Homing Helper Central Memory T-Lymphocyte Subpopulation to Helper Central Memory T-Lymphocyte Ratio Measurement</t>
  </si>
  <si>
    <t>C199781</t>
  </si>
  <si>
    <t>TLym Help Cen Mem SH/TLymHCM</t>
  </si>
  <si>
    <t>T-Lymphocytes Helper Central Memory Skin-Homing/T-Lymphocytes Helper Central Memory; TLym Help Cen Mem SH/TLym Help Cen Mem; TLym Help Cen Mem SH/TLymHCM</t>
  </si>
  <si>
    <t>A relative measurement (ratio or percentage) of the skin-homing helper central memory T-lymphocytes to total helper central memory T-lymphocytes in a biological specimen.</t>
  </si>
  <si>
    <t>Skin-Homing Helper Central Memory T-Lymphocyte to Helper Central Memory T-Lymphocyte Ratio Measurement</t>
  </si>
  <si>
    <t>C199783</t>
  </si>
  <si>
    <t>TLym Help Cen Mem SH Sub/TLymH</t>
  </si>
  <si>
    <t>T-Lymphocytes Helper Central Memory Skin-Homing Sub-Population/T-Lymphocytes Helper; TLym Help Cen Mem SH Sub/TLym Help; TLym Help Cen Mem SH Sub/TLymH</t>
  </si>
  <si>
    <t>A relative measurement (ratio or percentage) of a sub-population of skin-homing helper central memory T-lymphocytes to total helper T-lymphocytes in a biological specimen.</t>
  </si>
  <si>
    <t>Skin-Homing Helper Central Memory T-Lymphocyte Subpopulation to Helper T-Lymphocyte Ratio Measurement</t>
  </si>
  <si>
    <t>C199784</t>
  </si>
  <si>
    <t>TLym Help Cen Mem SH Sub/TLymHCM</t>
  </si>
  <si>
    <t>T-Lymphocytes Helper Central Memory Skin-Homing Sub-Population/T-Lymphocytes Helper Central Memory; TLym Help Cen Mem SH Sub/TLym Help Cen Mem; TLym Help Cen Mem SH Sub/TLymHCM; TLym Help Cen Mem Skin-Homing Sub/TLymHCM</t>
  </si>
  <si>
    <t>A relative measurement (ratio or percentage) of a sub-population of skin-homing helper central memory T-lymphocytes to total helper central memory T-lymphocytes in a biological specimen.</t>
  </si>
  <si>
    <t>Skin-Homing Helper Central Memory T-Lymphocyte Subpopulation to Helper Central Memory T-Lymphocyte Ratio Measurement</t>
  </si>
  <si>
    <t>C199788</t>
  </si>
  <si>
    <t>TLym Help Eff Mem GH/TLymHEM</t>
  </si>
  <si>
    <t>T-Lymphocytes Helper Effector Memory Gut-Homing/T-Lymphocytes Helper Effector Memory; TLym Help Eff Mem GH/TLym Help Eff Mem; TLym Help Eff Mem GH/TLymHEM</t>
  </si>
  <si>
    <t>A relative measurement (ratio or percentage) of the gut-homing helper effector memory T-lymphocytes to total helper effector memory T-lymphocytes in a biological specimen.</t>
  </si>
  <si>
    <t>Gut-Homing Helper Effector Memory T-Lymphocyte to Helper Effector Memory T-Lymphocyte Ratio Measurement</t>
  </si>
  <si>
    <t>C199790</t>
  </si>
  <si>
    <t>TLym Help Eff Mem GH Sub/TLymH</t>
  </si>
  <si>
    <t>T-Lymphocytes Helper Effector Memory Gut-Homing Sub-Population/T-Lymphocytes Helper; TLym Help Eff Mem GH Sub/TLym Help; TLym Help Eff Mem GH Sub/TLymH</t>
  </si>
  <si>
    <t>A relative measurement (ratio or percentage) of a sub-population of gut-homing helper effector memory T-lymphocytes to total helper T-lymphocytes in a biological specimen.</t>
  </si>
  <si>
    <t>Gut-Homing Helper Effector Memory T-Lymphocyte Subpopulation to Helper T-Lymphocyte Ratio Measurement</t>
  </si>
  <si>
    <t>C199791</t>
  </si>
  <si>
    <t>TLym Help Eff Mem GH Sub/TLymHEM</t>
  </si>
  <si>
    <t>T-Lymphocytes Helper Effector Memory Gut-Homing Sub-Population/T-Lymphocytes Helper Effector Memory; TLym Help Eff Mem GH Sub/TLym Help Eff Mem; TLym Help Eff Mem GH Sub/TLymHEM; TLym Help Eff Mem Gut-Homing Sub/TLymHEM</t>
  </si>
  <si>
    <t>A relative measurement (ratio or percentage) of a sub-population of gut-homing helper effector memory T-lymphocytes to total helper effector memory T-lymphocytes in a biological specimen.</t>
  </si>
  <si>
    <t>Gut-Homing Helper Effector Memory T-Lymphocyte Subpopulation to Helper Effector Memory T-Lymphocyte Ratio Measurement</t>
  </si>
  <si>
    <t>C199795</t>
  </si>
  <si>
    <t>TLym Help Eff Mem SH/TLymHEM</t>
  </si>
  <si>
    <t>T-Lymphocytes Helper Effector Memory Skin-Homing/T-Lymphocytes Helper Effector Memory; TLym Help Eff Mem SH/TLym Help Eff Mem; TLym Help Eff Mem SH/TLymHEM</t>
  </si>
  <si>
    <t>A relative measurement (ratio or percentage) of the skin-homing helper effector memory T-lymphocytes to total helper effector memory T-lymphocytes in a biological specimen.</t>
  </si>
  <si>
    <t>Skin-Homing Helper Effector Memory T-Lymphocyte to Helper Effector Memory T-Lymphocyte Ratio Measurement</t>
  </si>
  <si>
    <t>C199797</t>
  </si>
  <si>
    <t>TLym Help Eff Mem SH Sub/TLymH</t>
  </si>
  <si>
    <t>T-Lymphocytes Helper Effector Memory Skin-Homing Sub-Population/T-Lymphocytes Helper; TLym Help Eff Mem SH Sub/TLym Help; TLym Help Eff Mem SH Sub/TLymH</t>
  </si>
  <si>
    <t>A relative measurement (ratio or percentage) of a sub-population of skin-homing helper effector memory T-lymphocytes to total helper T-lymphocytes in a biological specimen.</t>
  </si>
  <si>
    <t>Skin-Homing Helper Effector Memory T-Lymphocyte Subpopulation to Helper T-Lymphocyte Ratio Measurement</t>
  </si>
  <si>
    <t>C199798</t>
  </si>
  <si>
    <t>TLym Help Eff Mem SH Sub/TLymHEM</t>
  </si>
  <si>
    <t>T-Lymphocytes Helper Effector Memory Skin-Homing Sub-Population/T-Lymphocytes Helper Effector Memory; TLym Help Eff Mem SH Sub/TLym Help Eff Mem; TLym Help Eff Mem SH Sub/TLymHEM; TLym Help Eff Mem Skin-Homing Sub/TLymHEM</t>
  </si>
  <si>
    <t>A relative measurement (ratio or percentage) of a sub-population of skin-homing helper effector memory T-lymphocytes to total helper effector memory T-lymphocytes in a biological specimen.</t>
  </si>
  <si>
    <t>Skin-Homing Helper Effector Memory T-Lymphocyte Subpopulation to Helper Effector Memory T-Lymphocyte Ratio Measurement</t>
  </si>
  <si>
    <t>C199802</t>
  </si>
  <si>
    <t>TLym Help Term Mem GH/TLymHTM</t>
  </si>
  <si>
    <t>T-Lymphocytes Helper Terminal Memory Gut-Homing/T-Lymphocytes Helper Terminal Memory; TLym Help Term Mem GH/TLym Help Term Mem; TLym Help Term Mem GH/TLymHTM</t>
  </si>
  <si>
    <t>A relative measurement (ratio or percentage) of the gut-homing helper terminal memory T-lymphocytes to total helper terminal memory T-lymphocytes in a biological specimen.</t>
  </si>
  <si>
    <t>Gut-Homing Helper Terminal Memory T-Lymphocyte to Helper Terminal Memory T-Lymphocyte Ratio Measurement</t>
  </si>
  <si>
    <t>C199804</t>
  </si>
  <si>
    <t>TLym Help Term Mem GH Sub/TLymH</t>
  </si>
  <si>
    <t>T-Lymphocytes Helper Terminal Memory Gut-Homing Sub-Population/T-Lymphocytes Helper; TLym Help Term Mem GH Sub/TLym Help; TLym Help Term Mem GH Sub/TLymH</t>
  </si>
  <si>
    <t>A relative measurement (ratio or percentage) of a sub-population of gut-homing helper terminal memory T-lymphocytes to total helper T-lymphocytes in a biological specimen.</t>
  </si>
  <si>
    <t>Gut-Homing Helper Terminal Memory T-Lymphocyte Subpopulation to Helper T-Lymphocyte Ratio Measurement</t>
  </si>
  <si>
    <t>C199805</t>
  </si>
  <si>
    <t>TLym Help Term Mem GH Sub/TLymHTM</t>
  </si>
  <si>
    <t>T-Lymphocytes Helper Terminal Memory Gut-Homing Sub-Population/T-Lymphocytes Helper Terminal Memory; TLym Help Term Mem GH Sub/TLym Help Term Mem; TLym Help Term Mem GH Sub/TLymHTM</t>
  </si>
  <si>
    <t>A relative measurement (ratio or percentage) of a sub-population of gut-homing helper terminal memory T-lymphocytes to total helper terminal memory T-lymphocytes in a biological specimen.</t>
  </si>
  <si>
    <t>Gut-Homing Helper Terminal Memory T-Lymphocyte Subpopulation to Helper Terminal Memory T-Lymphocyte Ratio Measurement</t>
  </si>
  <si>
    <t>C199809</t>
  </si>
  <si>
    <t>TLym Help Term Mem SH/TLymHTM</t>
  </si>
  <si>
    <t>T-Lymphocytes Helper Terminal Memory Skin-Homing/T-Lymphocytes Helper Terminal Memory; TLym Help Term Mem SH/TLym Help Term Mem; TLym Help Term Mem SH/TLymHTM</t>
  </si>
  <si>
    <t>A relative measurement (ratio or percentage) of the skin-homing helper terminal memory T-lymphocytes to total helper terminal memory T-lymphocytes in a biological specimen.</t>
  </si>
  <si>
    <t>Skin-Homing Helper Terminal Memory T-Lymphocyte to Helper Terminal Memory T-Lymphocyte Ratio Measurement</t>
  </si>
  <si>
    <t>C199811</t>
  </si>
  <si>
    <t>TLym Help Term Mem SH Sub/TLymH</t>
  </si>
  <si>
    <t>T-Lymphocytes Helper Terminal Memory Skin-Homing Sub-Population/T-Lymphocytes Helper; TLym Help Term Mem SH Sub/TLym Help; TLym Help Term Mem SH Sub/TLymH</t>
  </si>
  <si>
    <t>A relative measurement (ratio or percentage) of a sub-population of skin-homing helper terminal memory T-lymphocytes to total helper T-lymphocytes in a biological specimen.</t>
  </si>
  <si>
    <t>Skin-Homing Helper Terminal Memory T-Lymphocyte Subpopulation to Helper T-Lymphocyte Ratio Measurement</t>
  </si>
  <si>
    <t>C199812</t>
  </si>
  <si>
    <t>TLym Help Term Mem SH Sub/TLymHTM</t>
  </si>
  <si>
    <t>T-Lymphocytes Helper Terminal Memory Skin-Homing Sub-Population/T-Lymphocytes Helper Terminal Memory; TLym Help Term Mem SH Sub/TLym Help Term Mem; TLym Help Term Mem SH Sub/TLymHTM</t>
  </si>
  <si>
    <t>A relative measurement (ratio or percentage) of a sub-population of skin-homing helper terminal memory T-lymphocytes to total helper terminal memory T-lymphocytes in a biological specimen.</t>
  </si>
  <si>
    <t>Skin-Homing Helper Terminal Memory T-Lymphocyte Subpopulation to Helper Terminal Memory T-Lymphocyte Ratio Measurement</t>
  </si>
  <si>
    <t>C199814</t>
  </si>
  <si>
    <t>Granulocytes/Non-TBNK Leuk</t>
  </si>
  <si>
    <t>Granulocytes//Non-TBNK Leukocytes; Granulocytes/Non-TBNK Leuk</t>
  </si>
  <si>
    <t>A relative measurement (ratio or percentage) of granulocytes to the non-classical monocytes to all leukocytes that are not T-cells, B-cells, or natural killer cells, in a biological specimen.</t>
  </si>
  <si>
    <t>Granulocyte to Non-TBNK Leukocyte Ratio Measurement</t>
  </si>
  <si>
    <t>C1INH</t>
  </si>
  <si>
    <t>Complement C1 Esterase Inhibitor</t>
  </si>
  <si>
    <t>A measurement of the complement C1 esterase inhibitor in a biological specimen.</t>
  </si>
  <si>
    <t>Complement C1 Esterase Inhibitor Measurement</t>
  </si>
  <si>
    <t>C1Q</t>
  </si>
  <si>
    <t>Complement C1q</t>
  </si>
  <si>
    <t>A measurement of the complement C1q in a biological specimen.</t>
  </si>
  <si>
    <t>Complement C1q Measurement</t>
  </si>
  <si>
    <t>C2</t>
  </si>
  <si>
    <t>Complement C2</t>
  </si>
  <si>
    <t>ARMD14; Complement C2</t>
  </si>
  <si>
    <t>A measurement of the complement C2 in a biological specimen.</t>
  </si>
  <si>
    <t>Complement C2 Measurement</t>
  </si>
  <si>
    <t>C204589</t>
  </si>
  <si>
    <t>BLym/Non-TNK Leuk</t>
  </si>
  <si>
    <t>B-Lymphocytes/Non-TNK Leukocytes; BLym/Non-TNK Leuk</t>
  </si>
  <si>
    <t>A relative measurement (ratio or percentage) of B-lymphocytes to leukocytes that are not T cells or natural killer cells in a biological specimen.</t>
  </si>
  <si>
    <t>B-Lymphocyte to Non-TNK Leukocyte Ratio Measurement</t>
  </si>
  <si>
    <t>C204590</t>
  </si>
  <si>
    <t>Non-TBNK Leuk Sub/Non-TBNK Leuk</t>
  </si>
  <si>
    <t>Non-TBNK Leuk Sub/Non-TBNK Leuk; Non-TBNK Leukocytes Sub-Population/Non-TBNK Leukocytes</t>
  </si>
  <si>
    <t>A relative measurement (ratio or percentage) of a sub-population of leukocytes that are not T cells, B cells or natural killer cells to leukocytes that are not T cells, B cells or natural killer cells in a biological specimen.</t>
  </si>
  <si>
    <t>Non-TBNK Leukocyte Subpopulation to Non-TBNK Leukocyte Ratio Measurement</t>
  </si>
  <si>
    <t>C204591</t>
  </si>
  <si>
    <t>MDSC Sub/Non-TBNK Leuk</t>
  </si>
  <si>
    <t>MDSC Sub/Non-TBNK Leuk; Myeloid Derived Suppressor Cell Sub-Population/Non-TBNK Leukocytes</t>
  </si>
  <si>
    <t>A relative measurement (ratio or percentage) of a sub-population of myeloid derived suppressor cells to leukocytes that are not T cells, B cells or natural killer cells in a biological specimen.</t>
  </si>
  <si>
    <t>Myeloid Derived Suppressor Cell Subpopulation to Non-TBNK Leukocyte Ratio Measurement</t>
  </si>
  <si>
    <t>C204592</t>
  </si>
  <si>
    <t>NK Cells/Non-TB Leuk</t>
  </si>
  <si>
    <t>Natural Killer Cells/Non-TB Leukocytes; NK Cells/Non-TB Leuk</t>
  </si>
  <si>
    <t>A relative measurement (ratio or percentage) of natural killer cells to leukocytes that are not T cells or B cells in a biological specimen.</t>
  </si>
  <si>
    <t>Natural Killer Cell to Non-TB Leukocyte Ratio Measurement</t>
  </si>
  <si>
    <t>C204593</t>
  </si>
  <si>
    <t>DC/Non-TBNK Leuk</t>
  </si>
  <si>
    <t>DC/Non-TBNK Leuk; Dendritic Cells/Non-TBNK Leukocytes</t>
  </si>
  <si>
    <t>A relative measurement (ratio or percentage) of dendritic cells to leukocytes that are not T cells, B cells or natural killer cells in a biological specimen.</t>
  </si>
  <si>
    <t>Dendritic Cell to Non-TBNK Leukocyte Ratio Measurement</t>
  </si>
  <si>
    <t>C209428</t>
  </si>
  <si>
    <t>BLym Mem Sw/Leuk</t>
  </si>
  <si>
    <t>B-Lymphocytes Memory Class-Switched/Leukocytes; B-Lymphocytes Memory Switched/Leukocytes; BLym Mem Sw/Leuk</t>
  </si>
  <si>
    <t>A relative measurement (ratio or percentage) of class-switched memory B-lymphocytes to leukocytes in a biological specimen.</t>
  </si>
  <si>
    <t>Class-switched Memory B-Lymphocyte to Leukocyte Ratio Measurement</t>
  </si>
  <si>
    <t>C209475</t>
  </si>
  <si>
    <t>BLym Mem Sw Sub/BLymMSwS</t>
  </si>
  <si>
    <t>B-Lymphocytes Memory Class-Switched Sub-Population/B-Lymphocytes Memory Class-Switched Sub-Population; B-Lymphocytes Memory Switched Sub-Population/B-Lymphocytes Memory Switched Sub-Population; BLym Mem Sw Sub/BLymMSwS</t>
  </si>
  <si>
    <t>A relative measurement (ratio or percentage) of a sub-population of class-switched memory B-lymphocytes to a sub-population of class-switched memory B-lymphocytes.</t>
  </si>
  <si>
    <t>Class-switched Memory B-Lymphocyte Subpopulation to Class-switched Memory B-Lymphocyte Sub-population Ratio Measurement</t>
  </si>
  <si>
    <t>C209476</t>
  </si>
  <si>
    <t>BLym Mem Sw Sub/Leuk</t>
  </si>
  <si>
    <t>B-Lymphocytes Memory Class-Switched Sub-Population/Leukocytes; B-Lymphocytes Memory Switched Sub-Population/Leukcoytes; BLym Mem Sw Sub/Leuk</t>
  </si>
  <si>
    <t>A relative measurement (ratio or percentage) of a sub-population of class-switched memory B-lymphocytes to leukocytes in a biological specimen.</t>
  </si>
  <si>
    <t>Class-switched Memory B-Lymphocyte Subpopulation to Leukocyte Ratio Measurement</t>
  </si>
  <si>
    <t>C209477</t>
  </si>
  <si>
    <t>BLym Mem Sw Uncv IgG+/BLym Mem Sw Uncv</t>
  </si>
  <si>
    <t>B-Lymphocytes Memory Switched Unconventional IgG+/B-Lymphocytes Memory Switched Unconventional; BLym Mem Sw Uncv IgG+/BLym Mem Sw Uncv</t>
  </si>
  <si>
    <t>A relative measurement (ratio or percentage) of the unconventional class-switched IgG-positive memory B-lymphocytes to total unconventional class-switched memory B-lymphocytes in a biological specimen.</t>
  </si>
  <si>
    <t>Unconventional Class-switched IgG-positive Memory B-Lymphocyte to Unconventional Class-switched Memory B-Lymphocyte Ratio Measurement</t>
  </si>
  <si>
    <t>C209478</t>
  </si>
  <si>
    <t>BLym Mem Sw Uncv IgM+</t>
  </si>
  <si>
    <t>B-Lymphocytes Memory Switched Unconventional IgM+; BLym Mem Sw Uncv IgM+</t>
  </si>
  <si>
    <t>A measurement of the IgM+ class-switched unconventional memory B-lymphocytes in a biological specimen.</t>
  </si>
  <si>
    <t>Unconventional Class-switched IgM-positive Memory B-Lymphocyte Count</t>
  </si>
  <si>
    <t>C209479</t>
  </si>
  <si>
    <t>BLym Mem Sw Uncv IgM+/BLymMSwU</t>
  </si>
  <si>
    <t>B-Lymphocytes Memory Switched Unconventional IgM+/B-Lymphocytes Memory Switched Unconventional; BLym Mem Sw Uncv IgM+/BLym Mem Sw Uncv; BLym Mem Sw Uncv IgM+/BLymMSwU</t>
  </si>
  <si>
    <t>A relative measurement (ratio or percentage) of the IgM+ class-switched unconventional memory B-lymphocytes to total class-switched unconventional memory B-lymphocytes in a biological specimen.</t>
  </si>
  <si>
    <t>Unconventional Class-switched IgM-positive Memory B-Lymphocyte to Unconventional Class-switched Memory B-Lymphocyte Ratio Measurement</t>
  </si>
  <si>
    <t>C209480</t>
  </si>
  <si>
    <t>Granulocytes Sub/Granulocytes Sub</t>
  </si>
  <si>
    <t>Granulocytes Sub-Population/Granulocytes Sub-Population; Granulocytes Sub/Granulocytes Sub</t>
  </si>
  <si>
    <t>A relative measurement (ratio or percentage) of a sub-population of granulocytes to a sub-population of granulocytes in a biological specimen.</t>
  </si>
  <si>
    <t>Granulocyte Subpopulation to Granulocyte Subpopulation Ratio Measurement</t>
  </si>
  <si>
    <t>C209481</t>
  </si>
  <si>
    <t>Innate LC1 Sub/ILC Sub</t>
  </si>
  <si>
    <t>ILC1 Sub-Population/ILC Sub-Population; Innate LC1 Sub/ILC Sub; Innate Lymphoid Cells Type 1 Sub-Population/Innate Lymphoid Cells Sub-Population</t>
  </si>
  <si>
    <t>A relative measurement (ratio or percentage) of a sub-population of type 1 innate lymphoid cells to a sub-population of innate lymphoid cells in a biological specimen.</t>
  </si>
  <si>
    <t>Type 1 Innate Lymphoid Cell Subpopulation to Innate Lymphoid Cell Subpopulation Ratio Measurement</t>
  </si>
  <si>
    <t>C209482</t>
  </si>
  <si>
    <t>Innate LC1 Sub/ILC1 Sub</t>
  </si>
  <si>
    <t>ILC1 Sub/ILC1 Sub; Innate LC1 Sub/ILC1 Sub; Innate Lymphoid Cells Type 1 Sub-Population/Innate Lymphoid Cells Type 1 Sub-Population</t>
  </si>
  <si>
    <t>A relative measurement (ratio or percentage) of a sub-population of type 1 innate lymphoid cells to a sub-population of type 1 innate lymphoid cells in a biological specimen.</t>
  </si>
  <si>
    <t>Type 1 Innate Lymphoid Cell Subpopulation to Type 1 Innate Lymphoid Cell Subpopulation Ratio Measurement</t>
  </si>
  <si>
    <t>C209483</t>
  </si>
  <si>
    <t>Innate LC2 Sub/ILC Sub</t>
  </si>
  <si>
    <t>ILC2 Sub-Population/ILC Sub-Population; Innate LC2 Sub/ILC Sub; Innate Lymphoid Cells Type 2 Sub-Population/Innate Lymphoid Cells Sub-Population</t>
  </si>
  <si>
    <t>A relative measurement (ratio or percentage) of a sub-population of type 2 innate lymphoid cells to a sub-population of innate lymphoid cells in a biological specimen.</t>
  </si>
  <si>
    <t>Type 2 Innate Lymphoid Cell Subpopulation to Innate Lymphoid Cell Subpopulation Ratio Measurement</t>
  </si>
  <si>
    <t>C209484</t>
  </si>
  <si>
    <t>Innate LC2 Sub/ILC2 Sub</t>
  </si>
  <si>
    <t>ILC2 Sub-Population/ILC2 Sub-Population; Innate LC2 Sub/ILC2 Sub; Innate Lymphoid Cells Type 2 Sub-Population/Innate Lymphoid Cells Type 2 Sub-Population</t>
  </si>
  <si>
    <t>A relative measurement (ratio or percentage) of a sub-population of type 2 innate lymphoid cells to a sub-population of type 2 innate lymphoid cells in a biological specimen.</t>
  </si>
  <si>
    <t>Type 2 Innate Lymphoid Cell Subpopulation to Type 2 Innate Lymphoid Cell Subpopulation Ratio Measurement</t>
  </si>
  <si>
    <t>C209485</t>
  </si>
  <si>
    <t>Innate LC3 Sub/ILC Sub</t>
  </si>
  <si>
    <t>ILC3 Sub-Population/ILC Sub-Population; Innate LC3 Sub/ILC Sub; Innate Lymphoid Cells Type 3 Sub-Population/Innate Lymphoid Cells Sub-Population</t>
  </si>
  <si>
    <t>A relative measurement (ratio or percentage) of a sub-population of type 3 innate lymphoid cells to a sub-population of innate lymphoid cells in a biological specimen.</t>
  </si>
  <si>
    <t>Type 3 Innate Lymphoid Cell Subpopulation to Innate Lymphoid Cell Subpopulation Ratio Measurement</t>
  </si>
  <si>
    <t>C209486</t>
  </si>
  <si>
    <t>Innate LC3 Sub/ILC3 Sub</t>
  </si>
  <si>
    <t>ILC3 Sub-Population/ILC3 Sub-Population; Innate LC3 Sub/ILC3 Sub; Innate Lymphoid Cells Type 3 Sub-Population/Innate Lymphoid Cells Type 3 Sub-Population</t>
  </si>
  <si>
    <t>A relative measurement (ratio or percentage) of a sub-population of type 3 innate lymphoid cells to a sub-population of type 3 innate lymphoid cells in a biological specimen.</t>
  </si>
  <si>
    <t>Type 3 Innate Lymphoid Cell Subpopulation to Type 3 Innate Lymphoid Cell Subpopulation Ratio Measurement</t>
  </si>
  <si>
    <t>C209487</t>
  </si>
  <si>
    <t>NK TLym Invar Sub/NKT Invar Sub</t>
  </si>
  <si>
    <t>iNKT Sub-Population/iNKT Sub-Population; Natural Killer T-Lymphocytes Invariant Sub-Population/Natural Killer T-Lymphocytes Invariant Sub-Population; NK TLym Invar Sub/NKT Invar Sub</t>
  </si>
  <si>
    <t>A relative measurement (ratio or percentage) of a sub-population of invariant natural killer T-lymphocytes to a sub-population of invariant natural killer T-lymphocytes in a biological specimen.</t>
  </si>
  <si>
    <t>Invariant Natural Killer T-Lymphocyte Subpopulation to Invariant Natural Killer T-Lymphocyte Subpopulation Ratio Measurement</t>
  </si>
  <si>
    <t>C214537</t>
  </si>
  <si>
    <t>TLym Help Peripheral Sub/TLymHPS</t>
  </si>
  <si>
    <t>T-Lymphocytes Helper Peripheral Sub-Population/T-Lymphocytes Helper Peripheral Sub-Population; TLym Help Peripheral Sub/TLym Help Sub; TLym Help Peripheral Sub/TLymHPS; Tph Sub/Tph Sub</t>
  </si>
  <si>
    <t>A relative measurement (ratio or percentage) of a sub-population of peripheral helper T-lymphocytes to a sub-population of peripheral helper T-lymphocytes in a biological specimen.</t>
  </si>
  <si>
    <t>Peripheral Helper T-Lymphocyte Subpopulation to Peripheral Helper T-Lymphocyte Subpopulation Ratio Measurement</t>
  </si>
  <si>
    <t>C214540</t>
  </si>
  <si>
    <t>TLym Help Peripheral Sub/TLymHMS</t>
  </si>
  <si>
    <t>T-Lymphocytes Helper Peripheral Sub-Population/T-Lymphocytes Helper Memory Sub-Population; TLym Help Peripheral Sub/TLym Help Mem Sub; TLym Help Peripheral Sub/TLymHMS; Tph Sub/TLym Help Mem Sub</t>
  </si>
  <si>
    <t>A relative measurement (ratio or percentage) of a sub-population of peripheral helper T-lymphocytes to a sub-population of memory helper T-lymphocytes in a biological specimen.</t>
  </si>
  <si>
    <t>Peripheral Helper T-Lymphocyte Subpopulation to Helper Memory T-Lymphocyte Subpopulation Ratio Measurement</t>
  </si>
  <si>
    <t>C214543</t>
  </si>
  <si>
    <t>TLym Cytx Cen Mem GH Sub/TLymCCMGHS</t>
  </si>
  <si>
    <t>T-Lymphocytes Cytotoxic Central Memory Gut-Homing Sub-Population/T-Lymphocytes Cytotoxic Central Memory Gut-Homing Sub-Population; TLym Cytx Cen Mem GH Sub/TLym Cytx Cen Mem GH Sub; TLym Cytx Cen Mem GH Sub/TLymCCMGHS</t>
  </si>
  <si>
    <t>A relative measurement (ratio or percentage) of a sub-population of gut-homing cytotoxic central memory T-lymphocytes to a sub-population of gut-homing cytotoxic central memory T-lymphocytes in a biological specimen.</t>
  </si>
  <si>
    <t>Gut-Homing Cytotoxic Central Memory T-Lymphocyte Subpopulation to Gut-Homing Cytotoxic Central Memory T-Lymphocyte Subpopulation Ratio Measurement</t>
  </si>
  <si>
    <t>C214544</t>
  </si>
  <si>
    <t>TLym Cytx Cen Mem SH Sub/TLymCCMSHS</t>
  </si>
  <si>
    <t>T-Lymphocytes Cytotoxic Central Memory Skin-Homing Sub-Population/T-Lymphocytes Cytotoxic Central Memory Skin-Homing Sub-Population; TLym Cytx Cen Mem SH Sub/TLym Cytx Cen Mem SH Sub; TLym Cytx Cen Mem SH Sub/TLymCCMSHS</t>
  </si>
  <si>
    <t>A relative measurement (ratio or percentage) of a sub-population of skin-homing cytotoxic central memory T-lymphocytes to a sub-population of skin-homing cytotoxic central memory T-lymphocytes in a biological specimen.</t>
  </si>
  <si>
    <t>Skin-Homing Cytotoxic Central Memory T-Lymphocyte Subpopulation to Skin-Homing Cytotoxic Central Memory T-Lymphocyte Subpopulation Ratio Measurement</t>
  </si>
  <si>
    <t>C214545</t>
  </si>
  <si>
    <t>TLym Cytx Cen Mem Sub/TLymCCMS</t>
  </si>
  <si>
    <t>T-Lymphocytes Cytotoxic Central Memory Sub-Population/T-Lymphocytes Central Memory Sub-Population; TLym Cytx Cen Mem Sub/TLym Cytx Cen Mem Sub; TLym Cytx Cen Mem Sub/TLymCCMS</t>
  </si>
  <si>
    <t>A relative measurement (ratio or percentage) of a sub-population of cytotoxic central memory T-lymphocytes to a sub-population of cytotoxic central memory T-lymphocytes in a biological specimen.</t>
  </si>
  <si>
    <t>Central Memory Cytotoxic T-Lymphocyte Subpopulation to Central Memory Cytotoxic T-Lymphocyte Subpopulation Ratio Measurement</t>
  </si>
  <si>
    <t>C214546</t>
  </si>
  <si>
    <t>TLym Cytx Eff Mem GH Sub/TLymCEMGHS</t>
  </si>
  <si>
    <t>T-Lymphocytes Cytotoxic Effector Memory Gut-Homing Sub-Population/T-Lymphocytes Cytotoxic Effector Memory Gut-Homing Sub-Population; TLym Cytx Eff Mem GH Sub/TLym Cytx Eff Mem GH Sub; TLym Cytx Eff Mem GH Sub/TLymCEMGHS</t>
  </si>
  <si>
    <t>A relative measurement (ratio or percentage) of a sub-population of gut-homing cytotoxic effector memory T-lymphocytes to a sub-population of gut-homing cytotoxic effector memory T-lymphocytes in a biological specimen.</t>
  </si>
  <si>
    <t>Gut-Homing Cytotoxic Effector Memory T-Lymphocyte Subpopulation to Gut-Homing Cytotoxic Effector Memory T-Lymphocyte Subpopulation Ratio Measurement</t>
  </si>
  <si>
    <t>C214547</t>
  </si>
  <si>
    <t>TLym Cytx Eff Mem SH Sub/TLymCEMSHS</t>
  </si>
  <si>
    <t>T-Lymphocytes Cytotoxic Effector Memory Skin-Homing Sub-Population/T-Lymphocytes Cytotoxic Effector Memory Skin-Homing Sub-Population; TLym Cytx Eff Mem SH Sub/TLym Cytx Eff Mem SH Sub; TLym Cytx Eff Mem SH Sub/TLymCEMSHS</t>
  </si>
  <si>
    <t>A relative measurement (ratio or percentage) of a sub-population of skin-homing cytotoxic effector memory T-lymphocytes to a sub-population of skin-homing cytotoxic effector memory T-lymphocytes in a biological specimen.</t>
  </si>
  <si>
    <t>Skin-Homing Cytotoxic Effector Memory T-Lymphocyte Subpopulation to Skin-Homing Cytotoxic Effector Memory T-Lymphocyte Subpopulation Ratio Measurement</t>
  </si>
  <si>
    <t>C214548</t>
  </si>
  <si>
    <t>TLym Cytx Mem GH Sub/TLymCMGHS</t>
  </si>
  <si>
    <t>T-Lymphocytes Cytotoxic Memory Gut-Homing Sub-Population/T-Lymphocytes Cytotoxic Memory Gut-Homing Sub-Population; TLym Cytx Mem GH Sub/TLym Cytx Mem GH Sub; TLym Cytx Mem GH Sub/TLymCMGHS</t>
  </si>
  <si>
    <t>A relative measurement (ratio or percentage) of a sub-population of gut-homing cytotoxic memory T-lymphocytes to a sub-population of gut-homing cytotoxic memory T-lymphocytes in a biological specimen.</t>
  </si>
  <si>
    <t>Gut-Homing Cytotoxic Memory T-Lymphocyte Subpopulation to Gut-Homing Cytotoxic Memory T-Lymphocyte Subpopulation Ratio Measurement</t>
  </si>
  <si>
    <t>C214549</t>
  </si>
  <si>
    <t>TLym Cytx Mem SH Sub/TLymCMSHS</t>
  </si>
  <si>
    <t>T-Lymphocytes Cytotoxic Memory Skin-Homing Sub-Population/T-Lymphocytes Cytotoxic Memory Skin-Homing Sub-Population; TLym Cytx Mem SH Sub/TLym Cytx Mem SH Sub; TLym Cytx Mem SH Sub/TLymCMSHS</t>
  </si>
  <si>
    <t>A relative measurement (ratio or percentage) of a sub-population of skin-homing cytotoxic memory T-lymphocytes to a sub-population of skin-homing cytotoxic memory T-lymphocytes in a biological specimen.</t>
  </si>
  <si>
    <t>Skin-Homing Cytotoxic Memory T-Lymphocyte Subpopulation to Skin-Homing Cytotoxic Memory T-Lymphocyte Subpopulation Ratio Measurement</t>
  </si>
  <si>
    <t>C214550</t>
  </si>
  <si>
    <t>TLym Cytx Naive Sub/TLymCNS</t>
  </si>
  <si>
    <t>T-Lymphocytes Cytotoxic Naive Sub-Population/T-Lymphocytes Cytotoxic Naive Sub-Population; TLym Cytx Naive Sub/TLym Cytx Naive Sub; TLym Cytx Naive Sub/TLymCNS</t>
  </si>
  <si>
    <t>A relative measurement (ratio or percentage) of a sub-population of cytotoxic naive T-lymphocytes to a sub-population of cytotoxic naive T-lymphocytes in a biological specimen.</t>
  </si>
  <si>
    <t>Naive Cytotoxic T-Lymphocyte Subpopulation to Naive Cytotoxic T-Lymphocyte Subpopulation Ratio Measurement</t>
  </si>
  <si>
    <t>C214551</t>
  </si>
  <si>
    <t>TLym Cytx SC Mem Sub/TLymCSCMS</t>
  </si>
  <si>
    <t>T-Lymphocytes Cytotoxic Stem Cell Memory Sub-Population/T-Lymphocytes Cytotoxic Stem Cell Memory Sub-Population; TLym Cytx SC Mem Sub/TLym Cytx SC Mem Sub; TLym Cytx SC Mem Sub/TLymCSCMS</t>
  </si>
  <si>
    <t>A relative measurement (ratio or percentage) of a sub-population of cytotoxic stem cell memory T-lymphocytes to a sub-population of cytotoxic stem cell memory T-lymphocytes in a biological specimen.</t>
  </si>
  <si>
    <t>Stem Cell Memory Cytotoxic T-Lymphocyte Subpopulation to Stem Cell Memory Cytotoxic T-Lymphocyte Subpopulation Ratio Measurement</t>
  </si>
  <si>
    <t>C214554</t>
  </si>
  <si>
    <t>TLym Cytx Term Mem GH Sub/TLymCTMGHS</t>
  </si>
  <si>
    <t>T-Lymphocytes Cytotoxic Terminal Memory Gut-Homing Sub-Population/T-Lymphocytes Cytotoxic Terminal Memory Gut-Homing Sub-Population; TLym Cytx Term Mem GH Sub/TLym Cytx Term Mem GH Sub; TLym Cytx Term Mem GH Sub/TLymCTMGHS</t>
  </si>
  <si>
    <t>A relative measurement (ratio or percentage) of a sub-population of gut-homing cytotoxic terminal memory T-lymphocytes to a sub-population of gut-homing cytotoxic terminal memory T-lymphocytes in a biological specimen.</t>
  </si>
  <si>
    <t>Gut-Homing Cytotoxic Terminal Memory T-Lymphocyte Subpopulation to Gut-Homing Cytotoxic Terminal Memory T-Lymphocyte Subpopulation Ratio Measurement</t>
  </si>
  <si>
    <t>C214555</t>
  </si>
  <si>
    <t>TLym Cytx Term Mem SH Sub/TLymCTMSHS</t>
  </si>
  <si>
    <t>T-Lymphocytes Cytotoxic Terminal Memory Skin-Homing Sub-Population/T-Lymphocytes Cytotoxic Terminal Memory Skin-Homing Sub-Population; TLym Cytx Term Mem SH Sub/TLym Cytx Term Mem SH Sub; TLym Cytx Term Mem SH Sub/TLymCTMSHS</t>
  </si>
  <si>
    <t>A relative measurement (ratio or percentage) of a sub-population of skin-homing cytotoxic terminal memory T-lymphocytes to a sub-population of skin-homing cytotoxic terminal memory T-lymphocytes in a biological specimen.</t>
  </si>
  <si>
    <t>Skin-Homing Cytotoxic Terminal Memory T-Lymphocyte Subpopulation to Skin-Homing Cytotoxic Terminal Memory T-Lymphocyte Subpopulation Ratio Measurement</t>
  </si>
  <si>
    <t>C214556</t>
  </si>
  <si>
    <t>TLym Cytx Term Mem Sub/TLymCTMS</t>
  </si>
  <si>
    <t>T-Lymphocytes Cytotoxic Terminal Memory Sub-Population/T-Lymphocytes Cytotoxic Terminal Memory Sub-Population; TLym Cytx Term Mem Sub/TLym Cytx Term Mem Sub; TLym Cytx Term Mem Sub/TLymCTMS</t>
  </si>
  <si>
    <t>A relative measurement (ratio or percentage) of a sub-population of cytotoxic terminal memory T-lymphocytes to a sub-population of cytotoxic terminal memory T-lymphocytes in a biological specimen.</t>
  </si>
  <si>
    <t>Terminal Memory Cytotoxic T-Lymphocyte Subpopulation to Terminal Memory Cytotoxic T-Lymphocyte Subpopulation Ratio Measurement</t>
  </si>
  <si>
    <t>C214557</t>
  </si>
  <si>
    <t>TLym Help Cen Mem GH Sub/TLymHCMGHS</t>
  </si>
  <si>
    <t>T-Lymphocytes Helper Central Memory Gut-Homing Sub-Population/T-Lymphocytes Helper Central Memory Gut-Homing Sub-Population; TLym Help Cen Mem GH Sub/TLym Help Cen Mem GH Sub; TLym Help Cen Mem GH Sub/TLymHCMGHS</t>
  </si>
  <si>
    <t>A relative measurement (ratio or percentage) of a sub-population of gut-homing helper central memory T-lymphocytes to a sub-population of gut-homing helper central memory T-lymphocytes in a biological specimen.</t>
  </si>
  <si>
    <t>Gut-Homing Helper Central Memory T-Lymphocyte Subpopulation to Gut-Homing Helper Central Memory T-Lymphocyte Subpopulation Ratio Measurement</t>
  </si>
  <si>
    <t>C214558</t>
  </si>
  <si>
    <t>TLym Help Cen Mem SH Sub/TLymHCMSHS</t>
  </si>
  <si>
    <t>T-Lymphocytes Helper Central Memory Skin-Homing Sub-Population/T-Lymphocytes Helper Central Memory Skin-Homing Sub-Population; TLym Help Cen Mem SH Sub/TLym Help Cen Mem SH Sub; TLym Help Cen Mem SH Sub/TLymHCMSHS</t>
  </si>
  <si>
    <t>A relative measurement (ratio or percentage) of a sub-population of skin-homing helper central memory T-lymphocytes to a sub-population of skin-homing helper central memory T-lymphocytes in a biological specimen.</t>
  </si>
  <si>
    <t>Skin-Homing Helper Central Memory T-Lymphocyte Subpopulation to Skin-Homing Helper Central Memory T-Lymphocyte Subpopulation Ratio Measurement</t>
  </si>
  <si>
    <t>C214559</t>
  </si>
  <si>
    <t>TLym Help Cen Mem Sub/TLymHCMS</t>
  </si>
  <si>
    <t>T-Lymphocytes Helper Central Memory Sub-Population/T-Lymphocytes Helper Central Memory Sub-Population; TLym Help Cen Mem Sub/TLym Help Cen Mem Sub; TLym Help Cen Mem Sub/TLymHCMS</t>
  </si>
  <si>
    <t>A relative measurement (ratio or percentage) of a sub-population of helper central memory T-lymphocytes to a sub-population of helper central memory T-lymphocytes in a biological specimen.</t>
  </si>
  <si>
    <t>Central Memory Helper T-Lymphocyte Subpopulation to Central Memory Helper T-Lymphocyte Subpopulation Ratio Measurement</t>
  </si>
  <si>
    <t>C214560</t>
  </si>
  <si>
    <t>TLym Help Eff Mem GH Sub/TLymHEMGHS</t>
  </si>
  <si>
    <t>T-Lymphocytes Helper Effector Memory Gut-Homing Sub-Population/T-Lymphocytes Helper Effector Memory Gut-Homing Sub-Population; TLym Help Eff Mem GH Sub/TLym Help Eff Mem GH Sub; TLym Help Eff Mem GH Sub/TLymHEMGHS</t>
  </si>
  <si>
    <t>A relative measurement (ratio or percentage) of a sub-population of gut-homing helper effector memory T-lymphocytes to a sub-population of gut-homing helper effector memory T-lymphocytes in a biological specimen.</t>
  </si>
  <si>
    <t>Gut-Homing Helper Effector Memory T-Lymphocyte Subpopulation to Gut-Homing Helper Effector Memory T-Lymphocyte Subpopulation Ratio Measurement</t>
  </si>
  <si>
    <t>C214561</t>
  </si>
  <si>
    <t>TLym Help Eff Mem SH Sub/TLymHEMSHS</t>
  </si>
  <si>
    <t>T-Lymphocytes Helper Effector Memory Skin-Homing Sub-Population/T-Lymphocytes Helper Effector Memory Skin-Homing Sub-Population; TLym Help Eff Mem SH Sub/TLym Help Eff Mem SH Sub; TLym Help Eff Mem SH Sub/TLymHEMSHS</t>
  </si>
  <si>
    <t>A relative measurement (ratio or percentage) of a sub-population of skin-homing helper effector memory T-lymphocytes to a sub-population of skin-homing helper effector memory T-lymphocytes in a biological specimen.</t>
  </si>
  <si>
    <t>Skin-Homing Helper Effector Memory T-Lymphocyte Subpopulation to Skin-Homing Helper Effector Memory T-Lymphocyte Subpopulation Ratio Measurement</t>
  </si>
  <si>
    <t>C214562</t>
  </si>
  <si>
    <t>TLym Help Eff Mem Sub/TLymHEMS</t>
  </si>
  <si>
    <t>T-Lymphocytes Helper Effector Memory Sub-Population/T-Lymphocytes Helper Effector Memory Sub-Population; TLym Help Eff Mem Sub/TLym Help Eff Mem Sub; TLym Help Eff Mem Sub/TLymHEMS</t>
  </si>
  <si>
    <t>A relative measurement (ratio or percentage) of a sub-population of helper effector memory T-lymphocytes to a sub-population of helper effector memory T-lymphocytes in a biological specimen.</t>
  </si>
  <si>
    <t>Effector Memory Helper T-Lymphocyte Subpopulation to Effector Memory Helper T-Lymphocyte Subpopulation Ratio Measurement</t>
  </si>
  <si>
    <t>C214565</t>
  </si>
  <si>
    <t>TLym Help Foll Sub/TLymHFS</t>
  </si>
  <si>
    <t>T-Lymphocytes Helper Follicular Sub-Population/T-Lymphocytes Helper Follicular Sub-Population; TLym Help Foll Sub/TLym Help Foll Sub; TLym Help Foll Sub/TLymHFS</t>
  </si>
  <si>
    <t>A relative measurement (ratio or percentage) of a sub-population of helper follicular T-lymphocytes to a sub-population of helper follicular T-lymphocytes in a biological specimen.</t>
  </si>
  <si>
    <t>Follicular Helper T-Lymphocyte Subpopulation to Follicular Helper T-Lymphocyte Subpopulation Ratio Measurement</t>
  </si>
  <si>
    <t>C214566</t>
  </si>
  <si>
    <t>TLym Help Mem GH Sub/TLymHMGHS</t>
  </si>
  <si>
    <t>T-Lymphocytes Helper Memory Gut-Homing Sub-Population/T-Lymphocytes Helper Memory Gut-Homing Sub-Population; TLym Help Mem GH Sub/TLym Help Mem GH Sub; TLym Help Mem GH Sub/TLymHMGHS</t>
  </si>
  <si>
    <t>A relative measurement (ratio or percentage) of a sub-population of gut-homing helper memory T-lymphocytes to a sub-population of gut-homing helper memory T-lymphocytes in a biological specimen.</t>
  </si>
  <si>
    <t>Gut-Homing Helper Memory T-Lymphocyte Subpopulation to Gut-Homing Helper Memory T-Lymphocyte Subpopulation Ratio Measurement</t>
  </si>
  <si>
    <t>C214567</t>
  </si>
  <si>
    <t>TLym Help Mem SH Sub/TLymHMSHS</t>
  </si>
  <si>
    <t>T-Lymphocytes Helper Memory Skin-Homing Sub-Population/T-Lymphocytes Helper Memory Skin-Homing Sub-Population; TLym Help Mem SH Sub/TLym Help Mem SH Sub; TLym Help Mem SH Sub/TLymHMSHS</t>
  </si>
  <si>
    <t>A relative measurement (ratio or percentage) of a sub-population of skin-homing helper memory T-lymphocytes to a sub-population of skin-homing helper memory T-lymphocytes in a biological specimen.</t>
  </si>
  <si>
    <t>Skin-Homing Helper Memory T-Lymphocyte Subpopulation to Skin-Homing Helper Memory T-Lymphocyte Subpopulation Ratio Measurement</t>
  </si>
  <si>
    <t>C214568</t>
  </si>
  <si>
    <t>TLym Help Naive Sub/TLymHNS</t>
  </si>
  <si>
    <t>T-Lymphocytes Helper Naive Sub-Population/T-Lymphocytes Helper Naive Sub-Population; TLym Help Naive Sub/TLym Help Naive Sub; TLym Help Naive Sub/TLymHNS</t>
  </si>
  <si>
    <t>A relative measurement (ratio or percentage) of a sub-population of helper naive T-lymphocytes to a sub-population of helper naive T-lymphocytes in a biological specimen.</t>
  </si>
  <si>
    <t>Naive Helper T-Lymphocyte Subpopulation to Naive Helper T-Lymphocyte Subpopulation Ratio Measurement</t>
  </si>
  <si>
    <t>C214570</t>
  </si>
  <si>
    <t>TLym Help Reg Eff Sub/TLymHRES</t>
  </si>
  <si>
    <t>T-Lymphocytes Helper Regulatory Effector Sub-Population/T-Lymphocytes Helper Regulatory Effector Sub-Population; TLym Help Reg Eff Sub/TLym Help Reg Eff Sub; TLym Help Reg Eff Sub/TLymHRES</t>
  </si>
  <si>
    <t>A relative measurement (ratio or percentage) of a sub-population of helper regulatory effector T-lymphocytes to a sub-population of helper regulatory effector T-lymphocytes in a biological specimen.</t>
  </si>
  <si>
    <t>Regulatory Effector Helper T-Lymphocyte Subpopulation to Regulatory Effector Helper T-Lymphocyte Subpopulation Ratio Measurement</t>
  </si>
  <si>
    <t>C214571</t>
  </si>
  <si>
    <t>TLym Help Reg Mem Sub/TLymHRMS</t>
  </si>
  <si>
    <t>T-Lymphocytes Helper Regulatory Memory Sub-Population/T-Lymphocytes Helper Regulatory Memory Sub-Population; TLym Help Reg Mem Sub/TLym Help Reg Mem Sub; TLym Help Reg Mem Sub/TLymHRMS</t>
  </si>
  <si>
    <t>A relative measurement (ratio or percentage) of a sub-population of helper regulatory memory T-lymphocytes to a sub-population of helper regulatory memory T-lymphocytes in a biological specimen.</t>
  </si>
  <si>
    <t>Regulatory Memory Helper T-Lymphocyte Subpopulation to Regulatory Memory Helper T-Lymphocyte Subpopulation Ratio Measurement</t>
  </si>
  <si>
    <t>C214572</t>
  </si>
  <si>
    <t>TLym Help Reg Naive Sub/TLymHRNS</t>
  </si>
  <si>
    <t>T-Lymphocytes Helper Regulatory Naive Sub-Population/T-Lymphocytes Helper Regulatory Naive Sub-Population; TLym Help Reg Naive Sub/TLym Help Reg Naive Sub; TLym Help Reg Naive Sub/TLymHRNS</t>
  </si>
  <si>
    <t>A relative measurement (ratio or percentage) of a sub-population of helper regulatory naive T-lymphocytes to a sub-population of helper regulatory naive T-lymphocytes in a biological specimen.</t>
  </si>
  <si>
    <t>Naive Regulatory Helper T-Lymphocyte Subpopulation to Naive Regulatory Helper T-Lymphocyte Subpopulation Ratio Measurement</t>
  </si>
  <si>
    <t>C214573</t>
  </si>
  <si>
    <t>TLym Help Reg Sub/TLymHRS</t>
  </si>
  <si>
    <t>T-Lymphocytes Helper Regulatory Sub-Population/T-Lymphocytes Helper Regulatory Sub-Population; TLym Help Reg Sub/TLym Help Reg Sub; TLym Help Reg Sub/TLymHRS</t>
  </si>
  <si>
    <t>A relative measurement (ratio or percentage) of a sub-population of helper regulatory T-lymphocytes to a sub-population of helper regulatory T-lymphocytes in a biological specimen.</t>
  </si>
  <si>
    <t>Regulatory Helper T-Lymphocyte Subpopulation to Regulatory Helper T-Lymphocyte Subpopulation Ratio Measurement</t>
  </si>
  <si>
    <t>C214576</t>
  </si>
  <si>
    <t>TLym Help Term Mem GH Sub/TLymHTMGHS</t>
  </si>
  <si>
    <t>T-Lymphocytes Helper Terminal Memory Gut-Homing Sub-Population/T-Lymphocytes Helper Terminal Memory Gut-Homing Sub-Population; TLym Help Term Mem GH Sub/TLym Help Term Mem GH Sub; TLym Help Term Mem GH Sub/TLymHTMGHS</t>
  </si>
  <si>
    <t>A relative measurement (ratio or percentage) of a sub-population of gut-homing helper terminal memory T-lymphocytes to a sub-population of gut-homing helper terminal memory T-lymphocytes in a biological specimen.</t>
  </si>
  <si>
    <t>Gut-Homing Helper Terminal Memory T-Lymphocyte Subpopulation to Gut-Homing Helper Terminal Memory T-Lymphocyte Subpopulation Ratio Measurement</t>
  </si>
  <si>
    <t>C214577</t>
  </si>
  <si>
    <t>TLym Help Term Mem SH Sub/TLymHTMSHS</t>
  </si>
  <si>
    <t>T-Lymphocytes Helper Terminal Memory Skin-Homing Sub-Population/T-Lymphocytes Helper Terminal Memory Skin-Homing Sub-Population; TLym Help Term Mem SH Sub/TLym Help Term Mem SH Sub; TLym Help Term Mem SH Sub/TLymHTMSHS</t>
  </si>
  <si>
    <t>A relative measurement (ratio or percentage) of a sub-population of skin-homing helper terminal memory T-lymphocytes to a sub-population of skin-homing helper terminal memory T-lymphocytes in a biological specimen.</t>
  </si>
  <si>
    <t>Skin-Homing Helper Terminal Memory T-Lymphocyte Subpopulation to Skin-Homing Helper Terminal Memory T-Lymphocyte Subpopulation Ratio Measurement</t>
  </si>
  <si>
    <t>C214578</t>
  </si>
  <si>
    <t>TLym Help Term Mem Sub/TLymHTMS</t>
  </si>
  <si>
    <t>T-Lymphocytes Helper Terminal Memory Sub-Population/T-Lymphocytes Helper Terminal Memory Sub-Population; TLym Help Term Mem Sub/TLym Help Term Mem Sub; TLym Help Term Mem Sub/TLymHTMS</t>
  </si>
  <si>
    <t>A relative measurement (ratio or percentage) of a sub-population of helper terminal memory T-Lymphocytes to a sub-population of helper terminal memory T-Lymphocytes in a biological specimen.</t>
  </si>
  <si>
    <t>Terminal Memory Helper T-Lymphocyte Subpopulation to Terminal Memory Helper T-Lymphocyte Subpopulation Ratio Measurement</t>
  </si>
  <si>
    <t>C214580</t>
  </si>
  <si>
    <t>TLym Cytx Eff Mem Sub/TLymCEMS</t>
  </si>
  <si>
    <t>T-Lymphocytes Cytotoxic Effector Memory Sub-Population/T-Lymphocytes Cytotoxic Effector Memory Sub-Population; TLym Cytx Eff Mem Sub/TLym Cytx Eff Mem Sub; TLym Cytx Eff Mem Sub/TLymCEMS</t>
  </si>
  <si>
    <t>A relative measurement (ratio or percentage) of a sub-population of cytotoxic effector memory T-lymphocytes to a sub-population of cytotoxic effector memory T-lymphocytes in a biological specimen.</t>
  </si>
  <si>
    <t>Effector Memory Cytotoxic T-Lymphocyte Subpopulation to Effector Memory Cytotoxic T-Lymphocyte Subpopulation Ratio Measurement</t>
  </si>
  <si>
    <t>C214583</t>
  </si>
  <si>
    <t>BLym Mem NSw IgG+/BLymMNSw</t>
  </si>
  <si>
    <t>B-Lymphocytes Memory Non-Class-Switched IgG+/B-Lymphocytes Memory Non-Class-Switched; B-Lymphocytes Memory Unswitched IgG+/B-Lymphocytes Memory Unswitched; BLym Mem NSw IgG+/BLym Mem NSw; BLym Mem NSw IgG+/BLymMNSw</t>
  </si>
  <si>
    <t>A relative measurement (ratio or percentage) of the IgG+ non-class-switched memory B-lymphocytes to total non-class-switched memory B-lymphocytes in a biological specimen.</t>
  </si>
  <si>
    <t>Non-class-switched IgG-positive Memory B-Lymphocyte to Non-class-switched Memory B-Lymphocyte Ratio Measurement</t>
  </si>
  <si>
    <t>C214585</t>
  </si>
  <si>
    <t>BLym Mem NSw IgM+/BLymMNSw</t>
  </si>
  <si>
    <t>B-Lymphocytes Memory Non-Class-Switched IgM+/B-Lymphocytes Memory Non-Class-Switched; B-Lymphocytes Memory Unswitched IgM+/B-Lymphocytes Memory Unswitched; BLym Mem NSw IgM+/BLym Mem NSw; BLym Mem NSw IgM+/BLymMNSw</t>
  </si>
  <si>
    <t>A relative measurement (ratio or percentage) of the IgM+ non-class-switched memory B-lymphocytes to total non-class-switched memory B-lymphocytes in a biological specimen.</t>
  </si>
  <si>
    <t>Non-class-switched IgM-positive Memory B-Lymphocyte to Non-class-switched Memory B-Lymphocyte Ratio Measurement</t>
  </si>
  <si>
    <t>C214612</t>
  </si>
  <si>
    <t>Mono NonClassic Sub/Mono Intermed</t>
  </si>
  <si>
    <t>Mono NonClassic Sub/Mono Intermed; Monocytes Non-Classic Sub-Population/Monocytes Intermediate; Monocytes Non-Classical Sub-Population/Monocytes Intermediate</t>
  </si>
  <si>
    <t>A relative measurement (ratio or percentage) of a sub-population of non-classical monocytes to intermediate monocytes in a biological specimen.</t>
  </si>
  <si>
    <t>Non-Classical Monocyte Subpopulation to Intermediate Monocyte Ratio Measurement</t>
  </si>
  <si>
    <t>C214633</t>
  </si>
  <si>
    <t>Plasma Cells/BLymMSw</t>
  </si>
  <si>
    <t>Plasma Cells/B-Lymphocytes Memory Switched; Plasma Cells/BLym Mem Sw; Plasma Cells/BLymMSw</t>
  </si>
  <si>
    <t>A relative measurement (ratio or percentage) of the plasma cells to the class-switched memory B-lymphocytes in a biological specimen.</t>
  </si>
  <si>
    <t>Plasma Cell to Class-switched Memory B-Lymphocyte Ratio Measurement</t>
  </si>
  <si>
    <t>C229ENC</t>
  </si>
  <si>
    <t>HCoV-229E Nucleic Acid</t>
  </si>
  <si>
    <t>HCoV-229E Nucleic Acid; Human Coronavirus 229E Nucleic Acid</t>
  </si>
  <si>
    <t>A measurement of the Human coronavirus 229E nucleic acid in a biological specimen.</t>
  </si>
  <si>
    <t>Human Coronavirus 229E Nucleic Acid Measurement</t>
  </si>
  <si>
    <t>C229ERNA</t>
  </si>
  <si>
    <t>HCoV-229E RNA</t>
  </si>
  <si>
    <t>HCoV-229E RNA; Human Coronavirus 229E RNA</t>
  </si>
  <si>
    <t>A measurement of the Human coronavirus 229E RNA in a biological specimen.</t>
  </si>
  <si>
    <t>HCoV-229E RNA Measurement</t>
  </si>
  <si>
    <t>C2FR</t>
  </si>
  <si>
    <t>Complement C2, Free</t>
  </si>
  <si>
    <t>A measurement of the free complement C2 in a biological specimen.</t>
  </si>
  <si>
    <t>Free Complement C2 Measurement</t>
  </si>
  <si>
    <t>C2FRC2</t>
  </si>
  <si>
    <t>Complement C2, Free/Complement C2</t>
  </si>
  <si>
    <t>A relative measurement (ratio or percentage) of the free complement C2 to total complement C2 in a biological specimen.</t>
  </si>
  <si>
    <t>Free Complement C2 to Complement C2 Ratio Measurement</t>
  </si>
  <si>
    <t>C3</t>
  </si>
  <si>
    <t>Complement C3</t>
  </si>
  <si>
    <t>A measurement of the complement C3 in a biological specimen.</t>
  </si>
  <si>
    <t>Complement C3 Measurement</t>
  </si>
  <si>
    <t>C3A</t>
  </si>
  <si>
    <t>Complement C3a</t>
  </si>
  <si>
    <t>A measurement of the complement C3a in a biological specimen.</t>
  </si>
  <si>
    <t>Complement C3a Measurement</t>
  </si>
  <si>
    <t>C3ADARG</t>
  </si>
  <si>
    <t>Complement C3a DesArg</t>
  </si>
  <si>
    <t>Acylation-Stimulating Protein; ASP; Complement C3a DesArg</t>
  </si>
  <si>
    <t>A measurement of the complement C3a DesArg in a biological specimen.</t>
  </si>
  <si>
    <t>Complement C3a DesArg Measurement</t>
  </si>
  <si>
    <t>C3B</t>
  </si>
  <si>
    <t>Complement C3b</t>
  </si>
  <si>
    <t>A measurement of the complement C3b in a biological specimen.</t>
  </si>
  <si>
    <t>Complement C3b Measurement</t>
  </si>
  <si>
    <t>C3C</t>
  </si>
  <si>
    <t>Complement C3c</t>
  </si>
  <si>
    <t>A measurement of the complement C3c in a biological specimen.</t>
  </si>
  <si>
    <t>Complement C3c Measurement</t>
  </si>
  <si>
    <t>C3M</t>
  </si>
  <si>
    <t>Collagen III Neo-Peptide C3M</t>
  </si>
  <si>
    <t>A measurement of the collagen III neo-peptide C3M in a biological specimen.</t>
  </si>
  <si>
    <t>Collagen III Neo-Peptide C3M Measurement</t>
  </si>
  <si>
    <t>C4</t>
  </si>
  <si>
    <t>Complement C4</t>
  </si>
  <si>
    <t>A measurement of the complement C4 in a biological specimen.</t>
  </si>
  <si>
    <t>Complement C4 Measurement</t>
  </si>
  <si>
    <t>C4A</t>
  </si>
  <si>
    <t>Complement C4a</t>
  </si>
  <si>
    <t>A measurement of the complement C4a in a biological specimen.</t>
  </si>
  <si>
    <t>Complement C4a Measurement</t>
  </si>
  <si>
    <t>C4D</t>
  </si>
  <si>
    <t>Complement C4d</t>
  </si>
  <si>
    <t>A measurement of the complement C4d in a biological specimen.</t>
  </si>
  <si>
    <t>Complement C4d Measurement</t>
  </si>
  <si>
    <t>C5</t>
  </si>
  <si>
    <t>Complement C5</t>
  </si>
  <si>
    <t>A measurement of the total complement C5 in a biological specimen.</t>
  </si>
  <si>
    <t>Complement C5 Measurement</t>
  </si>
  <si>
    <t>C5A</t>
  </si>
  <si>
    <t>Complement C5a</t>
  </si>
  <si>
    <t>A measurement of the complement C5a in a biological specimen.</t>
  </si>
  <si>
    <t>Complement C5a Measurement</t>
  </si>
  <si>
    <t>C5B9</t>
  </si>
  <si>
    <t>Complement C5b-9</t>
  </si>
  <si>
    <t>A measurement of the complement C5b-9 in a biological specimen.</t>
  </si>
  <si>
    <t>Complement C5b-9 Measurement</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</si>
  <si>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</si>
  <si>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</si>
  <si>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</si>
  <si>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</si>
  <si>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</si>
  <si>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C5FR</t>
  </si>
  <si>
    <t>Complement C5, Free</t>
  </si>
  <si>
    <t>A measurement of the free complement C5 in a biological specimen.</t>
  </si>
  <si>
    <t>Free Complement C5 Measurement</t>
  </si>
  <si>
    <t>CA</t>
  </si>
  <si>
    <t>Calcium</t>
  </si>
  <si>
    <t>A measurement of the calcium in a biological specimen.</t>
  </si>
  <si>
    <t>Calcium Measurement</t>
  </si>
  <si>
    <t>CA125AG</t>
  </si>
  <si>
    <t>Cancer Antigen 125</t>
  </si>
  <si>
    <t>CA125; CA125AG; Cancer Antigen 125; Carbohydrate Antigen 125; MUC16; Mucin-16; Mucin-16, Cell Surface Associated</t>
  </si>
  <si>
    <t>A measurement of the cancer antigen 125 in a biological specimen.</t>
  </si>
  <si>
    <t>CA-125 Measurement</t>
  </si>
  <si>
    <t>CA15_3AG</t>
  </si>
  <si>
    <t>Cancer Antigen 15-3</t>
  </si>
  <si>
    <t>Cancer Antigen 15-3; Carbohydrate Antigen 15-3</t>
  </si>
  <si>
    <t>A measurement of the cancer antigen 15-3 in a biological specimen.</t>
  </si>
  <si>
    <t>Cancer Antigen 15-3 Measurement</t>
  </si>
  <si>
    <t>CA19_9AG</t>
  </si>
  <si>
    <t>Cancer Antigen 19-9</t>
  </si>
  <si>
    <t>Cancer Antigen 19-9; Carbohydrate Antigen 19-9</t>
  </si>
  <si>
    <t>A measurement of the cancer antigen 19-9 in a biological specimen.</t>
  </si>
  <si>
    <t>Cancer Antigen 19-9 Measurement</t>
  </si>
  <si>
    <t>CA1AG</t>
  </si>
  <si>
    <t>Cancer Antigen 1</t>
  </si>
  <si>
    <t>A measurement of the cancer antigen 1 in a biological specimen.</t>
  </si>
  <si>
    <t>Cancer Antigen 1 Measurement</t>
  </si>
  <si>
    <t>CA242AG</t>
  </si>
  <si>
    <t>Cancer Antigen 242</t>
  </si>
  <si>
    <t>Cancer Antigen 242; Carbohydrate Antigen 242</t>
  </si>
  <si>
    <t>A measurement of the cancer antigen 242 in a biological specimen.</t>
  </si>
  <si>
    <t>Cancer Antigen 242 Measurement</t>
  </si>
  <si>
    <t>CA2729AG</t>
  </si>
  <si>
    <t>Cancer Antigen 27-29</t>
  </si>
  <si>
    <t>A measurement of the cancer antigen 27-29 in a biological specimen.</t>
  </si>
  <si>
    <t>Cancer Antigen 27-29 Measurement</t>
  </si>
  <si>
    <t>CA50AG</t>
  </si>
  <si>
    <t>Cancer Antigen 50</t>
  </si>
  <si>
    <t>CA50; Cancer Antigen 50; Carbohydrate Antigen 50</t>
  </si>
  <si>
    <t>A measurement of the cancer antigen 50 in a biological specimen.</t>
  </si>
  <si>
    <t>Cancer Antigen 50 Measurement</t>
  </si>
  <si>
    <t>CA72_4AG</t>
  </si>
  <si>
    <t>Cancer Antigen 72-4</t>
  </si>
  <si>
    <t>CA 72-4; Cancer Antigen 72-4; Carbohydrate Antigen 72-4</t>
  </si>
  <si>
    <t>A measurement of the cancer antigen 72-4 in a biological specimen.</t>
  </si>
  <si>
    <t>Cancer Antigen 72-4 Measurement</t>
  </si>
  <si>
    <t>CABNIND</t>
  </si>
  <si>
    <t>Congenital Abnormality Indicator</t>
  </si>
  <si>
    <t>An indication as to whether any abnormality was present at birth or during the neonatal period.</t>
  </si>
  <si>
    <t>CABOT</t>
  </si>
  <si>
    <t>Cabot Rings</t>
  </si>
  <si>
    <t>A measurement of the Cabot rings (red-purple staining, threadlike, ring or figure 8 shaped filaments in an erythrocyte) in a biological specimen.</t>
  </si>
  <si>
    <t>Cabot Ring Count</t>
  </si>
  <si>
    <t>CACLR</t>
  </si>
  <si>
    <t>Calcium Clearance</t>
  </si>
  <si>
    <t>A measurement of the volume of serum or plasma that would be cleared of calcium by excretion of urine for a specified unit of time (e.g. one minute).</t>
  </si>
  <si>
    <t>Calcium Clearance Measurement</t>
  </si>
  <si>
    <t>CACR</t>
  </si>
  <si>
    <t>Calcium Corrected</t>
  </si>
  <si>
    <t>A measurement of calcium, which has been corrected using an unspecified protein, in a biological specimen.</t>
  </si>
  <si>
    <t>Calcium Corrected Measurement</t>
  </si>
  <si>
    <t>CACRALB</t>
  </si>
  <si>
    <t>Calcium Corrected for Albumin</t>
  </si>
  <si>
    <t>A measurement of calcium, which has been corrected for albumin, in a biological specimen.</t>
  </si>
  <si>
    <t>Albumin Corrected Calcium Measurement</t>
  </si>
  <si>
    <t>CACREAT</t>
  </si>
  <si>
    <t>Calcium/Creatinine</t>
  </si>
  <si>
    <t>A relative measurement (ratio or percentage) of the calcium to creatinine in a biological specimen.</t>
  </si>
  <si>
    <t>Calcium to Creatinine Ratio Measurement</t>
  </si>
  <si>
    <t>CACRTP</t>
  </si>
  <si>
    <t>Calcium Corrected for Total Protein</t>
  </si>
  <si>
    <t>A measurement of calcium, which has been corrected for total protein, in a biological specimen.</t>
  </si>
  <si>
    <t>Calcium Corrected for Total Protein Measurement</t>
  </si>
  <si>
    <t>CADMIUM</t>
  </si>
  <si>
    <t>Cadmium</t>
  </si>
  <si>
    <t>A measurement of the cadmium in a specimen.</t>
  </si>
  <si>
    <t>Cadmium Measurement</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</si>
  <si>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</si>
  <si>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</si>
  <si>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</si>
  <si>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</si>
  <si>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</si>
  <si>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CAEMA2</t>
  </si>
  <si>
    <t>2-Carbamoylethylmercapturic Acid</t>
  </si>
  <si>
    <t>2-Carbamoyl Methyl Mercapturic Acid; 2-Carbamoylethylmercapturic Acid; 2CaEMA; Acrylamide Mercapturic Acid; Acrylamide Micturate; N-Acetyl-S-carbamoylethyl-L-cysteine</t>
  </si>
  <si>
    <t>A measurement of the 2-carbamoylethylmercapturic acid in a specimen.</t>
  </si>
  <si>
    <t>2-Carbamoylethylmercapturic Acid Measurement</t>
  </si>
  <si>
    <t>CAEXR</t>
  </si>
  <si>
    <t>Calcium Excretion Rate</t>
  </si>
  <si>
    <t>A measurement of the amount of calcium being excreted in a biological specimen over a defined period of time (e.g. one hour).</t>
  </si>
  <si>
    <t>CAFFEATE</t>
  </si>
  <si>
    <t>Caffeate</t>
  </si>
  <si>
    <t>Caffeate; Caffeic Acid</t>
  </si>
  <si>
    <t>A measurement of the caffeate in a specimen.</t>
  </si>
  <si>
    <t>Caffeate Measurement</t>
  </si>
  <si>
    <t>CAFFEINE</t>
  </si>
  <si>
    <t>Caffeine</t>
  </si>
  <si>
    <t>A measurement of the caffeine in a biological specimen.</t>
  </si>
  <si>
    <t>Caffeine Measurement</t>
  </si>
  <si>
    <t>CAION</t>
  </si>
  <si>
    <t>Calcium, Ionized</t>
  </si>
  <si>
    <t>A measurement of the ionized calcium in a biological specimen.</t>
  </si>
  <si>
    <t>Ionized Calcium Measurement</t>
  </si>
  <si>
    <t>CAIONPH</t>
  </si>
  <si>
    <t>Calcium, Ionized pH Adjusted</t>
  </si>
  <si>
    <t>A measurement of the pH adjusted ionized calcium in a biological specimen.</t>
  </si>
  <si>
    <t>Ionized pH Adjusted Calcium Measurement</t>
  </si>
  <si>
    <t>CAL</t>
  </si>
  <si>
    <t>Candida albicans</t>
  </si>
  <si>
    <t>Candida albicans; Candida stellatoidea</t>
  </si>
  <si>
    <t>A measurement of the Candida albicans in a biological specimen.</t>
  </si>
  <si>
    <t>Candida albicans Measurement</t>
  </si>
  <si>
    <t>CALB</t>
  </si>
  <si>
    <t>Calbindin</t>
  </si>
  <si>
    <t>A measurement of the total calbindin in a biological specimen.</t>
  </si>
  <si>
    <t>Calbindin Measurement</t>
  </si>
  <si>
    <t>CALBURN</t>
  </si>
  <si>
    <t>Calories Burned</t>
  </si>
  <si>
    <t>A measurement of the number of calories expended.</t>
  </si>
  <si>
    <t>CALCFIND</t>
  </si>
  <si>
    <t>Calcification Indicator</t>
  </si>
  <si>
    <t>An indication as to whether calcification is present.</t>
  </si>
  <si>
    <t>CALDNA</t>
  </si>
  <si>
    <t>Candida albicans DNA</t>
  </si>
  <si>
    <t>A measurement of the Candida albicans DNA in a biological specimen.</t>
  </si>
  <si>
    <t>Candida albicans DNA Measurement</t>
  </si>
  <si>
    <t>CALFCIR</t>
  </si>
  <si>
    <t>Calf Circumference</t>
  </si>
  <si>
    <t>A circumferential measurement of the lower leg in the region of the calf at the widest point.</t>
  </si>
  <si>
    <t>CALPRO</t>
  </si>
  <si>
    <t>Calprotectin</t>
  </si>
  <si>
    <t>A measurement of the calprotectin in a biological specimen.</t>
  </si>
  <si>
    <t>Calprotectin Measurement</t>
  </si>
  <si>
    <t>CAMP</t>
  </si>
  <si>
    <t>Cyclic Adenosine 3,5-Monophosphate</t>
  </si>
  <si>
    <t>A measurement of cyclic adenosine 3,5-monophosphate in a biological specimen.</t>
  </si>
  <si>
    <t>Cyclic Adenosine 3,5-Monophosphate Measurement</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</si>
  <si>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</si>
  <si>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</si>
  <si>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</si>
  <si>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</si>
  <si>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</si>
  <si>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CAMPYDNA</t>
  </si>
  <si>
    <t>Campylobacter DNA</t>
  </si>
  <si>
    <t>A measurement of the DNA from any member of the genus Campylobacter in a biological specimen.</t>
  </si>
  <si>
    <t>Campylobacter DNA Measurement</t>
  </si>
  <si>
    <t>CAMPYLOB</t>
  </si>
  <si>
    <t>Campylobacter</t>
  </si>
  <si>
    <t>A measurement of the organisms that are not assigned to the species level but are assigned to the Campylobacter genus level in a biological specimen.</t>
  </si>
  <si>
    <t>Campylobacter Measurement</t>
  </si>
  <si>
    <t>CAN</t>
  </si>
  <si>
    <t>Coefficient of Nitrogen Absorption</t>
  </si>
  <si>
    <t>A measurement of the coefficient of nitrogen absorption in a biological specimen.</t>
  </si>
  <si>
    <t>Coefficient of Nitrogen Absorption Measurement</t>
  </si>
  <si>
    <t>CANAG</t>
  </si>
  <si>
    <t>Candida Antigen</t>
  </si>
  <si>
    <t>A measurement of the antigen from any member of the genus Candida in a biological specimen.</t>
  </si>
  <si>
    <t>Candida Antigen Measurement</t>
  </si>
  <si>
    <t>CANDIDA</t>
  </si>
  <si>
    <t>Candida</t>
  </si>
  <si>
    <t>A measurement of the organisms that are not assigned to the species level but are assigned to the Candida genus level in a biological specimen.</t>
  </si>
  <si>
    <t>Candida Measurement</t>
  </si>
  <si>
    <t>CANNAB</t>
  </si>
  <si>
    <t>Cannabinoids</t>
  </si>
  <si>
    <t>A measurement of any cannabinoid class drug present in a biological specimen.</t>
  </si>
  <si>
    <t>Cannabinoid Drug Class Measurement</t>
  </si>
  <si>
    <t>CANNABM</t>
  </si>
  <si>
    <t>Cannabinoid Metabolites</t>
  </si>
  <si>
    <t>Cannabinoid Metabolites; Cannabis Metabolites; Marijuana Metabolites</t>
  </si>
  <si>
    <t>A measurement of any cannabinoid drug class metabolite(s) present in a biological specimen.</t>
  </si>
  <si>
    <t>Cannabinoid Metabolite Measurement</t>
  </si>
  <si>
    <t>CANNABS</t>
  </si>
  <si>
    <t>Cannabinoids, Synthetic</t>
  </si>
  <si>
    <t>A measurement of any synthetic cannabinoid class drug present in a biological specimen.</t>
  </si>
  <si>
    <t>Synthetic Cannabinoid Measurement</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</si>
  <si>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</si>
  <si>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</si>
  <si>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</si>
  <si>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</si>
  <si>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CAOXAEXR</t>
  </si>
  <si>
    <t>Calcium Oxalate Excretion Rate</t>
  </si>
  <si>
    <t>A measurement of the amount of calcium oxalate being excreted in a biological specimen over a defined amount of time (e.g. one hour).</t>
  </si>
  <si>
    <t>CAPHOS</t>
  </si>
  <si>
    <t>Calcium/Phosphorus</t>
  </si>
  <si>
    <t>Calcium/Phosphate; Calcium/Phosphorus</t>
  </si>
  <si>
    <t>A relative measurement (ratio) of the calcium to phosphorus in a biological specimen.</t>
  </si>
  <si>
    <t>Calcium to Phosphorus Ratio Measurement</t>
  </si>
  <si>
    <t>CAPHOSPD</t>
  </si>
  <si>
    <t>Calcium - Phosphorus Product</t>
  </si>
  <si>
    <t>A measurement of the product of the calcium and phosphate measurements in a biological specimen.</t>
  </si>
  <si>
    <t>Calcium and Phosphorus Product Measurement</t>
  </si>
  <si>
    <t>CARBXHGB</t>
  </si>
  <si>
    <t>Carboxyhemoglobin</t>
  </si>
  <si>
    <t>A measurement of the carboxyhemoglobin, carbon monoxide-bound hemoglobin, in a biological specimen.</t>
  </si>
  <si>
    <t>Carboxyhemoglobin Measurement</t>
  </si>
  <si>
    <t>CARDIDX</t>
  </si>
  <si>
    <t>Cardiac Index</t>
  </si>
  <si>
    <t>The measure of an individual's cardiac output divided by the individual's body surface area (CI= CO/BSA).</t>
  </si>
  <si>
    <t>CARDOUT</t>
  </si>
  <si>
    <t>Cardiac Output</t>
  </si>
  <si>
    <t>The total volume of blood pumped by the heart over a set period of time, conventionally one minute; it is calculated as heart rate times stroke volume (CO= HR x SV).</t>
  </si>
  <si>
    <t>CARIPRZN</t>
  </si>
  <si>
    <t>Cariprazine</t>
  </si>
  <si>
    <t>A measurement of the cariprazine in a biological specimen.</t>
  </si>
  <si>
    <t>Cariprazine Measurement</t>
  </si>
  <si>
    <t>CARNIT</t>
  </si>
  <si>
    <t>Carnitine</t>
  </si>
  <si>
    <t>A measurement of the total carnitine in a biological specimen.</t>
  </si>
  <si>
    <t>Total Carnitine Measurement</t>
  </si>
  <si>
    <t>CARNITAT</t>
  </si>
  <si>
    <t>Carnitine Acetyl Transferase</t>
  </si>
  <si>
    <t>A measurement of the carnitine acetyl transferase in a biological specimen.</t>
  </si>
  <si>
    <t>Carnitine Acetyl Transferase Measurement</t>
  </si>
  <si>
    <t>CARNITF</t>
  </si>
  <si>
    <t>Carnitine, Free</t>
  </si>
  <si>
    <t>A measurement of the free carnitine in a biological specimen.</t>
  </si>
  <si>
    <t>Free Carnitine Measurement</t>
  </si>
  <si>
    <t>CARNTEXR</t>
  </si>
  <si>
    <t>Carnitine Excretion Rate</t>
  </si>
  <si>
    <t>A measurement of the amount of carnitine being excreted in a biological specimen over a defined amount of time (e.g. one hour).</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</si>
  <si>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</si>
  <si>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</si>
  <si>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</si>
  <si>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</si>
  <si>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</si>
  <si>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CASEIN</t>
  </si>
  <si>
    <t>Casein</t>
  </si>
  <si>
    <t>A measurement of the casein in a biological specimen.</t>
  </si>
  <si>
    <t>Casein Measurement</t>
  </si>
  <si>
    <t>CASTS</t>
  </si>
  <si>
    <t>Casts</t>
  </si>
  <si>
    <t>Casts; Casts Absent Indicator</t>
  </si>
  <si>
    <t>An indication that casts were looked for and not found in a biological specimen.</t>
  </si>
  <si>
    <t>Cast Absent Indicator</t>
  </si>
  <si>
    <t>CASULPH</t>
  </si>
  <si>
    <t>Calcium Sulphate</t>
  </si>
  <si>
    <t>A measurement of the calcium sulphate in a biological specimen.</t>
  </si>
  <si>
    <t>Calcium Sulphate Measurement</t>
  </si>
  <si>
    <t>CATECHOL</t>
  </si>
  <si>
    <t>Catechol</t>
  </si>
  <si>
    <t>A measurement of the catechol in a specimen.</t>
  </si>
  <si>
    <t>Catechol Measurement</t>
  </si>
  <si>
    <t>CATHNON</t>
  </si>
  <si>
    <t>Cathinone</t>
  </si>
  <si>
    <t>A measurement of the cathinone in a biological specimen.</t>
  </si>
  <si>
    <t>Cathinone Measurement</t>
  </si>
  <si>
    <t>CATMTHID</t>
  </si>
  <si>
    <t>Coronary Artery Thrombosis Method Ident</t>
  </si>
  <si>
    <t>The method by which the coronary artery thrombosis event is determined or diagnosed.</t>
  </si>
  <si>
    <t>Coronary Artery Thrombosis Method of Identification</t>
  </si>
  <si>
    <t>CATNINB</t>
  </si>
  <si>
    <t>Beta Catenin</t>
  </si>
  <si>
    <t>A measurement of the beta catenin in a biological specimen.</t>
  </si>
  <si>
    <t>Beta Catenin Measurement</t>
  </si>
  <si>
    <t>CAUDRIND</t>
  </si>
  <si>
    <t>Continuous Audio Recording Indicator</t>
  </si>
  <si>
    <t>An indication as to whether a continuous audio recording is made during the assessment.</t>
  </si>
  <si>
    <t>Continuous Audio Recording Made Indicator</t>
  </si>
  <si>
    <t>CBA</t>
  </si>
  <si>
    <t>Complement Ba</t>
  </si>
  <si>
    <t>Ba Fragment of Complement Factor B; Ba Fragment of Factor B; Complement Ba</t>
  </si>
  <si>
    <t>A measurement of the Ba fragment of complement factor B in a biological specimen.</t>
  </si>
  <si>
    <t>Complement Ba Measurement</t>
  </si>
  <si>
    <t>CBANH9</t>
  </si>
  <si>
    <t>Carbonic Anhydrase 9</t>
  </si>
  <si>
    <t>CA9; CAIX; Carbonic Anhydrase 9</t>
  </si>
  <si>
    <t>A measurement of the carbonic anhydrase 9 in a biological specimen.</t>
  </si>
  <si>
    <t>Carbonic Anhydrase 9 Measurement</t>
  </si>
  <si>
    <t>CBB</t>
  </si>
  <si>
    <t>Complement Bb</t>
  </si>
  <si>
    <t>Bb Fragment of Complement Factor B; Bb Fragment of Factor B; Complement Bb</t>
  </si>
  <si>
    <t>A measurement of the Bb fragment of complement factor B in a biological specimen.</t>
  </si>
  <si>
    <t>Complement Bb Measurement</t>
  </si>
  <si>
    <t>CBINRATS</t>
  </si>
  <si>
    <t>Carbohydrate to Insulin Ratio Setting</t>
  </si>
  <si>
    <t>A setting on a device that specifies the ratio of the carbohydrates to insulin in the administered product.</t>
  </si>
  <si>
    <t>Carbohydrate to Insulin Ratio Device Setting</t>
  </si>
  <si>
    <t>CBPPERM</t>
  </si>
  <si>
    <t>Cigarette Base Paper Permeability</t>
  </si>
  <si>
    <t>The ease of passage of liquids, gases, or specific chemicals through the paper product that is used to wrap cigarettes.</t>
  </si>
  <si>
    <t>CBPPOR</t>
  </si>
  <si>
    <t>Cigarette Base Paper Porosity</t>
  </si>
  <si>
    <t>The amount of empty space in the paper product that is used to wrap cigarettes.</t>
  </si>
  <si>
    <t>CBR</t>
  </si>
  <si>
    <t>Citrobacter braakii</t>
  </si>
  <si>
    <t>A measurement of the Citrobacter braakii in a biological specimen.</t>
  </si>
  <si>
    <t>Citrobacter braakii Measurement</t>
  </si>
  <si>
    <t>CBS</t>
  </si>
  <si>
    <t>Cystathionine Beta-Synthase</t>
  </si>
  <si>
    <t>A measurement of the cystathionine beta-synthase in a biological specimen.</t>
  </si>
  <si>
    <t>Cystathionine Beta-Synthase Measurement</t>
  </si>
  <si>
    <t>CCADNA</t>
  </si>
  <si>
    <t>Cyclospora cayetanensis DNA</t>
  </si>
  <si>
    <t>A measurement of the Cyclospora cayetanensis DNA in a biological specimen.</t>
  </si>
  <si>
    <t>Cyclospora cayetanensis DNA Measurement</t>
  </si>
  <si>
    <t>CCD223X</t>
  </si>
  <si>
    <t>cCD223 Expression</t>
  </si>
  <si>
    <t>cCD223 Expression; Cytoplasmic CD223 Expression</t>
  </si>
  <si>
    <t>A measurement of cellular cytoplasmic CD223 expression in a biological specimen.</t>
  </si>
  <si>
    <t>Cytoplasmic CD223 Expression Measurement</t>
  </si>
  <si>
    <t>CCK</t>
  </si>
  <si>
    <t>Cholecystokinin</t>
  </si>
  <si>
    <t>Cholecystokinin; Pancreozymin</t>
  </si>
  <si>
    <t>A measurement of the cholecystokinin hormone in a biological specimen.</t>
  </si>
  <si>
    <t>Cholecystokinin Measurement</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</si>
  <si>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</si>
  <si>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</si>
  <si>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</si>
  <si>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</si>
  <si>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</si>
  <si>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CCL12</t>
  </si>
  <si>
    <t>Chemokine (C-C Motif) Ligand 12</t>
  </si>
  <si>
    <t>Chemokine (C-C Motif) Ligand 12; Monocyte Chemotactic Protein 5</t>
  </si>
  <si>
    <t>A measurement of the CCL12, chemokine (C-C motif) ligand 12, in a biological specimen.</t>
  </si>
  <si>
    <t>Chemokine (C-C Motif) Ligand 12 Measurement</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</si>
  <si>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</si>
  <si>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</si>
  <si>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</si>
  <si>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</si>
  <si>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</si>
  <si>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</si>
  <si>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</si>
  <si>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</si>
  <si>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</si>
  <si>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</si>
  <si>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</si>
  <si>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</si>
  <si>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</si>
  <si>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</si>
  <si>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</si>
  <si>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</si>
  <si>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</si>
  <si>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</si>
  <si>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</si>
  <si>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</si>
  <si>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</si>
  <si>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</si>
  <si>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</si>
  <si>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</si>
  <si>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</si>
  <si>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</si>
  <si>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</si>
  <si>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</si>
  <si>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</si>
  <si>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</si>
  <si>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</si>
  <si>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</si>
  <si>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</si>
  <si>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</si>
  <si>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</si>
  <si>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CCL21</t>
  </si>
  <si>
    <t>Chemokine (C-C Motif) Ligand 21</t>
  </si>
  <si>
    <t>6Ckine; Chemokine (C-C Motif) Ligand 21; Secondary Lymphoid Tissue Chemokine</t>
  </si>
  <si>
    <t>A measurement of the CCL21, chemokine (C-C motif) ligand 21, in a biological specimen.</t>
  </si>
  <si>
    <t>Chemokine (C-C Motif) Ligand 21 Measurement</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</si>
  <si>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</si>
  <si>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</si>
  <si>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</si>
  <si>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</si>
  <si>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</si>
  <si>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CCL25</t>
  </si>
  <si>
    <t>Chemokine (C-C Motif) Ligand 25</t>
  </si>
  <si>
    <t>Chemokine (C-C Motif) Ligand 25; Ckb15; SCYA25; TECK</t>
  </si>
  <si>
    <t>A measurement of the CCL25, chemokine (C-C motif) ligand 25, in a biological specimen.</t>
  </si>
  <si>
    <t>Chemokine (C-C Motif) Ligand 25 Measurement</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</si>
  <si>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</si>
  <si>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</si>
  <si>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</si>
  <si>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</si>
  <si>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</si>
  <si>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CCL7</t>
  </si>
  <si>
    <t>Chemokine (C-C Motif) Ligand 7</t>
  </si>
  <si>
    <t>Chemokine (C-C Motif) Ligand 7; MCP3; Monocyte Chemotactic Protein 3</t>
  </si>
  <si>
    <t>A measurement of the CCL7, chemokine (C-C motif) ligand 7, in a biological specimen.</t>
  </si>
  <si>
    <t>Chemokine (C-C Motif) Ligand 7 Measurement</t>
  </si>
  <si>
    <t>CCL8</t>
  </si>
  <si>
    <t>Chemokine (C-C Motif) Ligand 8</t>
  </si>
  <si>
    <t>Chemokine (C-C Motif) Ligand 8; HC14; MCP2; SCYA10; SCYA8</t>
  </si>
  <si>
    <t>A measurement of the CCL8, chemokine (C-C motif) ligand 8, in a biological specimen.</t>
  </si>
  <si>
    <t>Chemokine (C-C Motif) Ligand 8 Measurement</t>
  </si>
  <si>
    <t>CCO</t>
  </si>
  <si>
    <t>Campylobacter coli</t>
  </si>
  <si>
    <t>A measurement of the Campylobacter coli in a biological specimen.</t>
  </si>
  <si>
    <t>Campylobacter coli Measurement</t>
  </si>
  <si>
    <t>CCR5</t>
  </si>
  <si>
    <t>C-C Chemokine Receptor Type 5</t>
  </si>
  <si>
    <t>C-C Chemokine Receptor Type 5; Soluble CD195</t>
  </si>
  <si>
    <t>A measurement of the CCR5, chemokine (C-C motif) receptor type 5, in a biological specimen.</t>
  </si>
  <si>
    <t>C-C Chemokine Receptor Type 5 Measurement</t>
  </si>
  <si>
    <t>CD117X</t>
  </si>
  <si>
    <t>CD117 Expression</t>
  </si>
  <si>
    <t>A measurement of cellular CD117 expression in a biological specimen.</t>
  </si>
  <si>
    <t>CD117 Expression Measurement</t>
  </si>
  <si>
    <t>CD134X</t>
  </si>
  <si>
    <t>CD134 Expression</t>
  </si>
  <si>
    <t>CD134 Expression; OX40 Expression</t>
  </si>
  <si>
    <t>A measurement of cellular CD134 expression in a biological specimen.</t>
  </si>
  <si>
    <t>CD134 Expression Measurement</t>
  </si>
  <si>
    <t>CD137X</t>
  </si>
  <si>
    <t>CD137 Expression</t>
  </si>
  <si>
    <t>A measurement of cellular CD137 expression in a biological specimen.</t>
  </si>
  <si>
    <t>CD137 Expression Measurement</t>
  </si>
  <si>
    <t>CD152X</t>
  </si>
  <si>
    <t>CD152 Expression</t>
  </si>
  <si>
    <t>CD152 Expression; CTLA-4 Expression</t>
  </si>
  <si>
    <t>A measurement of cellular CD152 expression in a biological specimen.</t>
  </si>
  <si>
    <t>CD152 Expression Measurement</t>
  </si>
  <si>
    <t>CD154X</t>
  </si>
  <si>
    <t>CD154 Expression</t>
  </si>
  <si>
    <t>A measurement of cellular CD154 expression in a biological specimen.</t>
  </si>
  <si>
    <t>CD154 Expression Measurement</t>
  </si>
  <si>
    <t>CD156CX</t>
  </si>
  <si>
    <t>CD156c Expression</t>
  </si>
  <si>
    <t>A measurement of cellular CD156c expression in a biological specimen.</t>
  </si>
  <si>
    <t>CD156c Expression Measurement</t>
  </si>
  <si>
    <t>CD159AX</t>
  </si>
  <si>
    <t>CD159a Expression</t>
  </si>
  <si>
    <t>A measurement of cellular CD159a expression in a biological specimen.</t>
  </si>
  <si>
    <t>CD159a Expression Measurement</t>
  </si>
  <si>
    <t>CD159CX</t>
  </si>
  <si>
    <t>CD159c Expression</t>
  </si>
  <si>
    <t>CD159c Expression; KLRC2 Expression; NKG2C Expression</t>
  </si>
  <si>
    <t>A measurement of cellular CD159c expression in a biological specimen.</t>
  </si>
  <si>
    <t>CD159c Expression Measurement</t>
  </si>
  <si>
    <t>CD163X</t>
  </si>
  <si>
    <t>CD163 Expression</t>
  </si>
  <si>
    <t>CD163 Expression; M130 Expression</t>
  </si>
  <si>
    <t>A measurement of cellular CD163 expression in a biological specimen.</t>
  </si>
  <si>
    <t>CD163 Expression Measurement</t>
  </si>
  <si>
    <t>CD169X</t>
  </si>
  <si>
    <t>CD169 Expression</t>
  </si>
  <si>
    <t>A measurement of cellular CD169 expression in a biological specimen.</t>
  </si>
  <si>
    <t>CD169 Expression Measurement</t>
  </si>
  <si>
    <t>CD16X</t>
  </si>
  <si>
    <t>CD16 Expression</t>
  </si>
  <si>
    <t>A measurement of cellular CD16 expression in a biological specimen.</t>
  </si>
  <si>
    <t>CD16 Expression Measurement</t>
  </si>
  <si>
    <t>CD192X</t>
  </si>
  <si>
    <t>CD192 Expression</t>
  </si>
  <si>
    <t>A measurement of cellular CD192 expression in a biological specimen.</t>
  </si>
  <si>
    <t>CD192 Expression Measurement</t>
  </si>
  <si>
    <t>CD198X</t>
  </si>
  <si>
    <t>CD198 Expression</t>
  </si>
  <si>
    <t>A measurement of cellular CD198 expression in a biological specimen.</t>
  </si>
  <si>
    <t>CD198 Expression Measurement</t>
  </si>
  <si>
    <t>CD21X</t>
  </si>
  <si>
    <t>CD21 Expression</t>
  </si>
  <si>
    <t>A measurement of cellular CD21 expression in a biological specimen.</t>
  </si>
  <si>
    <t>CD21 Expression Measurement</t>
  </si>
  <si>
    <t>CD223X</t>
  </si>
  <si>
    <t>CD223 Expression</t>
  </si>
  <si>
    <t>CD223 Expression; LAG3 Expression</t>
  </si>
  <si>
    <t>A measurement of cellular CD223 expression in a biological specimen.</t>
  </si>
  <si>
    <t>CD223 Expression Measurement</t>
  </si>
  <si>
    <t>CD226X</t>
  </si>
  <si>
    <t>CD226 Expression</t>
  </si>
  <si>
    <t>A measurement of cellular CD226 expression in a biological specimen.</t>
  </si>
  <si>
    <t>CD226 Expression Measurement</t>
  </si>
  <si>
    <t>CD25X</t>
  </si>
  <si>
    <t>CD25 Expression</t>
  </si>
  <si>
    <t>A measurement of cellular CD25 expression in a biological specimen.</t>
  </si>
  <si>
    <t>CD25 Expression Measurement</t>
  </si>
  <si>
    <t>CD269X</t>
  </si>
  <si>
    <t>CD269 Expression</t>
  </si>
  <si>
    <t>B-Cell Maturation Antigen Expression; BCMA Expression; CD269 Expression</t>
  </si>
  <si>
    <t>A measurement of cellular CD269 expression in a biological specimen.</t>
  </si>
  <si>
    <t>CD269 Expression Measurement</t>
  </si>
  <si>
    <t>CD274X</t>
  </si>
  <si>
    <t>CD274 Expression</t>
  </si>
  <si>
    <t>CD274 Expression; PD-L1 Expression</t>
  </si>
  <si>
    <t>A measurement of cellular CD274 expression in a biological specimen.</t>
  </si>
  <si>
    <t>CD274 Expression Measurement</t>
  </si>
  <si>
    <t>CD278X</t>
  </si>
  <si>
    <t>CD278 Expression</t>
  </si>
  <si>
    <t>CD278 Expression; ICOS Expression</t>
  </si>
  <si>
    <t>A measurement of cellular CD278 expression in a biological specimen.</t>
  </si>
  <si>
    <t>CD278 Expression Measurement</t>
  </si>
  <si>
    <t>CD279X</t>
  </si>
  <si>
    <t>CD279 Expression</t>
  </si>
  <si>
    <t>CD279 Expression; PD1 Expression</t>
  </si>
  <si>
    <t>A measurement of cellular CD279 expression in a biological specimen.</t>
  </si>
  <si>
    <t>CD279 Expression Measurement</t>
  </si>
  <si>
    <t>CD28X</t>
  </si>
  <si>
    <t>CD28 Expression</t>
  </si>
  <si>
    <t>A measurement of cellular CD28 expression in a biological specimen.</t>
  </si>
  <si>
    <t>CD28 Expression Measurement</t>
  </si>
  <si>
    <t>CD294X</t>
  </si>
  <si>
    <t>CD294 Expression</t>
  </si>
  <si>
    <t>CD294 Expression; CRTH2 Expression</t>
  </si>
  <si>
    <t>A measurement of cellular CD294 expression in a biological specimen.</t>
  </si>
  <si>
    <t>CD294 Expression Measurement</t>
  </si>
  <si>
    <t>CD314X</t>
  </si>
  <si>
    <t>CD314 Expression</t>
  </si>
  <si>
    <t>CD314 Expression; KLR Expression; KLRK1 Expression; NKG2D Expression</t>
  </si>
  <si>
    <t>A measurement of cellular CD314 expression in a biological specimen.</t>
  </si>
  <si>
    <t>CD314 Expression Measurement</t>
  </si>
  <si>
    <t>CD32BX</t>
  </si>
  <si>
    <t>CD32b Expression</t>
  </si>
  <si>
    <t>A measurement of cellular CD32b expression in a biological specimen.</t>
  </si>
  <si>
    <t>CD32b Expression Measurement</t>
  </si>
  <si>
    <t>CD32X</t>
  </si>
  <si>
    <t>CD32 Expression</t>
  </si>
  <si>
    <t>A measurement of cellular CD32 expression in a biological specimen.</t>
  </si>
  <si>
    <t>CD32 Expression Measurement</t>
  </si>
  <si>
    <t>CD337X</t>
  </si>
  <si>
    <t>CD337 Expression</t>
  </si>
  <si>
    <t>A measurement of cellular CD337 expression in a biological specimen.</t>
  </si>
  <si>
    <t>CD337 Expression Measurement</t>
  </si>
  <si>
    <t>CD366X</t>
  </si>
  <si>
    <t>CD366 Expression</t>
  </si>
  <si>
    <t>CD366 Expression; TIM3 Expression</t>
  </si>
  <si>
    <t>A measurement of cellular CD366 expression in a biological specimen.</t>
  </si>
  <si>
    <t>CD366 Expression Measurement</t>
  </si>
  <si>
    <t>CD38X</t>
  </si>
  <si>
    <t>CD38 Expression</t>
  </si>
  <si>
    <t>A measurement of cellular CD38 expression in a biological specimen.</t>
  </si>
  <si>
    <t>CD38 Expression Measurement</t>
  </si>
  <si>
    <t>CD40X</t>
  </si>
  <si>
    <t>CD40 Expression</t>
  </si>
  <si>
    <t>A measurement of cellular CD40 expression in a biological specimen.</t>
  </si>
  <si>
    <t>CD40 Expression Measurement</t>
  </si>
  <si>
    <t>CD57X</t>
  </si>
  <si>
    <t>CD57 Expression</t>
  </si>
  <si>
    <t>A measurement of cellular CD57 expression in a biological specimen.</t>
  </si>
  <si>
    <t>CD57 Expression Measurement</t>
  </si>
  <si>
    <t>CD5X</t>
  </si>
  <si>
    <t>CD5 Expression</t>
  </si>
  <si>
    <t>A measurement of cellular CD5 expression in a biological specimen.</t>
  </si>
  <si>
    <t>CD5 Expression Measurement</t>
  </si>
  <si>
    <t>CD64X</t>
  </si>
  <si>
    <t>CD64 Expression</t>
  </si>
  <si>
    <t>A measurement of cellular CD64 expression in a biological specimen.</t>
  </si>
  <si>
    <t>CD64 Expression Measurement</t>
  </si>
  <si>
    <t>CD69X</t>
  </si>
  <si>
    <t>CD69 Expression</t>
  </si>
  <si>
    <t>A measurement of cellular CD69 expression in a biological specimen.</t>
  </si>
  <si>
    <t>CD69 Expression Measurement</t>
  </si>
  <si>
    <t>CD71X</t>
  </si>
  <si>
    <t>CD71 Expression</t>
  </si>
  <si>
    <t>A measurement of cellular CD71 expression in a biological specimen.</t>
  </si>
  <si>
    <t>CD71 Expression Measurement</t>
  </si>
  <si>
    <t>CD73X</t>
  </si>
  <si>
    <t>CD73 Expression</t>
  </si>
  <si>
    <t>A measurement of cellular CD73 expression in a biological specimen.</t>
  </si>
  <si>
    <t>CD73 Expression Measurement</t>
  </si>
  <si>
    <t>CD79BX</t>
  </si>
  <si>
    <t>CD79b Expression</t>
  </si>
  <si>
    <t>A measurement of cellular CD79b expression in a biological specimen.</t>
  </si>
  <si>
    <t>CD79b Expression Measurement</t>
  </si>
  <si>
    <t>CD80X</t>
  </si>
  <si>
    <t>CD80 Expression</t>
  </si>
  <si>
    <t>A measurement of cellular CD80 expression in a biological specimen.</t>
  </si>
  <si>
    <t>CD80 Expression Measurement</t>
  </si>
  <si>
    <t>CD83X</t>
  </si>
  <si>
    <t>CD83 Expression</t>
  </si>
  <si>
    <t>A measurement of cellular CD83 expression in a biological specimen.</t>
  </si>
  <si>
    <t>CD83 Expression Measurement</t>
  </si>
  <si>
    <t>CD86X</t>
  </si>
  <si>
    <t>CD86 Expression</t>
  </si>
  <si>
    <t>A measurement of cellular CD86 expression in a biological specimen.</t>
  </si>
  <si>
    <t>CD86 Expression Measurement</t>
  </si>
  <si>
    <t>CD95X</t>
  </si>
  <si>
    <t>CD95 Expression</t>
  </si>
  <si>
    <t>A measurement of cellular CD95 expression in a biological specimen.</t>
  </si>
  <si>
    <t>CD95 Cell Surface Expression Measurement</t>
  </si>
  <si>
    <t>CD96X</t>
  </si>
  <si>
    <t>CD96 Expression</t>
  </si>
  <si>
    <t>A measurement of cellular CD96 expression in a biological specimen.</t>
  </si>
  <si>
    <t>CD96 Expression Measurement</t>
  </si>
  <si>
    <t>CDCA</t>
  </si>
  <si>
    <t>Chenodeoxycholate</t>
  </si>
  <si>
    <t>Chenic Acid; Chenocholic Acid; Chenodeoxycholate; Chenodeoxycholic Acid</t>
  </si>
  <si>
    <t>A measurement of the chenodeoxycholate in a biological specimen.</t>
  </si>
  <si>
    <t>Chenodeoxycholate Measurement</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</si>
  <si>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</si>
  <si>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</si>
  <si>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</si>
  <si>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</si>
  <si>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</si>
  <si>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CDF</t>
  </si>
  <si>
    <t>Clostridium difficile</t>
  </si>
  <si>
    <t>A measurement of the Clostridium difficile in a biological specimen.</t>
  </si>
  <si>
    <t>Clostridium difficile Measurement</t>
  </si>
  <si>
    <t>CDFABTOX</t>
  </si>
  <si>
    <t>Clostridium difficile A/B Toxin</t>
  </si>
  <si>
    <t>A measurement of the Clostridium difficile A and/or B toxin in a biological specimen.</t>
  </si>
  <si>
    <t>Clostridium difficile A and/or B Toxin Measurement</t>
  </si>
  <si>
    <t>CDFATOX</t>
  </si>
  <si>
    <t>Clostridium difficile A Toxin</t>
  </si>
  <si>
    <t>A measurement of the Clostridium difficile toxin A in a biological specimen.</t>
  </si>
  <si>
    <t>Clostridium difficile A Toxin Measurement</t>
  </si>
  <si>
    <t>CDFBTOX</t>
  </si>
  <si>
    <t>Clostridium difficile B Toxin</t>
  </si>
  <si>
    <t>A measurement of the Clostridium difficile toxin B in a biological specimen.</t>
  </si>
  <si>
    <t>Clostridium difficile B Toxin Measurement</t>
  </si>
  <si>
    <t>CDFCDTD</t>
  </si>
  <si>
    <t>Clostridium difficile cdt DNA</t>
  </si>
  <si>
    <t>A measurement of the Clostridium difficile binary toxin (cdt) DNA in a biological specimen.</t>
  </si>
  <si>
    <t>Clostridium difficile cdt DNA Measurement</t>
  </si>
  <si>
    <t>CDFDNA</t>
  </si>
  <si>
    <t>Clostridium difficile DNA</t>
  </si>
  <si>
    <t>A measurement of the Clostridium difficile DNA in a biological specimen.</t>
  </si>
  <si>
    <t>Clostridium difficile DNA Measurement</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</si>
  <si>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</si>
  <si>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</si>
  <si>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</si>
  <si>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</si>
  <si>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</si>
  <si>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CDFTCDAD</t>
  </si>
  <si>
    <t>Clostridium difficile tcdA DNA</t>
  </si>
  <si>
    <t>A measurement of the Clostridium difficile toxin A (tcdA) DNA in a biological specimen.</t>
  </si>
  <si>
    <t>Clostridium difficile tcdA DNA Measurement</t>
  </si>
  <si>
    <t>CDFTCDBD</t>
  </si>
  <si>
    <t>Clostridium difficile tcdB DNA</t>
  </si>
  <si>
    <t>A measurement of the Clostridium difficile toxin B (tcdB) DNA in a biological specimen.</t>
  </si>
  <si>
    <t>Clostridium difficile tcdB DNA Measurement</t>
  </si>
  <si>
    <t>CDFTCDCD</t>
  </si>
  <si>
    <t>Clostridium difficile tcdC DNA</t>
  </si>
  <si>
    <t>A measurement of the Clostridium difficile regulatory protein (tcdC) DNA in a biological specimen.</t>
  </si>
  <si>
    <t>Clostridium difficile tcdC DNA Measurement</t>
  </si>
  <si>
    <t>CDFTXN</t>
  </si>
  <si>
    <t>Clostridium difficile Toxin</t>
  </si>
  <si>
    <t>A measurement of the Clostridium difficile toxin in a biological specimen.</t>
  </si>
  <si>
    <t>Clostridium difficile Toxin Measurement</t>
  </si>
  <si>
    <t>CDH1</t>
  </si>
  <si>
    <t>Cadherin 1</t>
  </si>
  <si>
    <t>Cadherin 1; Cadherin-1; E-Cadherin; Soluble CD324</t>
  </si>
  <si>
    <t>A measurement of the cadherin 1 in a biological specimen.</t>
  </si>
  <si>
    <t>Cadherin 1 Measurement</t>
  </si>
  <si>
    <t>CDT</t>
  </si>
  <si>
    <t>Carbohydrate-Deficient Transferrin</t>
  </si>
  <si>
    <t>A measurement of transferrin with a reduced number of carbohydrate moieties in a biological specimen.</t>
  </si>
  <si>
    <t>Carbohydrate-Deficient Transferrin Measurement</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</si>
  <si>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</si>
  <si>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</si>
  <si>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</si>
  <si>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</si>
  <si>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CDU</t>
  </si>
  <si>
    <t>Candida dubliniensis</t>
  </si>
  <si>
    <t>A measurement of the Candida dubliniensis in a biological specimen.</t>
  </si>
  <si>
    <t>Candida dubliniensis Measurement</t>
  </si>
  <si>
    <t>CEA</t>
  </si>
  <si>
    <t>Carcinoembryonic Antigen</t>
  </si>
  <si>
    <t>A measurement of the carcinoembryonic antigen in a biological specimen.</t>
  </si>
  <si>
    <t>Carcinoembryonic Antigen Measurement</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</si>
  <si>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</si>
  <si>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</si>
  <si>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</si>
  <si>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</si>
  <si>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</si>
  <si>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</si>
  <si>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</si>
  <si>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</si>
  <si>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</si>
  <si>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</si>
  <si>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</si>
  <si>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</si>
  <si>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</si>
  <si>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</si>
  <si>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</si>
  <si>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CEC</t>
  </si>
  <si>
    <t>Circulating Endothelial Cells</t>
  </si>
  <si>
    <t>A measurement of the circulating endothelial cells in a biological specimen.</t>
  </si>
  <si>
    <t>Circulating Endothelial Cell Count</t>
  </si>
  <si>
    <t>CEIMCE</t>
  </si>
  <si>
    <t>Immature Cells/Total Cells</t>
  </si>
  <si>
    <t>A relative measurement (ratio or percentage) of the immature hematopoietic cells to total cells in a biological specimen.</t>
  </si>
  <si>
    <t>Immature Cell to Total Cell Ratio Measurement</t>
  </si>
  <si>
    <t>CELLDENS</t>
  </si>
  <si>
    <t>Cell Density</t>
  </si>
  <si>
    <t>A measurement of the number of cells contained in a unit of volume or area.</t>
  </si>
  <si>
    <t>CELLDMAX</t>
  </si>
  <si>
    <t>Cell Density, Maximum</t>
  </si>
  <si>
    <t>The maximum number in a group of values that represent the cell density.</t>
  </si>
  <si>
    <t>Maximum Cell Density</t>
  </si>
  <si>
    <t>CELLDMIN</t>
  </si>
  <si>
    <t>Cell Density, Minimum</t>
  </si>
  <si>
    <t>The minimum number in a group of values that represent the cell density.</t>
  </si>
  <si>
    <t>Minimum Cell Density</t>
  </si>
  <si>
    <t>CELLDMN</t>
  </si>
  <si>
    <t>Cell Density, Mean</t>
  </si>
  <si>
    <t>The mean number in a group of values that represent the cell density.</t>
  </si>
  <si>
    <t>Mean Cell Density</t>
  </si>
  <si>
    <t>CELLDSD</t>
  </si>
  <si>
    <t>Cell Density, Standard Deviation</t>
  </si>
  <si>
    <t>The standard deviation in a group of values that represent the cell density.</t>
  </si>
  <si>
    <t>Standard Deviation of Cell Density</t>
  </si>
  <si>
    <t>CELLS</t>
  </si>
  <si>
    <t>Cells</t>
  </si>
  <si>
    <t>Cells; Total Cells</t>
  </si>
  <si>
    <t>A measurement of the total nucleated cells in a biological specimen.</t>
  </si>
  <si>
    <t>Cell Count</t>
  </si>
  <si>
    <t>Total Cells</t>
  </si>
  <si>
    <t>CELLSIM</t>
  </si>
  <si>
    <t>Immature Cells</t>
  </si>
  <si>
    <t>A measurement of the total immature cells in a blood specimen.</t>
  </si>
  <si>
    <t>Immature Cell Count</t>
  </si>
  <si>
    <t>CELLULAR</t>
  </si>
  <si>
    <t>Cellularity</t>
  </si>
  <si>
    <t>Cellularity; Cellularity Grade</t>
  </si>
  <si>
    <t>A measurement of the degree, quality or condition of cells in a biological specimen.</t>
  </si>
  <si>
    <t>Cellularity Measurement</t>
  </si>
  <si>
    <t>CEMORPH</t>
  </si>
  <si>
    <t>Cell Morphology</t>
  </si>
  <si>
    <t>An examination or assessment of the form and structure of cells.</t>
  </si>
  <si>
    <t>Cell Morphology Assessment</t>
  </si>
  <si>
    <t>CETP</t>
  </si>
  <si>
    <t>Cholesteryl Ester Transfer Protein</t>
  </si>
  <si>
    <t>A measurement of the cholesteryl ester transfer protein in a biological specimen.</t>
  </si>
  <si>
    <t>Cholesteryl Ester Transfer Protein Measurement</t>
  </si>
  <si>
    <t>CETPA</t>
  </si>
  <si>
    <t>Cholesteryl Ester Transfer Protein Act</t>
  </si>
  <si>
    <t>A measurement of the biological activity of cholesteryl ester transfer protein in a biological specimen.</t>
  </si>
  <si>
    <t>Cholesteryl Ester Transfer Protein Activity Measurement</t>
  </si>
  <si>
    <t>CFA</t>
  </si>
  <si>
    <t>Coefficient of Fat Absorption</t>
  </si>
  <si>
    <t>A measurement of the coefficient of fat absorption in a biological specimen.</t>
  </si>
  <si>
    <t>Coefficient of Fat Absorption Measurement</t>
  </si>
  <si>
    <t>CFH</t>
  </si>
  <si>
    <t>Complement Factor H</t>
  </si>
  <si>
    <t>Beta-1-H-Globulin; Complement Factor H; Factor H; H Factor 1</t>
  </si>
  <si>
    <t>A measurement of the complement factor H in a biological specimen.</t>
  </si>
  <si>
    <t>Complement Factor H Measurement</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</si>
  <si>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</si>
  <si>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</si>
  <si>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</si>
  <si>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</si>
  <si>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</si>
  <si>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CFR</t>
  </si>
  <si>
    <t>Citrobacter freundi</t>
  </si>
  <si>
    <t>A measurement of the Citrobacter freundi in a biological specimen.</t>
  </si>
  <si>
    <t>Citrobacter freundi Measurement</t>
  </si>
  <si>
    <t>CFSTRAIN</t>
  </si>
  <si>
    <t>Circumferential Strain</t>
  </si>
  <si>
    <t>A measurement of the change in length of the myocardium along the circumferential axis of the ventricle or atrium as viewed in the short axis.</t>
  </si>
  <si>
    <t>Circumferential Strain Measurement</t>
  </si>
  <si>
    <t>CGA</t>
  </si>
  <si>
    <t>Chromogranin A</t>
  </si>
  <si>
    <t>A measurement of the chromogranin A in a biological specimen.</t>
  </si>
  <si>
    <t>Chromogranin A Measurement</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</si>
  <si>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</si>
  <si>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</si>
  <si>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</si>
  <si>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</si>
  <si>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</si>
  <si>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CGL</t>
  </si>
  <si>
    <t>Candida glabrata</t>
  </si>
  <si>
    <t>A measurement of the Candida glabrata in a biological specimen.</t>
  </si>
  <si>
    <t>Candida glabrata Measurement</t>
  </si>
  <si>
    <t>CGMP</t>
  </si>
  <si>
    <t>Cyclic Guanosine Monophosphate</t>
  </si>
  <si>
    <t>A measurement of the cyclic guanosine 3,5-monophosphate in a biological specimen.</t>
  </si>
  <si>
    <t>Cyclic Guanosine Monophosphate Measurement</t>
  </si>
  <si>
    <t>CH100</t>
  </si>
  <si>
    <t>Complement CH100</t>
  </si>
  <si>
    <t>CH100; Complement CH100; Total Hemolytic Complement CH100</t>
  </si>
  <si>
    <t>A measurement of the complement required to lyse 100 percent of red blood cells in a biological specimen.</t>
  </si>
  <si>
    <t>Complement CH100 Measurement</t>
  </si>
  <si>
    <t>CH50</t>
  </si>
  <si>
    <t>Complement CH50</t>
  </si>
  <si>
    <t>CH50; Complement CH50; Total Hemolytic Complement CH50</t>
  </si>
  <si>
    <t>A measurement of the complement required to lyse 50 percent of red blood cells in a biological specimen.</t>
  </si>
  <si>
    <t>CH50 Measurement</t>
  </si>
  <si>
    <t>CHCKSIZE</t>
  </si>
  <si>
    <t>Checkerboard Square Size</t>
  </si>
  <si>
    <t>A visual stimulus that uses a checkerboard pattern which reverses every half-second (or other specified frequency). The check size can be changed to allow for testing of specific segments of the visual pathway.</t>
  </si>
  <si>
    <t>CHCM</t>
  </si>
  <si>
    <t>Corpuscular HGB Concentration Mean</t>
  </si>
  <si>
    <t>A direct measurement of the concentration of hemoglobin within individual erythrocytes in a biological specimen, reported as a mean.</t>
  </si>
  <si>
    <t>Corpuscular Hemoglobin Concentration Mean</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</si>
  <si>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</si>
  <si>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</si>
  <si>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</si>
  <si>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</si>
  <si>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</si>
  <si>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</si>
  <si>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</si>
  <si>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</si>
  <si>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</si>
  <si>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CHDH7A25</t>
  </si>
  <si>
    <t>7alpha,25-Dihydroxycholesterol</t>
  </si>
  <si>
    <t>A measurement of the 7alpha,25-dihydroxycholesterol in a biological specimen.</t>
  </si>
  <si>
    <t>7alpha,25-Dihydroxycholesterol Measurement</t>
  </si>
  <si>
    <t>CHDH7A27</t>
  </si>
  <si>
    <t>7alpha,27-Dihydroxycholesterol</t>
  </si>
  <si>
    <t>A measurement of the 7alpha,27-dihydroxycholesterol in a biological specimen.</t>
  </si>
  <si>
    <t>7alpha,27-Dihydroxycholesterol Measurement</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</si>
  <si>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</si>
  <si>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</si>
  <si>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</si>
  <si>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</si>
  <si>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</si>
  <si>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</si>
  <si>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</si>
  <si>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</si>
  <si>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</si>
  <si>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</si>
  <si>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CHE24S25</t>
  </si>
  <si>
    <t>24(S),25-Epoxycholesterol</t>
  </si>
  <si>
    <t>A measurement of the 24(S),25-epoxycholesterol in a biological specimen.</t>
  </si>
  <si>
    <t>24(S),25-Epoxycholesterol Measurement</t>
  </si>
  <si>
    <t>CHESTCIR</t>
  </si>
  <si>
    <t>Chest Circumference</t>
  </si>
  <si>
    <t>The distance around an individual's chest.</t>
  </si>
  <si>
    <t>CHILDPOT</t>
  </si>
  <si>
    <t>Childbearing Potential</t>
  </si>
  <si>
    <t>An indicator as to whether the female subject has the potential to become pregnant. (NCI)</t>
  </si>
  <si>
    <t>CHITTDS</t>
  </si>
  <si>
    <t>Chitotriosidase</t>
  </si>
  <si>
    <t>Chitinase 1; Chitotriosidase; Chitotriosidase-1</t>
  </si>
  <si>
    <t>A measurement of the chitotriosidase-1 in a biological specimen.</t>
  </si>
  <si>
    <t>Chitotriosidase-1 Measurement</t>
  </si>
  <si>
    <t>CHKRNA</t>
  </si>
  <si>
    <t>Chikungunya Virus RNA</t>
  </si>
  <si>
    <t>A measurement of the Chikungunya virus RNA in a biological specimen.</t>
  </si>
  <si>
    <t>Chikungunya Virus RNA Measurement</t>
  </si>
  <si>
    <t>CHLAMYD</t>
  </si>
  <si>
    <t>Chlamydia</t>
  </si>
  <si>
    <t>A measurement of the organisms that are not assigned to the species level but are assigned to the Chlamydia genus level in a biological specimen.</t>
  </si>
  <si>
    <t>Chlamydia Measurement</t>
  </si>
  <si>
    <t>CHLDHSHN</t>
  </si>
  <si>
    <t>Number of Children in Household</t>
  </si>
  <si>
    <t>The number of children (including neonates) residing in the household.</t>
  </si>
  <si>
    <t>CHLMCRN</t>
  </si>
  <si>
    <t>Chylomicrons</t>
  </si>
  <si>
    <t>A measurement of the chylomicrons in a biological specimen.</t>
  </si>
  <si>
    <t>Chylomicrons Measurement</t>
  </si>
  <si>
    <t>CHLMCRNT</t>
  </si>
  <si>
    <t>Chylomicron Triglyceride</t>
  </si>
  <si>
    <t>A measurement of the chylomicron triglyceride in a biological specimen.</t>
  </si>
  <si>
    <t>Chylomicron Triglyceride Measurement</t>
  </si>
  <si>
    <t>CHLRHDRT</t>
  </si>
  <si>
    <t>Chloral Hydrate</t>
  </si>
  <si>
    <t>Chloral Hydrate; Mickey Finn; Trichloroacetaldehyde Monohydrate</t>
  </si>
  <si>
    <t>A measurement of the chloral hydrate in a biological specimen.</t>
  </si>
  <si>
    <t>Chloral Hydrate Measurement</t>
  </si>
  <si>
    <t>CHLRPMZN</t>
  </si>
  <si>
    <t>Chlorpromazine</t>
  </si>
  <si>
    <t>A measurement of the chlorpromazine in a biological specimen.</t>
  </si>
  <si>
    <t>Chlorpromazine Measurement</t>
  </si>
  <si>
    <t>CHOCTN</t>
  </si>
  <si>
    <t>Choline/Creatine</t>
  </si>
  <si>
    <t>A relative measurement (ratio) of the choline to the creatine in a biological specimen.</t>
  </si>
  <si>
    <t>Choline to Creatine Ratio Measurement</t>
  </si>
  <si>
    <t>CHOL</t>
  </si>
  <si>
    <t>Cholesterol</t>
  </si>
  <si>
    <t>Cholesterol; Total Cholesterol</t>
  </si>
  <si>
    <t>A measurement of the cholesterol in a biological specimen.</t>
  </si>
  <si>
    <t>Cholesterol Measurement</t>
  </si>
  <si>
    <t>CHOLATE</t>
  </si>
  <si>
    <t>Cholate</t>
  </si>
  <si>
    <t>Cholate; Cholic Acid</t>
  </si>
  <si>
    <t>A measurement of the cholate in a biological specimen.</t>
  </si>
  <si>
    <t>Cholate Measurement</t>
  </si>
  <si>
    <t>CHOLCM</t>
  </si>
  <si>
    <t>Cholate Compounds</t>
  </si>
  <si>
    <t>Cholate Compounds; Cholic Acid Compounds</t>
  </si>
  <si>
    <t>A measurement of the cholic acid, glycocholic acid, hyocholic acid, and taurocholic acid in a biological specimen.</t>
  </si>
  <si>
    <t>Cholate Compounds Measurement</t>
  </si>
  <si>
    <t>CHOLH20S</t>
  </si>
  <si>
    <t>20(S)-Hydroxycholesterol</t>
  </si>
  <si>
    <t>20(S)-Hydroxycholesterol; 20-Alpha-Hydroxycholesterol</t>
  </si>
  <si>
    <t>A measurement of the 20(S)-hydroxycholesterol in a biological specimen.</t>
  </si>
  <si>
    <t>20(S)-Hydroxycholesterol Measurement</t>
  </si>
  <si>
    <t>CHOLH22R</t>
  </si>
  <si>
    <t>22(R)-Hydroxycholesterol</t>
  </si>
  <si>
    <t>A measurement of the 22(R)-hydroxycholesterol in a biological specimen.</t>
  </si>
  <si>
    <t>22(R)-Hydroxycholesterol Measurement</t>
  </si>
  <si>
    <t>CHOLH22S</t>
  </si>
  <si>
    <t>22(S)-Hydroxycholesterol</t>
  </si>
  <si>
    <t>A measurement of the 22(S)-hydroxycholesterol in a biological specimen.</t>
  </si>
  <si>
    <t>22(S)-Hydroxycholesterol Measurement</t>
  </si>
  <si>
    <t>CHOLH24R</t>
  </si>
  <si>
    <t>24(R)-Hydroxycholesterol</t>
  </si>
  <si>
    <t>A measurement of the 24(R)-hydroxycholesterol in a biological specimen.</t>
  </si>
  <si>
    <t>24(R)-Hydroxycholesterol Measurement</t>
  </si>
  <si>
    <t>CHOLH24S</t>
  </si>
  <si>
    <t>24(S)-Hydroxycholesterol</t>
  </si>
  <si>
    <t>A measurement of the 24(S)-hydroxycholesterol in a biological specimen.</t>
  </si>
  <si>
    <t>24(S)-Hydroxycholesterol Measurement</t>
  </si>
  <si>
    <t>CHOLH25</t>
  </si>
  <si>
    <t>25-Hydroxycholesterol</t>
  </si>
  <si>
    <t>A measurement of the 25-hydroxycholesterol in a biological specimen.</t>
  </si>
  <si>
    <t>25-Hydroxycholesterol Measurement</t>
  </si>
  <si>
    <t>CHOLH27</t>
  </si>
  <si>
    <t>27-Hydroxycholesterol</t>
  </si>
  <si>
    <t>A measurement of the 27-hydroxycholesterol in a biological specimen.</t>
  </si>
  <si>
    <t>27-Hydroxycholesterol Measurement</t>
  </si>
  <si>
    <t>CHOLH7A</t>
  </si>
  <si>
    <t>7alpha-Hydroxycholesterol</t>
  </si>
  <si>
    <t>A measurement of the 7alpha-hydroxycholesterol in a biological specimen.</t>
  </si>
  <si>
    <t>7alpha-Hydroxycholesterol Measurement</t>
  </si>
  <si>
    <t>CHOLH7B</t>
  </si>
  <si>
    <t>7beta-Hydroxycholesterol</t>
  </si>
  <si>
    <t>A measurement of the 7beta-hydroxycholesterol in a biological specimen.</t>
  </si>
  <si>
    <t>7beta-Hydroxycholesterol Measurement</t>
  </si>
  <si>
    <t>CHOLHDL</t>
  </si>
  <si>
    <t>Cholesterol/HDL-Cholesterol</t>
  </si>
  <si>
    <t>A relative measurement (ratio or percentage) of total cholesterol to high-density lipoprotein cholesterol (HDL-C) in a biological specimen.</t>
  </si>
  <si>
    <t>Cholesterol to HDL-Cholesterol Ratio Measurement</t>
  </si>
  <si>
    <t>CHOLINE</t>
  </si>
  <si>
    <t>Choline</t>
  </si>
  <si>
    <t>A measurement of the choline in a biological specimen.</t>
  </si>
  <si>
    <t>Choline Measurement</t>
  </si>
  <si>
    <t>CHOLINES</t>
  </si>
  <si>
    <t>Cholinesterase</t>
  </si>
  <si>
    <t>A measurement of the cholinesterase in a biological specimen.</t>
  </si>
  <si>
    <t>Cholinesterase Measurement</t>
  </si>
  <si>
    <t>CHOLK7</t>
  </si>
  <si>
    <t>7-Ketocholesterol</t>
  </si>
  <si>
    <t>7-Ketocholesterol; 7-Oxocholesterol</t>
  </si>
  <si>
    <t>A measurement of the 7-ketocholesterol in a biological specimen.</t>
  </si>
  <si>
    <t>7-Ketocholesterol Measurement</t>
  </si>
  <si>
    <t>CHOLOH4B</t>
  </si>
  <si>
    <t>4-Beta-Hydroxycholesterol</t>
  </si>
  <si>
    <t>A measurement of the 4-beta-hydroxycholesterol in a biological specimen.</t>
  </si>
  <si>
    <t>4-Beta-Hydroxycholesterol Measurement</t>
  </si>
  <si>
    <t>CHOLSTNL</t>
  </si>
  <si>
    <t>Cholestanol</t>
  </si>
  <si>
    <t>5alpha-Cholestanol; Beta-Cholestanol; Cholestanol; Dehydrocholesterol; Zymostanol</t>
  </si>
  <si>
    <t>A measurement of the cholestanol in a biological specimen.</t>
  </si>
  <si>
    <t>Cholestanol Measurement</t>
  </si>
  <si>
    <t>CHOLSULF</t>
  </si>
  <si>
    <t>Cholesterol Sulfate</t>
  </si>
  <si>
    <t>A measurement of the cholesterol sulfate in a biological specimen.</t>
  </si>
  <si>
    <t>Cholesterol Sulfate Measurement</t>
  </si>
  <si>
    <t>CHRNSTRS</t>
  </si>
  <si>
    <t>Most Severe Chronic Stressor</t>
  </si>
  <si>
    <t>The agent, stimulus, activity, or event that causes stress with a chronic frequency, which has the highest level of severity.</t>
  </si>
  <si>
    <t>CHROMIUM</t>
  </si>
  <si>
    <t>Chromium</t>
  </si>
  <si>
    <t>Chromium; CR</t>
  </si>
  <si>
    <t>A measurement of the chromium in a specimen.</t>
  </si>
  <si>
    <t>Chromium Measurement</t>
  </si>
  <si>
    <t>CHRYSENE</t>
  </si>
  <si>
    <t>Chrysene</t>
  </si>
  <si>
    <t>A measurement of the chrysene in a specimen.</t>
  </si>
  <si>
    <t>Chrysene Measurement</t>
  </si>
  <si>
    <t>CHYPTENL</t>
  </si>
  <si>
    <t>Chamber Hypertrophy or Enlargement</t>
  </si>
  <si>
    <t>An electrocardiographic assessment of chamber hypertrophy or enlargement.</t>
  </si>
  <si>
    <t>Chamber Hypertrophy or Enlargement ECG Assessment</t>
  </si>
  <si>
    <t>CHYTRYP</t>
  </si>
  <si>
    <t>Chymotrypsin</t>
  </si>
  <si>
    <t>A measurement of the total chymotrypsin in a biological specimen.</t>
  </si>
  <si>
    <t>Chymotrypsin Measurement</t>
  </si>
  <si>
    <t>CIC</t>
  </si>
  <si>
    <t>Circulating Immune Complexes</t>
  </si>
  <si>
    <t>A measurement of the circulating immune complexes in a biological specimen.</t>
  </si>
  <si>
    <t>Circulating Immune Complex Measurement</t>
  </si>
  <si>
    <t>CIGPLGTH</t>
  </si>
  <si>
    <t>Cigarette Paper Length</t>
  </si>
  <si>
    <t>The length of the paper product that is used to wrap the cigarette tobacco rod.</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</si>
  <si>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</si>
  <si>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</si>
  <si>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</si>
  <si>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</si>
  <si>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CIRCUMF</t>
  </si>
  <si>
    <t>Circumference</t>
  </si>
  <si>
    <t>The length of the closed curve of a circle; the size of something as given by the distance around it. (NCI)</t>
  </si>
  <si>
    <t>CIT</t>
  </si>
  <si>
    <t>Citrulline</t>
  </si>
  <si>
    <t>A measurement of the citrulline in a biological specimen.</t>
  </si>
  <si>
    <t>Citrulline Measurement</t>
  </si>
  <si>
    <t>CITCREAT</t>
  </si>
  <si>
    <t>Citrate/Creatinine</t>
  </si>
  <si>
    <t>Citrate/Creatinine; Citric Acid/Creatinine</t>
  </si>
  <si>
    <t>A relative measurement (ratio or percentage) of the citrate to creatinine in a biological specimen.</t>
  </si>
  <si>
    <t>Citrate to Creatinine Ratio Measurement</t>
  </si>
  <si>
    <t>CITRATE</t>
  </si>
  <si>
    <t>Citrate</t>
  </si>
  <si>
    <t>Citrate; Citric Acid</t>
  </si>
  <si>
    <t>A measurement of the citrate in a biological specimen.</t>
  </si>
  <si>
    <t>Citrate Measurement</t>
  </si>
  <si>
    <t>CITRTEXR</t>
  </si>
  <si>
    <t>Citrate Excretion Rate</t>
  </si>
  <si>
    <t>A measurement of the amount of citrate being excreted in a biological specimen over a defined amount of time (e.g. one hour).</t>
  </si>
  <si>
    <t>CJE</t>
  </si>
  <si>
    <t>Campylobacter jejuni</t>
  </si>
  <si>
    <t>A measurement of the Campylobacter jejuni in a biological specimen.</t>
  </si>
  <si>
    <t>Campylobacter jejuni Measurement</t>
  </si>
  <si>
    <t>CK</t>
  </si>
  <si>
    <t>Creatine Kinase</t>
  </si>
  <si>
    <t>CPK; Creatine Kinase; Creatine Phosphokinase</t>
  </si>
  <si>
    <t>A measurement of the total creatine kinase in a biological specimen.</t>
  </si>
  <si>
    <t>Creatine Kinase Measurement</t>
  </si>
  <si>
    <t>CKBB</t>
  </si>
  <si>
    <t>Creatine Kinase BB</t>
  </si>
  <si>
    <t>A measurement of the homozygous B-type creatine kinase in a biological specimen.</t>
  </si>
  <si>
    <t>Creatine Kinase BB Measurement</t>
  </si>
  <si>
    <t>CKBBCK</t>
  </si>
  <si>
    <t>Creatine Kinase BB/Total Creatine Kinase</t>
  </si>
  <si>
    <t>A relative measurement (ratio or percentage) of the BB-type creatine kinase to total creatine kinase in a biological specimen.</t>
  </si>
  <si>
    <t>Creatine Kinase BB to Total Creatine Kinase Ratio Measurement</t>
  </si>
  <si>
    <t>CKMB</t>
  </si>
  <si>
    <t>Creatine Kinase MB</t>
  </si>
  <si>
    <t>A measurement of the heterozygous MB-type creatine kinase in a biological specimen.</t>
  </si>
  <si>
    <t>Creatine Kinase MB Measurement</t>
  </si>
  <si>
    <t>CKMBCK</t>
  </si>
  <si>
    <t>Creatine Kinase MB/Total Creatine Kinase</t>
  </si>
  <si>
    <t>A relative measurement (ratio or percentage) of the MB-type creatine kinase to total creatine kinase in a biological specimen.</t>
  </si>
  <si>
    <t>Creatine Kinase MB to Total Creatine Kinase Ratio Measurement</t>
  </si>
  <si>
    <t>CKMM</t>
  </si>
  <si>
    <t>Creatine Kinase MM</t>
  </si>
  <si>
    <t>A measurement of the homozygous M-type creatine kinase in a biological specimen.</t>
  </si>
  <si>
    <t>Creatine Kinase MM Measurement</t>
  </si>
  <si>
    <t>CKMMCK</t>
  </si>
  <si>
    <t>Creatine Kinase MM/Total Creatine Kinase</t>
  </si>
  <si>
    <t>A relative measurement (ratio or percentage) of the MM-type creatine kinase to total creatine kinase in a biological specimen.</t>
  </si>
  <si>
    <t>Creatine Kinase MM to Total Creatine Kinase Ratio Measurement</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</si>
  <si>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</si>
  <si>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</si>
  <si>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</si>
  <si>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</si>
  <si>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</si>
  <si>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</si>
  <si>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</si>
  <si>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</si>
  <si>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</si>
  <si>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</si>
  <si>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CKO</t>
  </si>
  <si>
    <t>Citrobacter koseri</t>
  </si>
  <si>
    <t>A measurement of the Citrobacter koseri in a biological specimen.</t>
  </si>
  <si>
    <t>Citrobacter koseri Measurement</t>
  </si>
  <si>
    <t>CL</t>
  </si>
  <si>
    <t>Chloride</t>
  </si>
  <si>
    <t>A measurement of the chloride in a biological specimen.</t>
  </si>
  <si>
    <t>Chloride Measurement</t>
  </si>
  <si>
    <t>CLARITY</t>
  </si>
  <si>
    <t>Clarity</t>
  </si>
  <si>
    <t>A measurement of the transparency of a biological specimen.</t>
  </si>
  <si>
    <t>Clarity Measurement</t>
  </si>
  <si>
    <t>CLCLR</t>
  </si>
  <si>
    <t>Chloride Clearance</t>
  </si>
  <si>
    <t>A measurement of the volume of serum or plasma that would be cleared of chloride by excretion of urine for a specified unit of time (e.g. one minute).</t>
  </si>
  <si>
    <t>Chloride Clearance Measurement</t>
  </si>
  <si>
    <t>CLCREAT</t>
  </si>
  <si>
    <t>Chloride/Creatinine</t>
  </si>
  <si>
    <t>A relative measurement (ratio or percentage) of the chloride to creatinine in a biological specimen.</t>
  </si>
  <si>
    <t>Chloride to Creatinine Ratio Measurement</t>
  </si>
  <si>
    <t>CLCTONN</t>
  </si>
  <si>
    <t>Calcitonin</t>
  </si>
  <si>
    <t>A measurement of the calcitonin hormone in a biological specimen.</t>
  </si>
  <si>
    <t>Calcitonin Measurement</t>
  </si>
  <si>
    <t>CLCTRIOL</t>
  </si>
  <si>
    <t>Calcitriol</t>
  </si>
  <si>
    <t>A measurement of the calcitriol hormone in a biological specimen.</t>
  </si>
  <si>
    <t>Calcitriol Measurement</t>
  </si>
  <si>
    <t>CLDISIND</t>
  </si>
  <si>
    <t>Corrective Lens for Distance Indicator</t>
  </si>
  <si>
    <t>An indication as to whether an eye lens(es) is worn by the subject to correct for distance.</t>
  </si>
  <si>
    <t>CLDISTYP</t>
  </si>
  <si>
    <t>Corrective Lens Type for Distance</t>
  </si>
  <si>
    <t>A description of the type of eye lens(es) worn by the subject to correct for distance.</t>
  </si>
  <si>
    <t>CLDXNFRN</t>
  </si>
  <si>
    <t>Chlorinated Dioxins and/or Furans</t>
  </si>
  <si>
    <t>A measurement of the chlorinated dioxins and/or furans in a specimen.</t>
  </si>
  <si>
    <t>Chlorinated Dioxins and/or Furans Measurement</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</si>
  <si>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</si>
  <si>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</si>
  <si>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</si>
  <si>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</si>
  <si>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CLEXR</t>
  </si>
  <si>
    <t>Chloride Excretion Rate</t>
  </si>
  <si>
    <t>A measurement of the amount of chloride being excreted in a biological specimen over a defined period of time (e.g. one hour).</t>
  </si>
  <si>
    <t>CLIND</t>
  </si>
  <si>
    <t>Corrective Lens Indicator</t>
  </si>
  <si>
    <t>An indication as to whether an eye lens(es) is worn by the subject to correct for any type of visual impairment.</t>
  </si>
  <si>
    <t>CLININD</t>
  </si>
  <si>
    <t>Clinic Stay Indicator</t>
  </si>
  <si>
    <t>An indication as to whether the subject was admitted to a healthcare clinic.</t>
  </si>
  <si>
    <t>CLINSTDS</t>
  </si>
  <si>
    <t>Clinical Status of Disease</t>
  </si>
  <si>
    <t>A characterization of the state of a subject's disease or condition, as evaluated by a clinician or other healthcare provider.</t>
  </si>
  <si>
    <t>Clinical Status</t>
  </si>
  <si>
    <t>CLNZPM</t>
  </si>
  <si>
    <t>Clonazepam</t>
  </si>
  <si>
    <t>A measurement of the clonazepam present in a biological specimen.</t>
  </si>
  <si>
    <t>Clonazepam Measurement</t>
  </si>
  <si>
    <t>CLOBAZAM</t>
  </si>
  <si>
    <t>Clobazam</t>
  </si>
  <si>
    <t>Clobazam; cloBAZam</t>
  </si>
  <si>
    <t>A measurement of the clobazam in a biological specimen.</t>
  </si>
  <si>
    <t>Clobazam Measurement</t>
  </si>
  <si>
    <t>CLOSTBL</t>
  </si>
  <si>
    <t>Clostebol</t>
  </si>
  <si>
    <t>A measurement of the clostebol in a biological specimen.</t>
  </si>
  <si>
    <t>Clostebol Measurement</t>
  </si>
  <si>
    <t>CLOTFAA</t>
  </si>
  <si>
    <t>Clot Formation Alpha Angle</t>
  </si>
  <si>
    <t>Alpha Angle; Alpha-Angle; Clot Formation Alpha Angle</t>
  </si>
  <si>
    <t>A measurement of the angle of incline (tangent at 20mm and the midline) during the rising phase of the thromboelastogram curve, during the clot formation process.</t>
  </si>
  <si>
    <t>Clot Formation Alpha Angle Measurement</t>
  </si>
  <si>
    <t>CLOTFM</t>
  </si>
  <si>
    <t>Clot Firmness</t>
  </si>
  <si>
    <t>Clot Amplitude; Clot Firmness</t>
  </si>
  <si>
    <t>A measurement of the firmness of a clot.</t>
  </si>
  <si>
    <t>Clot Firmness Measurement</t>
  </si>
  <si>
    <t>CLOTFMMX</t>
  </si>
  <si>
    <t>Maximum Clot Firmness</t>
  </si>
  <si>
    <t>Maximum Clot Amplitude; Maximum Clot Firmness</t>
  </si>
  <si>
    <t>A measurement of the maximum firmness of a clot.</t>
  </si>
  <si>
    <t>Maximum Clot Firmness Measurement</t>
  </si>
  <si>
    <t>CLOTFTIM</t>
  </si>
  <si>
    <t>Clot Formation Time</t>
  </si>
  <si>
    <t>CFT; Clot Formation Time</t>
  </si>
  <si>
    <t>A measurement of the elapsed time from the start of clot formation to the point at which the clot reaches a firmness of 20mm.</t>
  </si>
  <si>
    <t>Clot Formation Time Measurement</t>
  </si>
  <si>
    <t>CLOTITIM</t>
  </si>
  <si>
    <t>Clot Initiation Time</t>
  </si>
  <si>
    <t>Clot Initiation Time; Clotting Time; CT</t>
  </si>
  <si>
    <t>A measurement of the elapsed time from the addition of the clot activating agent to the start of clot formation.</t>
  </si>
  <si>
    <t>Clot Initiation Time Measurement</t>
  </si>
  <si>
    <t>CLOTLYIX</t>
  </si>
  <si>
    <t>Clot Lysis Index</t>
  </si>
  <si>
    <t>Clot LI; Clot Lysis Index</t>
  </si>
  <si>
    <t>A relative measurement (percentage) of remaining clot stability in relation to the maximum clot firmness value at some time point after clot initiation time.</t>
  </si>
  <si>
    <t>CLOTLYMX</t>
  </si>
  <si>
    <t>Maximum Clot Lysis</t>
  </si>
  <si>
    <t>Maximum Clot Lysis; Maximum Lysis</t>
  </si>
  <si>
    <t>A relative measurement (percentage) of the decrease in amplitude of the waveform at rotational thromboelastometry test completion.</t>
  </si>
  <si>
    <t>Maximum Clot Lysis Measurement</t>
  </si>
  <si>
    <t>CLOTRTC</t>
  </si>
  <si>
    <t>Clot Retraction</t>
  </si>
  <si>
    <t>Clot Retraction; Clot Retraction, Qualitative</t>
  </si>
  <si>
    <t>A qualitative assessment of clot retraction in a biological specimen.</t>
  </si>
  <si>
    <t>Qualitative Clot Retraction Measurement</t>
  </si>
  <si>
    <t>CLOTRTCT</t>
  </si>
  <si>
    <t>Clot Retraction Time</t>
  </si>
  <si>
    <t>A measurement of the amount of time it takes for a clot to retract, or pull away from, the wall of a glass collection container.</t>
  </si>
  <si>
    <t>Clot Retraction Time Measurement</t>
  </si>
  <si>
    <t>CLPHTRMN</t>
  </si>
  <si>
    <t>Chlorphentermine</t>
  </si>
  <si>
    <t>A measurement of the chlorphentermine in a biological specimen.</t>
  </si>
  <si>
    <t>Chlorphentermine Measurement</t>
  </si>
  <si>
    <t>CLRDZPXD</t>
  </si>
  <si>
    <t>Chlordiazepoxide</t>
  </si>
  <si>
    <t>A measurement of the chlordiazepoxide present in a biological specimen.</t>
  </si>
  <si>
    <t>Chlordiazepoxide Measurement</t>
  </si>
  <si>
    <t>CLRZPT</t>
  </si>
  <si>
    <t>Clorazepate</t>
  </si>
  <si>
    <t>A measurement of the clorazepate present in a biological specimen.</t>
  </si>
  <si>
    <t>Clorazepate Measurement</t>
  </si>
  <si>
    <t>CLT</t>
  </si>
  <si>
    <t>Clot Lysis Time</t>
  </si>
  <si>
    <t>Clot Lysis Time; ECLT; ELT; Euglobulin Clot Lysis Time; Euglobulin Lysis Time</t>
  </si>
  <si>
    <t>A measurement of the amount of time it takes for dissolution of a fibrin clot in a biological specimen.</t>
  </si>
  <si>
    <t>Euglobulin Clot Lysis Time</t>
  </si>
  <si>
    <t>CLUECE</t>
  </si>
  <si>
    <t>Clue Cells</t>
  </si>
  <si>
    <t>A measurement of the clue cells in a biological specimen.</t>
  </si>
  <si>
    <t>Clue Cell Count</t>
  </si>
  <si>
    <t>CLZPMAOM</t>
  </si>
  <si>
    <t>Clonazepam and/or Metabolites</t>
  </si>
  <si>
    <t>A measurement of the clonazepam and/or its metabolite(s) present in a biological specimen, for an assay that can measure both clonazepam and its metabolites.</t>
  </si>
  <si>
    <t>Clonazepam and/or Metabolites Measurement</t>
  </si>
  <si>
    <t>CMHYIND</t>
  </si>
  <si>
    <t>Cardiac Muscle Hypertrophy Indicator</t>
  </si>
  <si>
    <t>An indication as to whether there is a hypertrophied cardiac muscle.</t>
  </si>
  <si>
    <t>Heart Chamber Hypertrophy Indicator</t>
  </si>
  <si>
    <t>CMONOX</t>
  </si>
  <si>
    <t>Carbon Monoxide</t>
  </si>
  <si>
    <t>A measurement of the carbon monoxide in a specimen.</t>
  </si>
  <si>
    <t>Carbon Monoxide Measurement</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</si>
  <si>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</si>
  <si>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</si>
  <si>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</si>
  <si>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</si>
  <si>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</si>
  <si>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CMV</t>
  </si>
  <si>
    <t>Cytomegalovirus</t>
  </si>
  <si>
    <t>A measurement of the organisms that are not assigned to the species level but are assigned to the Cytomegalovirus genus level in a biological specimen.</t>
  </si>
  <si>
    <t>Cytomegalovirus Measurement</t>
  </si>
  <si>
    <t>CMVAG</t>
  </si>
  <si>
    <t>Cytomegalovirus Antigen</t>
  </si>
  <si>
    <t>A measurement of the Cytomegalovirus antigen in a biological specimen.</t>
  </si>
  <si>
    <t>Cytomegalovirus Antigen Measurement</t>
  </si>
  <si>
    <t>CMVDNA</t>
  </si>
  <si>
    <t>Cytomegalovirus DNA</t>
  </si>
  <si>
    <t>A measurement of the Cytomegalovirus DNA in a biological specimen.</t>
  </si>
  <si>
    <t>Cytomegalovirus DNA Measurement</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</si>
  <si>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</si>
  <si>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</si>
  <si>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</si>
  <si>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</si>
  <si>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</si>
  <si>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</si>
  <si>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</si>
  <si>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</si>
  <si>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</si>
  <si>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</si>
  <si>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CNDUFRQD</t>
  </si>
  <si>
    <t>Condom Use Frequency Desc</t>
  </si>
  <si>
    <t>Condom Use Frequency Desc; Condom Use Frequency Description</t>
  </si>
  <si>
    <t>A description of the regularity with which a condom is used during sexual activity.</t>
  </si>
  <si>
    <t>Condom Use Frequency</t>
  </si>
  <si>
    <t>CNEGADNA</t>
  </si>
  <si>
    <t>Cryptococcus neoformans/gattii DNA</t>
  </si>
  <si>
    <t>A measurement of Cryptococcus neoformans and/or Cryptococcus gattii DNA in a biological specimen.</t>
  </si>
  <si>
    <t>Cryptococcus neoformans and/or gattii DNA Measurement</t>
  </si>
  <si>
    <t>CNTF</t>
  </si>
  <si>
    <t>Ciliary Neurotrophic Factor</t>
  </si>
  <si>
    <t>A measurement of the ciliary neurotrophic factor in a biological specimen.</t>
  </si>
  <si>
    <t>Ciliary Neurotrophic Factor Measurement</t>
  </si>
  <si>
    <t>CNTFDST</t>
  </si>
  <si>
    <t>Counting Fingers Distance</t>
  </si>
  <si>
    <t>Count Fingers Distance</t>
  </si>
  <si>
    <t>An assessment of the furthest distance at which a subject can perceive and accurately count the examiner's fingers.</t>
  </si>
  <si>
    <t>Counting Fingers Test</t>
  </si>
  <si>
    <t>CNTFIND</t>
  </si>
  <si>
    <t>Counting Fingers Indicator</t>
  </si>
  <si>
    <t>Count Fingers Indicator</t>
  </si>
  <si>
    <t>An indication as to whether a subject can perceive and accurately count the examiner's fingers at a pre-specified distance.</t>
  </si>
  <si>
    <t>CNTYPAD</t>
  </si>
  <si>
    <t>County of Permanent Address</t>
  </si>
  <si>
    <t>The county identified as the individual's permanent residence.</t>
  </si>
  <si>
    <t>CO2</t>
  </si>
  <si>
    <t>Carbon Dioxide</t>
  </si>
  <si>
    <t>A measurement of the carbon dioxide gas in a biological specimen.</t>
  </si>
  <si>
    <t>Carbon Dioxide Measurement</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</si>
  <si>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</si>
  <si>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</si>
  <si>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</si>
  <si>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</si>
  <si>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</si>
  <si>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COARTDOM</t>
  </si>
  <si>
    <t>Coronary Artery Dominance</t>
  </si>
  <si>
    <t>The pattern of the epicardial vessels supplying the posterolateral and posterior descending coronary arteries.</t>
  </si>
  <si>
    <t>COBALT</t>
  </si>
  <si>
    <t>Cobalt</t>
  </si>
  <si>
    <t>CO; Cobalt</t>
  </si>
  <si>
    <t>A measurement of the cobalt in a specimen.</t>
  </si>
  <si>
    <t>Cobalt Measurement</t>
  </si>
  <si>
    <t>COCAAOM</t>
  </si>
  <si>
    <t>Cocaine and/or Metabolites</t>
  </si>
  <si>
    <t>A measurement of the cocaine and/or its metabolite(s) present in a biological specimen, for an assay that can measure both cocaine and its metabolites.</t>
  </si>
  <si>
    <t>Cocaine And/Or Metabolites Measurement</t>
  </si>
  <si>
    <t>COCAETH</t>
  </si>
  <si>
    <t>Cocaethylene</t>
  </si>
  <si>
    <t>Cocaethylene; Cocaine Ethyl</t>
  </si>
  <si>
    <t>A measurement of the cocaethylene present in a biological specimen.</t>
  </si>
  <si>
    <t>Cocaethylene Measurement</t>
  </si>
  <si>
    <t>COCAINE</t>
  </si>
  <si>
    <t>Cocaine</t>
  </si>
  <si>
    <t>A measurement of the cocaine present in a biological specimen.</t>
  </si>
  <si>
    <t>Cocaine Measurement</t>
  </si>
  <si>
    <t>COCAM</t>
  </si>
  <si>
    <t>Cocaine Metabolites</t>
  </si>
  <si>
    <t>A measurement of any cocaine drug class metabolite(s) present in a biological specimen.</t>
  </si>
  <si>
    <t>Cocaine Metabolites Measurement</t>
  </si>
  <si>
    <t>COCBNZEC</t>
  </si>
  <si>
    <t>Cocaine Benzoylecgonine Ecgonine</t>
  </si>
  <si>
    <t>A measurement of the cocaine, benzoylecgonine, and/or ecgonine in a biological specimen.</t>
  </si>
  <si>
    <t>Cocaine, Benzoylecgonine, and/or Ecgonine Measurement</t>
  </si>
  <si>
    <t>CODEINE</t>
  </si>
  <si>
    <t>Codeine</t>
  </si>
  <si>
    <t>A measurement of the codeine present in a biological specimen.</t>
  </si>
  <si>
    <t>Codeine Measurement</t>
  </si>
  <si>
    <t>COILNUM</t>
  </si>
  <si>
    <t>Number of Coil Channels</t>
  </si>
  <si>
    <t>The number of channels, or elements, in the coil component of the device.</t>
  </si>
  <si>
    <t>COILSTR</t>
  </si>
  <si>
    <t>Coil Strength</t>
  </si>
  <si>
    <t>The maximum voltage allowable to pass through an electromagnetic coil. (NCI)</t>
  </si>
  <si>
    <t>COL4</t>
  </si>
  <si>
    <t>Collagen Type IV</t>
  </si>
  <si>
    <t>A measurement of the collagen type IV in a biological specimen.</t>
  </si>
  <si>
    <t>Collagen Type IV Measurement</t>
  </si>
  <si>
    <t>COLOR</t>
  </si>
  <si>
    <t>Color</t>
  </si>
  <si>
    <t>A measurement of the color of a biological specimen.</t>
  </si>
  <si>
    <t>Color Assessment</t>
  </si>
  <si>
    <t>The appearance of objects (or light sources) described in terms of a person's perception of their hue and lightness (or brightness) and saturation. (NCI)</t>
  </si>
  <si>
    <t>COMP</t>
  </si>
  <si>
    <t>Cartilage Oligomeric Matrix Protein</t>
  </si>
  <si>
    <t>A measurement of the cartilage oligomeric matrix protein in a biological specimen.</t>
  </si>
  <si>
    <t>Cartilage Oligomeric Matrix Protein Measurement</t>
  </si>
  <si>
    <t>COMPOS</t>
  </si>
  <si>
    <t>Composition</t>
  </si>
  <si>
    <t>The materials from which something is made.</t>
  </si>
  <si>
    <t>CONC</t>
  </si>
  <si>
    <t>Concentration</t>
  </si>
  <si>
    <t>The quantity of a specified substance in a unit volume or weight of another substance.</t>
  </si>
  <si>
    <t>CONDUCTU</t>
  </si>
  <si>
    <t>Urine Conductivity</t>
  </si>
  <si>
    <t>A measurement of the urine conductivity which is a non-linear function of the electrolyte concentration in the urine.</t>
  </si>
  <si>
    <t>CONSIST</t>
  </si>
  <si>
    <t>Consistency</t>
  </si>
  <si>
    <t>A description about the firmness or make-up of an entity.</t>
  </si>
  <si>
    <t>CONTEPH</t>
  </si>
  <si>
    <t>Contrast Enhancement Phase</t>
  </si>
  <si>
    <t>The phase of the contrast agent distribution within the body after its administration.</t>
  </si>
  <si>
    <t>Contrast Agent Enhancement Phase</t>
  </si>
  <si>
    <t>COPEP</t>
  </si>
  <si>
    <t>Copeptin</t>
  </si>
  <si>
    <t>A measurement of the copeptin in a biological specimen.</t>
  </si>
  <si>
    <t>Copeptin Measurement</t>
  </si>
  <si>
    <t>COPPER</t>
  </si>
  <si>
    <t>Copper</t>
  </si>
  <si>
    <t>Copper; Cu</t>
  </si>
  <si>
    <t>A measurement of copper in a biological specimen.</t>
  </si>
  <si>
    <t>Copper Measurement</t>
  </si>
  <si>
    <t>COQ10</t>
  </si>
  <si>
    <t>Ubiquinone 10</t>
  </si>
  <si>
    <t>Coenzyme Q10; Ubiquinone 10</t>
  </si>
  <si>
    <t>A measurement of the ubiquinone 10 in a biological specimen.</t>
  </si>
  <si>
    <t>Ubiquinone 10 Measurement</t>
  </si>
  <si>
    <t>CORCREAT</t>
  </si>
  <si>
    <t>Cortisol/Creatinine</t>
  </si>
  <si>
    <t>A relative measurement (ratio or percentage) of the cortisol to creatinine present in a sample.</t>
  </si>
  <si>
    <t>Cortisol to Creatinine Ratio Measurement</t>
  </si>
  <si>
    <t>CORTFR</t>
  </si>
  <si>
    <t>Cortisol, Free</t>
  </si>
  <si>
    <t>A measurement of the free, unbound cortisol in a biological specimen.</t>
  </si>
  <si>
    <t>Free Cortisol Measurement</t>
  </si>
  <si>
    <t>CORTISOL</t>
  </si>
  <si>
    <t>Cortisol</t>
  </si>
  <si>
    <t>Cortisol; Total Cortisol</t>
  </si>
  <si>
    <t>A measurement of the cortisol in a biological specimen.</t>
  </si>
  <si>
    <t>Cortisol Measurement</t>
  </si>
  <si>
    <t>CORTOLA</t>
  </si>
  <si>
    <t>Alpha Cortol</t>
  </si>
  <si>
    <t>Alpha Cortol; alpha-Cortol</t>
  </si>
  <si>
    <t>A measurement of the alpha cortol in a biological specimen.</t>
  </si>
  <si>
    <t>Alpha Cortol Measurement</t>
  </si>
  <si>
    <t>CORTOLNA</t>
  </si>
  <si>
    <t>Alpha Cortolone</t>
  </si>
  <si>
    <t>Alpha Cortolone; alpha-Cortolone</t>
  </si>
  <si>
    <t>A measurement of the alpha cortolone in a biological specimen.</t>
  </si>
  <si>
    <t>Alpha Cortolone Measurement</t>
  </si>
  <si>
    <t>COTININE</t>
  </si>
  <si>
    <t>Cotinine</t>
  </si>
  <si>
    <t>A measurement of the cotinine in a biological specimen.</t>
  </si>
  <si>
    <t>Cotinine Measurement</t>
  </si>
  <si>
    <t>COTNNFR</t>
  </si>
  <si>
    <t>Cotinine, Free</t>
  </si>
  <si>
    <t>A measurement of the free (unbound) cotinine in a specimen.</t>
  </si>
  <si>
    <t>Free Cotinine Measurement</t>
  </si>
  <si>
    <t>COUMARIN</t>
  </si>
  <si>
    <t>Coumarin</t>
  </si>
  <si>
    <t>A measurement of the coumarin in a specimen.</t>
  </si>
  <si>
    <t>Coumarin Measurement</t>
  </si>
  <si>
    <t>CPAAG</t>
  </si>
  <si>
    <t>Cryptosporidium parvum Antigen</t>
  </si>
  <si>
    <t>A measurement of the Cryptosporidium parvum antigen in a biological specimen.</t>
  </si>
  <si>
    <t>Cryptosporidium parvum Antigen Measurement</t>
  </si>
  <si>
    <t>CPB2</t>
  </si>
  <si>
    <t>Carboxypeptidase B2</t>
  </si>
  <si>
    <t>Carboxypeptidase B2; CPU; PCPB; TAFI</t>
  </si>
  <si>
    <t>A measurement of the carboxypeptidase B2 in a biological specimen.</t>
  </si>
  <si>
    <t>Carboxypeptidase B2 Measurement</t>
  </si>
  <si>
    <t>CPBDIFF</t>
  </si>
  <si>
    <t>Cigarette Paper Band Diffusivity</t>
  </si>
  <si>
    <t>An assessment of the gas or particle diffusivity across the cellulosic bands present on some cigarette papers, used to reduce a cigarette's smolder ability.</t>
  </si>
  <si>
    <t>CPBPERM</t>
  </si>
  <si>
    <t>Cigarette Paper Band Permeability</t>
  </si>
  <si>
    <t>An assessment of the gas or particle permeability through the cellulosic bands present on some cigarette papers, used to reduce a cigarette's smolder ability.</t>
  </si>
  <si>
    <t>CPBPOR</t>
  </si>
  <si>
    <t>Cigarette Paper Band Porosity</t>
  </si>
  <si>
    <t>An assessment of the porosity of the cellulosic bands present on some cigarette papers, used to reduce a cigarette's smolder ability.</t>
  </si>
  <si>
    <t>CPBSPC</t>
  </si>
  <si>
    <t>Cigarette Paper Band Space</t>
  </si>
  <si>
    <t>An assessment of the length of the spacing between two adjacent cellulosic bands present on some cigarette papers, used to reduce a cigarette's smolder ability.</t>
  </si>
  <si>
    <t>CPBWID</t>
  </si>
  <si>
    <t>Cigarette Paper Band Width</t>
  </si>
  <si>
    <t>An assessment of the width of the cellulosic bands present on some cigarette papers, used to reduce a cigarette's smolder ability.</t>
  </si>
  <si>
    <t>CPC</t>
  </si>
  <si>
    <t>Clonal Plasma Cells</t>
  </si>
  <si>
    <t>A measurement of the clonal plasma cells in a biological specimen.</t>
  </si>
  <si>
    <t>Clonal Plasma Cell Count</t>
  </si>
  <si>
    <t>CPCCE</t>
  </si>
  <si>
    <t>Clonal Plasma Cells/Total Cells</t>
  </si>
  <si>
    <t>A relative measurement (ratio or percentage) of the clonal plasma cells to total cells in a biological specimen.</t>
  </si>
  <si>
    <t>Clonal Plasma Cell to Total Cell Ratio Measurement</t>
  </si>
  <si>
    <t>CPEPCRT</t>
  </si>
  <si>
    <t>C-peptide/Creatinine</t>
  </si>
  <si>
    <t>A relative measurement (ratio or percentage) of the C-peptide to creatinine in a biological specimen.</t>
  </si>
  <si>
    <t>C-peptide to Creatinine Ratio Measurement</t>
  </si>
  <si>
    <t>CPEPEXR</t>
  </si>
  <si>
    <t>C-Peptide Excretion Rate</t>
  </si>
  <si>
    <t>A measurement of the amount of C-peptide being excreted in a biological specimen over a defined amount of time (e.g. one hour).</t>
  </si>
  <si>
    <t>CPEPTIDE</t>
  </si>
  <si>
    <t>C-peptide</t>
  </si>
  <si>
    <t>A measurement of the C (connecting) peptide of insulin in a biological specimen.</t>
  </si>
  <si>
    <t>C-peptide Measurement</t>
  </si>
  <si>
    <t>CPLRFLT</t>
  </si>
  <si>
    <t>Capillary Refill Time</t>
  </si>
  <si>
    <t>The amount of time it takes for a capillary bed to refill with blood after pressure blanching.</t>
  </si>
  <si>
    <t>Capillary Refill Test</t>
  </si>
  <si>
    <t>CPN</t>
  </si>
  <si>
    <t>Chlamydia pneumoniae</t>
  </si>
  <si>
    <t>A measurement of the Chlamydia pneumoniae in a biological specimen.</t>
  </si>
  <si>
    <t>Chlamydia Pneumoniae Measurement</t>
  </si>
  <si>
    <t>CPNDNA</t>
  </si>
  <si>
    <t>Chlamydia pneumoniae DNA</t>
  </si>
  <si>
    <t>A measurement of the Chlamydia pneumoniae DNA in a biological specimen.</t>
  </si>
  <si>
    <t>Chlamydia pneumoniae DNA Measurement</t>
  </si>
  <si>
    <t>CPNNUAC</t>
  </si>
  <si>
    <t>Chlamydia pneumoniae Nucleic Acid</t>
  </si>
  <si>
    <t>A measurement of the Chlamydia pneumoniae nucleic acid in a biological specimen.</t>
  </si>
  <si>
    <t>Chlamydia pneumoniae Nucleic Acid Measurement</t>
  </si>
  <si>
    <t>GF</t>
  </si>
  <si>
    <t>CPNUMAMP</t>
  </si>
  <si>
    <t>Copy Number Amplification</t>
  </si>
  <si>
    <t>Copy Number Amplification; Gene Copy Number Amplification</t>
  </si>
  <si>
    <t>An assessment of the increase in the number of replicas of a gene within a genome.</t>
  </si>
  <si>
    <t>Copy Number Amplification Assessment</t>
  </si>
  <si>
    <t>CPNUMVAR</t>
  </si>
  <si>
    <t>Copy Number Variation</t>
  </si>
  <si>
    <t>Copy Number Variation; Gene Copy Number Variation</t>
  </si>
  <si>
    <t>An assessment of the variability in the number of replicas of a gene within a genome.</t>
  </si>
  <si>
    <t>Copy Number Variation Assessment</t>
  </si>
  <si>
    <t>CPSDNA</t>
  </si>
  <si>
    <t>Chlamydophila psittaci DNA</t>
  </si>
  <si>
    <t>A measurement of the Chlamydophila psittaci DNA in a biological specimen.</t>
  </si>
  <si>
    <t>Chlamydophila psittaci DNA Measurement</t>
  </si>
  <si>
    <t>CPTCDPYR</t>
  </si>
  <si>
    <t>Cyclopenta[c,d]pyrene</t>
  </si>
  <si>
    <t>Acepyrene; Cyclopenta(c,d)pyrene; Cyclopenta[c,d]pyrene</t>
  </si>
  <si>
    <t>A measurement of the cyclopenta[c,d]pyrene in a specimen.</t>
  </si>
  <si>
    <t>Cyclopenta[c,d]pyrene Measurement</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</si>
  <si>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</si>
  <si>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</si>
  <si>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</si>
  <si>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</si>
  <si>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</si>
  <si>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CRBMZPN</t>
  </si>
  <si>
    <t>Carbamazepine</t>
  </si>
  <si>
    <t>A measurement of the carbamazepine in a biological specimen.</t>
  </si>
  <si>
    <t>Carbamazepine Measurement</t>
  </si>
  <si>
    <t>CRE</t>
  </si>
  <si>
    <t>Enterobacterales, Carbapenem-resistant</t>
  </si>
  <si>
    <t>A measurement of the organisms that are not assigned to the species level but are assigned to the Enterobacterales order level and are also carbapenem-resistant in a biological specimen.</t>
  </si>
  <si>
    <t>Carbapenem Resistant Enterobacterales Measurement</t>
  </si>
  <si>
    <t>CREAT</t>
  </si>
  <si>
    <t>Creatinine</t>
  </si>
  <si>
    <t>A measurement of the creatinine in a biological specimen.</t>
  </si>
  <si>
    <t>Creatinine Measurement</t>
  </si>
  <si>
    <t>CREATCLR</t>
  </si>
  <si>
    <t>Creatinine Clearance</t>
  </si>
  <si>
    <t>A measurement of the volume of serum or plasma that would be cleared of creatinine by excretion of urine for a specified unit of time (e.g. one minute).</t>
  </si>
  <si>
    <t>CREATEXR</t>
  </si>
  <si>
    <t>Creatinine Excretion Rate</t>
  </si>
  <si>
    <t>A measurement of the amount of creatinine being excreted in a biological specimen over a defined amount of time (e.g. one hour).</t>
  </si>
  <si>
    <t>CREATINE</t>
  </si>
  <si>
    <t>Creatine</t>
  </si>
  <si>
    <t>A measurement of the creatine in a biological specimen.</t>
  </si>
  <si>
    <t>Creatine Measurement</t>
  </si>
  <si>
    <t>CRENCE</t>
  </si>
  <si>
    <t>Crenated Cells</t>
  </si>
  <si>
    <t>A measurement of the crenated cells in a biological specimen.</t>
  </si>
  <si>
    <t>Crenated Cell Measurement</t>
  </si>
  <si>
    <t>CRESLOMP</t>
  </si>
  <si>
    <t>Cresols</t>
  </si>
  <si>
    <t>Benzol; Cresols; Cresols (o-, m-, and p-cresol); Cresylic acid; Hydroxytoluene; Toluenol</t>
  </si>
  <si>
    <t>A measurement of the total cresols (o-, m-, and p-cresol) in a specimen.</t>
  </si>
  <si>
    <t>Cresol Measurement</t>
  </si>
  <si>
    <t>CRH</t>
  </si>
  <si>
    <t>Corticotropin Releasing Hormone</t>
  </si>
  <si>
    <t>Corticotropin Releasing Factor; Corticotropin Releasing Hormone</t>
  </si>
  <si>
    <t>A measurement of the corticotropin releasing hormone in a biological specimen.</t>
  </si>
  <si>
    <t>Corticotropin Releasing Hormone Measurement</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</si>
  <si>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</si>
  <si>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</si>
  <si>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</si>
  <si>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</si>
  <si>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</si>
  <si>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CRLPLSMN</t>
  </si>
  <si>
    <t>Ceruloplasmin</t>
  </si>
  <si>
    <t>Caeruloplasmin; Ceruloplasmin</t>
  </si>
  <si>
    <t>A measurement of ceruloplasmin in a biological specimen.</t>
  </si>
  <si>
    <t>Ceruloplasmin Measurement</t>
  </si>
  <si>
    <t>CRNTESTR</t>
  </si>
  <si>
    <t>Carnitine Esters</t>
  </si>
  <si>
    <t>A measurement of the total carnitine esters in a biological specimen.</t>
  </si>
  <si>
    <t>Carnitine Ester Measurement</t>
  </si>
  <si>
    <t>CRONAVIR</t>
  </si>
  <si>
    <t>Coronaviridae</t>
  </si>
  <si>
    <t>Coronaviridae; Coronavirus</t>
  </si>
  <si>
    <t>A measurement of the coronaviridae in a biological specimen.</t>
  </si>
  <si>
    <t>Coronaviridae Measurement</t>
  </si>
  <si>
    <t>CRONRNA</t>
  </si>
  <si>
    <t>Coronavirus RNA</t>
  </si>
  <si>
    <t>A measurement of the RNA from any member of the family Coronaviridae in a biological specimen.</t>
  </si>
  <si>
    <t>Coronavirus RNA Measurement</t>
  </si>
  <si>
    <t>CROTNALD</t>
  </si>
  <si>
    <t>Crotonaldehyde</t>
  </si>
  <si>
    <t>A measurement of the crotonaldehyde in a specimen.</t>
  </si>
  <si>
    <t>Crotonaldehyde Measurement</t>
  </si>
  <si>
    <t>CRP</t>
  </si>
  <si>
    <t>C Reactive Protein</t>
  </si>
  <si>
    <t>A measurement of the C reactive protein in a biological specimen.</t>
  </si>
  <si>
    <t>C-Reactive Protein Measurement</t>
  </si>
  <si>
    <t>CRSPRDL</t>
  </si>
  <si>
    <t>Carisoprodol</t>
  </si>
  <si>
    <t>A measurement of the carisoprodol in a biological specimen.</t>
  </si>
  <si>
    <t>Carisoprodol Measurement</t>
  </si>
  <si>
    <t>CRTCLRBS</t>
  </si>
  <si>
    <t>Creatinine Clearance Adjusted for BSA</t>
  </si>
  <si>
    <t>A measurement of the volume of serum or plasma that would be cleared of creatinine by excretion of urine for a specified unit of time (e.g. one minute), adjusted for body surface area.</t>
  </si>
  <si>
    <t>CRTCLRE</t>
  </si>
  <si>
    <t>Creatinine Clearance, Estimated</t>
  </si>
  <si>
    <t>An estimate of the volume of serum or plasma that would be cleared of creatinine by excretion of urine for a specified unit of time (e.g. one minute).</t>
  </si>
  <si>
    <t>Estimated Creatinine Clearance</t>
  </si>
  <si>
    <t>CRTCREAT</t>
  </si>
  <si>
    <t>Corticosterone/Creatinine</t>
  </si>
  <si>
    <t>A relative measurement (ratio or percentage) of the corticosterone to creatinine present in a sample.</t>
  </si>
  <si>
    <t>Corticosterone to Creatinine Ratio Measurement</t>
  </si>
  <si>
    <t>CRTFREXR</t>
  </si>
  <si>
    <t>Cortisol, Free Excretion Rate</t>
  </si>
  <si>
    <t>A measurement of the amount of free cortisol being excreted in a biological specimen over a defined amount of time (e.g. one hour).</t>
  </si>
  <si>
    <t>Free Cortisol Excretion Rate</t>
  </si>
  <si>
    <t>CRTN</t>
  </si>
  <si>
    <t>Carotene</t>
  </si>
  <si>
    <t>A measurement of the total carotenes in a biological specimen.</t>
  </si>
  <si>
    <t>Carotene Measurement</t>
  </si>
  <si>
    <t>CRTRONE</t>
  </si>
  <si>
    <t>Corticosterone</t>
  </si>
  <si>
    <t>A measurement of corticosterone in a biological specimen.</t>
  </si>
  <si>
    <t>Corticosterone Measurement</t>
  </si>
  <si>
    <t>CRTVOL</t>
  </si>
  <si>
    <t>Cartridge Volume</t>
  </si>
  <si>
    <t>The volume of a container that holds liquids or other substances and is part of a larger apparatus.</t>
  </si>
  <si>
    <t>CRWNHEEL</t>
  </si>
  <si>
    <t>Crown-to-Heel Length</t>
  </si>
  <si>
    <t>A measurement of the length of the body from the crown of the head to the bottom of the heel.</t>
  </si>
  <si>
    <t>Crown to Heel Length</t>
  </si>
  <si>
    <t>CRYGLBSR</t>
  </si>
  <si>
    <t>Cryoglobulin Volume/Serum Volume</t>
  </si>
  <si>
    <t>A relative measurement (ratio or percentage) of the volume of cryoglobulin to total serum volume in a biological specimen.</t>
  </si>
  <si>
    <t>Cryoglobulin Volume to Serum Volume Ratio Measurement</t>
  </si>
  <si>
    <t>CRYOFBRN</t>
  </si>
  <si>
    <t>Cryofibrinogen</t>
  </si>
  <si>
    <t>A measurement of the cryofibrinogen in a biological specimen.</t>
  </si>
  <si>
    <t>Cryofibrinogen Measurement</t>
  </si>
  <si>
    <t>CRYOGLBN</t>
  </si>
  <si>
    <t>Cryoglobulin</t>
  </si>
  <si>
    <t>A measurement of cryoglobulin in a biological specimen.</t>
  </si>
  <si>
    <t>Cryoglobulin Measurement</t>
  </si>
  <si>
    <t>CRYPTCAG</t>
  </si>
  <si>
    <t>Cryptococcus Antigen</t>
  </si>
  <si>
    <t>A measurement of the antigen from any member of the genus Cryptococcus in a biological specimen.</t>
  </si>
  <si>
    <t>Cryptococcus Antigen Measurement</t>
  </si>
  <si>
    <t>CRYPTDNA</t>
  </si>
  <si>
    <t>Cryptosporidium DNA</t>
  </si>
  <si>
    <t>A measurement of the DNA from any member of the genus Cryptosporidium in a biological specimen.</t>
  </si>
  <si>
    <t>Cryptosporidium DNA Measurement</t>
  </si>
  <si>
    <t>CRYSTALS</t>
  </si>
  <si>
    <t>Crystals</t>
  </si>
  <si>
    <t>Crystals; Crystals Absent Indicator</t>
  </si>
  <si>
    <t>An indication that crystals were looked for and not found in a biological specimen.</t>
  </si>
  <si>
    <t>Crystal Absent Indicator</t>
  </si>
  <si>
    <t>CSBACT</t>
  </si>
  <si>
    <t>Bacterial Casts</t>
  </si>
  <si>
    <t>A measurement of the bacterial casts present in a biological specimen.</t>
  </si>
  <si>
    <t>Bacterial Cast Measurement</t>
  </si>
  <si>
    <t>CSBROAD</t>
  </si>
  <si>
    <t>Broad Casts</t>
  </si>
  <si>
    <t>A measurement of the broad casts in a biological specimen.</t>
  </si>
  <si>
    <t>Broad Casts Measurement</t>
  </si>
  <si>
    <t>CSCELL</t>
  </si>
  <si>
    <t>Cellular Casts</t>
  </si>
  <si>
    <t>A measurement of the cellular (white blood cell, red blood cell, epithelial and bacterial) casts present in a biological specimen.</t>
  </si>
  <si>
    <t>Cellular Cast Measurement</t>
  </si>
  <si>
    <t>CSCYL</t>
  </si>
  <si>
    <t>Cylindroid Casts</t>
  </si>
  <si>
    <t>Cylindroid Casts; Cylindroid Pseudocasts</t>
  </si>
  <si>
    <t>A measurement of cylindroid casts (casts with a tapering end) in a biological specimen.</t>
  </si>
  <si>
    <t>Cylindroid Cast Measurement</t>
  </si>
  <si>
    <t>CSDIA</t>
  </si>
  <si>
    <t>Cross-sectional Diameter</t>
  </si>
  <si>
    <t>A measurement of a structure taken along the plane that is perpendicular to the long axis.</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</si>
  <si>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</si>
  <si>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</si>
  <si>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</si>
  <si>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</si>
  <si>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</si>
  <si>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</si>
  <si>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</si>
  <si>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</si>
  <si>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</si>
  <si>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</si>
  <si>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</si>
  <si>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</si>
  <si>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</si>
  <si>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</si>
  <si>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</si>
  <si>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CSEPI</t>
  </si>
  <si>
    <t>Epithelial Casts</t>
  </si>
  <si>
    <t>A measurement of the epithelial cell casts present in a biological specimen.</t>
  </si>
  <si>
    <t>Epithelial-Cast Measurement</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</si>
  <si>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</si>
  <si>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</si>
  <si>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</si>
  <si>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</si>
  <si>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</si>
  <si>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CSEPIR</t>
  </si>
  <si>
    <t>Renal Epithelial Casts</t>
  </si>
  <si>
    <t>A measurement of the renal epithelial cell casts in a biological specimen.</t>
  </si>
  <si>
    <t>Renal Epithelial Casts Measurement</t>
  </si>
  <si>
    <t>CSEPIRT</t>
  </si>
  <si>
    <t>Renal Tubular Epithelial Casts</t>
  </si>
  <si>
    <t>A measurement of the renal tubular epithelial cell casts in a biological specimen.</t>
  </si>
  <si>
    <t>Renal Tubular Epithelial Casts Measurement</t>
  </si>
  <si>
    <t>CSFAT</t>
  </si>
  <si>
    <t>Fatty Casts</t>
  </si>
  <si>
    <t>A measurement of the fatty casts present in a biological specimen.</t>
  </si>
  <si>
    <t>Fatty Cast Measurement</t>
  </si>
  <si>
    <t>CSFIGIDX</t>
  </si>
  <si>
    <t>CSF IgG Index</t>
  </si>
  <si>
    <t>CSF IgG Index; CSF Index; IgG Index</t>
  </si>
  <si>
    <t>A relative measurement (ratio) of the IgG to albumin in cerebrospinal fluid to the IgG to albumin in serum.</t>
  </si>
  <si>
    <t>IgG Index</t>
  </si>
  <si>
    <t>CSGRAN</t>
  </si>
  <si>
    <t>Granular Casts</t>
  </si>
  <si>
    <t>A measurement of the granular (coarse and fine) casts present in a biological specimen.</t>
  </si>
  <si>
    <t>Granular Cast Measurement</t>
  </si>
  <si>
    <t>CSGRANC</t>
  </si>
  <si>
    <t>Granular Coarse Casts</t>
  </si>
  <si>
    <t>A measurement of the coarse granular casts present in a biological specimen.</t>
  </si>
  <si>
    <t>Coarse Granular Cast Measurement</t>
  </si>
  <si>
    <t>CSGRANF</t>
  </si>
  <si>
    <t>Granular Fine Casts</t>
  </si>
  <si>
    <t>A measurement of the fine granular casts present in a biological specimen.</t>
  </si>
  <si>
    <t>Granular Fine Cast Measurement</t>
  </si>
  <si>
    <t>CSHYAL</t>
  </si>
  <si>
    <t>Hyaline Casts</t>
  </si>
  <si>
    <t>A measurement of the hyaline casts present in a biological specimen.</t>
  </si>
  <si>
    <t>Hyaline Cast Measurement</t>
  </si>
  <si>
    <t>CSHYGR</t>
  </si>
  <si>
    <t>Hyalogranular Casts</t>
  </si>
  <si>
    <t>A measurement of the hyalogranular casts in a biological specimen.</t>
  </si>
  <si>
    <t>CSMIX</t>
  </si>
  <si>
    <t>Mixed Casts</t>
  </si>
  <si>
    <t>A measurement of the mixed (the cast contains a mixture of cell types) casts present in a biological specimen.</t>
  </si>
  <si>
    <t>Mixed Cast Count</t>
  </si>
  <si>
    <t>CSPATH</t>
  </si>
  <si>
    <t>Pathologic Casts</t>
  </si>
  <si>
    <t>Non-Hyalin Casts; Non-Hyaline Casts; Pathologic Casts</t>
  </si>
  <si>
    <t>A measurement of the pathologic (non-hyaline) casts present in a biological specimen.</t>
  </si>
  <si>
    <t>Pathologic Cast Measurement</t>
  </si>
  <si>
    <t>CSPDIND</t>
  </si>
  <si>
    <t>Cusp Doming Indicator</t>
  </si>
  <si>
    <t>An indication as to whether there is doming of a cardiac valve cusp.</t>
  </si>
  <si>
    <t>CSPDSEV</t>
  </si>
  <si>
    <t>Cusp Doming Severity</t>
  </si>
  <si>
    <t>The assessment of the severity of doming of a cardiac valve cusp.</t>
  </si>
  <si>
    <t>CSPFIND</t>
  </si>
  <si>
    <t>Cusp Flail Indicator</t>
  </si>
  <si>
    <t>An indication as to whether there is a flailing cardiac valve cusp.</t>
  </si>
  <si>
    <t>CSPFSEV</t>
  </si>
  <si>
    <t>Cusp Flail Severity</t>
  </si>
  <si>
    <t>The assessment of the severity of a flailing cardiac valve cusp.</t>
  </si>
  <si>
    <t>CSPFT</t>
  </si>
  <si>
    <t>Cusp Flail Timing</t>
  </si>
  <si>
    <t>The time point during the cardiac cycle when the flail of one or more cardiac valve cusps occurs.</t>
  </si>
  <si>
    <t>CSPIG</t>
  </si>
  <si>
    <t>Pigment Casts</t>
  </si>
  <si>
    <t>Pigment Casts; Pigmented Casts</t>
  </si>
  <si>
    <t>A measurement of the pigment casts present in a biological specimen.</t>
  </si>
  <si>
    <t>Pigment Cast Measurement</t>
  </si>
  <si>
    <t>CSPORAG</t>
  </si>
  <si>
    <t>Cryptosporidium Antigen</t>
  </si>
  <si>
    <t>A measurement of the antigen from any member of the genus Cryptosporidium in a biological specimen.</t>
  </si>
  <si>
    <t>Cryptosporidium Antigen Measurement</t>
  </si>
  <si>
    <t>CSPPIND</t>
  </si>
  <si>
    <t>Cusp Prolapse Indicator</t>
  </si>
  <si>
    <t>An indication as to whether there is a prolapsing cardiac valve cusp.</t>
  </si>
  <si>
    <t>CSPPSEV</t>
  </si>
  <si>
    <t>Cusp Prolapse Severity</t>
  </si>
  <si>
    <t>The assessment of the severity of a prolapsing cardiac valve cusp.</t>
  </si>
  <si>
    <t>CSPPT</t>
  </si>
  <si>
    <t>Cusp Prolapse Timing</t>
  </si>
  <si>
    <t>The time point during the cardiac cycle when the prolapse of one or more cardiac valve cusps occurs.</t>
  </si>
  <si>
    <t>CSPRMIND</t>
  </si>
  <si>
    <t>Cusp Restricted Motion Indicator</t>
  </si>
  <si>
    <t>An indication as to whether there is restricted motion of a cardiac valve cusp.</t>
  </si>
  <si>
    <t>CSPRMSEV</t>
  </si>
  <si>
    <t>Cusp Restricted Motion Severity</t>
  </si>
  <si>
    <t>The assessment of the severity of restricted motion of a cardiac valve cusp.</t>
  </si>
  <si>
    <t>CSPTEIND</t>
  </si>
  <si>
    <t>Cusp Tethering Indicator</t>
  </si>
  <si>
    <t>An indication as to whether there is tethering of a cardiac valve cusp.</t>
  </si>
  <si>
    <t>CSPTESEV</t>
  </si>
  <si>
    <t>Cusp Tethering Severity</t>
  </si>
  <si>
    <t>The assessment of the severity of tethering of a cardiac valve cusp.</t>
  </si>
  <si>
    <t>CSPTIND</t>
  </si>
  <si>
    <t>Cusp Thickening Indicator</t>
  </si>
  <si>
    <t>An indication as to whether there is a thickened cardiac valve cusp.</t>
  </si>
  <si>
    <t>CSPTSEV</t>
  </si>
  <si>
    <t>Cusp Thickening Severity</t>
  </si>
  <si>
    <t>The assessment of the severity of a thickening cardiac cusp.</t>
  </si>
  <si>
    <t>CSRBC</t>
  </si>
  <si>
    <t>RBC Casts</t>
  </si>
  <si>
    <t>Erythrocyte Casts; RBC Casts</t>
  </si>
  <si>
    <t>A measurement of the red blood cell casts present in a biological specimen.</t>
  </si>
  <si>
    <t>Red Blood Cell Cast Measurement</t>
  </si>
  <si>
    <t>CSRSCTN</t>
  </si>
  <si>
    <t>Number of Cesarean Sections</t>
  </si>
  <si>
    <t>Number of C-Sections; Number of Cesarean Sections</t>
  </si>
  <si>
    <t>A measurement of the total number of cesarean section delivery events experienced by the individual.</t>
  </si>
  <si>
    <t>CSUNCLA</t>
  </si>
  <si>
    <t>Unclassified Casts</t>
  </si>
  <si>
    <t>A measurement of the unclassifiable casts present in a biological specimen.</t>
  </si>
  <si>
    <t>Unclassified Cast Measurement</t>
  </si>
  <si>
    <t>CSWAX</t>
  </si>
  <si>
    <t>Waxy Casts</t>
  </si>
  <si>
    <t>A measurement of the waxy casts present in a biological specimen.</t>
  </si>
  <si>
    <t>Waxy Cell Cast Measurement</t>
  </si>
  <si>
    <t>CSWBC</t>
  </si>
  <si>
    <t>WBC Casts</t>
  </si>
  <si>
    <t>A measurement of the white blood cell casts present in a biological specimen.</t>
  </si>
  <si>
    <t>White Blood Cell Cast Measurement</t>
  </si>
  <si>
    <t>CTC</t>
  </si>
  <si>
    <t>Circulating Tumor Cells</t>
  </si>
  <si>
    <t>A measurement of the circulating tumor cells in a biological specimen.</t>
  </si>
  <si>
    <t>Circulating Tumor Cell Count</t>
  </si>
  <si>
    <t>CTCAPOP</t>
  </si>
  <si>
    <t>Circulating Tumor Cells, Apoptotic</t>
  </si>
  <si>
    <t>A measurement of the apoptotic circulating tumor cells in a biological specimen.</t>
  </si>
  <si>
    <t>Apoptotic Circulating Tumor Cell Count</t>
  </si>
  <si>
    <t>CTCHLMN</t>
  </si>
  <si>
    <t>Catecholamines</t>
  </si>
  <si>
    <t>A measurement of the total catecholamines in a biological specimen.</t>
  </si>
  <si>
    <t>Catecholamine Measurement</t>
  </si>
  <si>
    <t>CTCMLYS</t>
  </si>
  <si>
    <t>Cytotoxic T Cell-Mediated Cytolysis</t>
  </si>
  <si>
    <t>CTL-Mediated Cytolysis; Cytotoxic T Cell-Mediated Cytolysis; Cytotoxic T Lymphocyte-Mediated Cytolysis</t>
  </si>
  <si>
    <t>A measurement of the lysis of target cells mediated by cytotoxic T cells in a biological specimen.</t>
  </si>
  <si>
    <t>Cytotoxic T Cell-Mediated Cytolysis Assessment</t>
  </si>
  <si>
    <t>CTCTRAD</t>
  </si>
  <si>
    <t>Circulating Tumor Cells, Traditional</t>
  </si>
  <si>
    <t>A measurement of the traditional circulating tumor cells in a biological specimen.</t>
  </si>
  <si>
    <t>Traditional Circulating Tumor Cell Count</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</si>
  <si>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</si>
  <si>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</si>
  <si>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</si>
  <si>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</si>
  <si>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</si>
  <si>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CTLCREAT</t>
  </si>
  <si>
    <t>Citrulline/Creatinine</t>
  </si>
  <si>
    <t>A relative measurement (ratio or percentage) of the citrulline to creatinine in a biological specimen.</t>
  </si>
  <si>
    <t>Citrulline to Creatinine Ratio Measurement</t>
  </si>
  <si>
    <t>CTLPRM</t>
  </si>
  <si>
    <t>Citalopram</t>
  </si>
  <si>
    <t>A measurement of the citalopram present in a biological specimen.</t>
  </si>
  <si>
    <t>Citalopram Measurement</t>
  </si>
  <si>
    <t>CTLPRMD</t>
  </si>
  <si>
    <t>Desmethylcitalopram</t>
  </si>
  <si>
    <t>Desmethyl Citalopram; Desmethylcitalopram; Norcitalopram</t>
  </si>
  <si>
    <t>A measurement of the desmethylcitalopram in a biological specimen.</t>
  </si>
  <si>
    <t>Desmethylcitalopram Measurement</t>
  </si>
  <si>
    <t>CTLPRMDD</t>
  </si>
  <si>
    <t>Di-Desmethylcitalopram</t>
  </si>
  <si>
    <t>A measurement of the di-desmethylcitalopram in a biological specimen.</t>
  </si>
  <si>
    <t>Di-Desmethylcitalopram Measurement</t>
  </si>
  <si>
    <t>CTMDDIAM</t>
  </si>
  <si>
    <t>Count Median Diameter</t>
  </si>
  <si>
    <t>The median of the count distribution.</t>
  </si>
  <si>
    <t>CTNCH</t>
  </si>
  <si>
    <t>Creatine + Choline</t>
  </si>
  <si>
    <t>A measurement of the creatine plus choline in a biological specimen.</t>
  </si>
  <si>
    <t>Creatine and Choline Measurement</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</si>
  <si>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</si>
  <si>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</si>
  <si>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</si>
  <si>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</si>
  <si>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</si>
  <si>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CTNNOX</t>
  </si>
  <si>
    <t>Cotinine-N-Oxide</t>
  </si>
  <si>
    <t>Cotinine-N-Oxide; Cotinine-n-Oxide</t>
  </si>
  <si>
    <t>A measurement of the cotinine-N-oxide in a specimen.</t>
  </si>
  <si>
    <t>Cotinine-N-Oxide Measurement</t>
  </si>
  <si>
    <t>CTNPCTN</t>
  </si>
  <si>
    <t>Creatine+Phosphocreatine</t>
  </si>
  <si>
    <t>A measurement of the creatine plus phosphocreatine in a biological specimen.</t>
  </si>
  <si>
    <t>Creatine and Phosphocreatine Measurement</t>
  </si>
  <si>
    <t>CTOT</t>
  </si>
  <si>
    <t>Complement Total</t>
  </si>
  <si>
    <t>Complement Total; Total Hemolytic Complement</t>
  </si>
  <si>
    <t>A measurement of the total complement in a biological specimen.</t>
  </si>
  <si>
    <t>Complement Measurement</t>
  </si>
  <si>
    <t>CTPIND</t>
  </si>
  <si>
    <t>Chordae Tendineae Prolapse Indicator</t>
  </si>
  <si>
    <t>An indication as to whether there is prolapsing of a cardiac valve chordae tendinae.</t>
  </si>
  <si>
    <t>CTR</t>
  </si>
  <si>
    <t>Chlamydia trachomatis</t>
  </si>
  <si>
    <t>A measurement of the Chlamydia trachomatis in a biological specimen.</t>
  </si>
  <si>
    <t>Chlamydia trachomatis Measurement</t>
  </si>
  <si>
    <t>CTRAG</t>
  </si>
  <si>
    <t>Chlamydia trachomatis Antigen</t>
  </si>
  <si>
    <t>A measurement of the Chlamydia trachomatis antigen in a biological specimen.</t>
  </si>
  <si>
    <t>Chlamydia Trachomatis Antigen Measurement</t>
  </si>
  <si>
    <t>CTRDNA</t>
  </si>
  <si>
    <t>Chlamydia trachomatis DNA</t>
  </si>
  <si>
    <t>A measurement of the Chlamydia trachomatis DNA in a biological specimen.</t>
  </si>
  <si>
    <t>Chlamydia trachomatis DNA Measurement</t>
  </si>
  <si>
    <t>CTRRNA</t>
  </si>
  <si>
    <t>Chlamydia trachomatis RNA</t>
  </si>
  <si>
    <t>A measurement of the Chlamydia trachomatis RNA in a biological specimen.</t>
  </si>
  <si>
    <t>Chlamydia Trachomatis RNA Measurement</t>
  </si>
  <si>
    <t>CTRYDDTC</t>
  </si>
  <si>
    <t>Entry Date from Ptntl Cntry Disease Exp</t>
  </si>
  <si>
    <t>The date on which the subject arrived in the reporting country from the country of potential disease exposure.</t>
  </si>
  <si>
    <t>Entry Date from Country of Potential Disease Exposure</t>
  </si>
  <si>
    <t>CTRYDEXP</t>
  </si>
  <si>
    <t>Country of Potential Disease Exposure</t>
  </si>
  <si>
    <t>System of classification based on the nation in which an individual was exposed to a disease, regardless of the nation in which he/she currently resides.</t>
  </si>
  <si>
    <t>CTRYPAD</t>
  </si>
  <si>
    <t>Country of Permanent Address</t>
  </si>
  <si>
    <t>The country identified as the individual's permanent residence.</t>
  </si>
  <si>
    <t>CTSD</t>
  </si>
  <si>
    <t>Cathepsin D</t>
  </si>
  <si>
    <t>A measurement of the cathepsin D in a biological specimen.</t>
  </si>
  <si>
    <t>Cathepsin D Measurement</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</si>
  <si>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</si>
  <si>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</si>
  <si>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</si>
  <si>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</si>
  <si>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</si>
  <si>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CTXIB</t>
  </si>
  <si>
    <t>Type I Collagen C-Telopeptides Beta</t>
  </si>
  <si>
    <t>Beta Isomer of C-Terminal Telopeptide of Type I Collagen; Type I Collagen C-Telopeptides Beta</t>
  </si>
  <si>
    <t>A measurement of the beta isomer of type I collagen cross-linked C-telopeptides in a biological specimen.</t>
  </si>
  <si>
    <t>Beta Isomer of C-Terminal Telopeptide of Type I Collagen Measurement</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</si>
  <si>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</si>
  <si>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</si>
  <si>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</si>
  <si>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</si>
  <si>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</si>
  <si>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</si>
  <si>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</si>
  <si>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</si>
  <si>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</si>
  <si>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</si>
  <si>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</si>
  <si>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</si>
  <si>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</si>
  <si>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</si>
  <si>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</si>
  <si>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CUMEXP</t>
  </si>
  <si>
    <t>Cumulative Exposure</t>
  </si>
  <si>
    <t>The total amount that a subject is exposed to over time.</t>
  </si>
  <si>
    <t>CUPDISC</t>
  </si>
  <si>
    <t>Cup to Disc Ratio</t>
  </si>
  <si>
    <t>The ratio of the diameter of the optic cup compared to the diameter of the optic disc. (NCI)</t>
  </si>
  <si>
    <t>Optic Cup to Disc Ratio</t>
  </si>
  <si>
    <t>CURFETN</t>
  </si>
  <si>
    <t>Current Number of Fetuses</t>
  </si>
  <si>
    <t>The number of fetuses present in utero during a single pregnancy event at the time the question was asked.</t>
  </si>
  <si>
    <t>CURVBAC</t>
  </si>
  <si>
    <t>Curved Bacillus</t>
  </si>
  <si>
    <t>Curved Bacillus; Curved Rods</t>
  </si>
  <si>
    <t>A measurement of the curved rod-shaped bacillus in a biological specimen.</t>
  </si>
  <si>
    <t>Curved Bacillus Measurement</t>
  </si>
  <si>
    <t>TU</t>
  </si>
  <si>
    <t>CVLIND</t>
  </si>
  <si>
    <t>Cardiovascular Lesion Indicator</t>
  </si>
  <si>
    <t>An indication as to whether a cardiovascular lesion is present.</t>
  </si>
  <si>
    <t>CVLREGTS</t>
  </si>
  <si>
    <t>Cardiac Valvular Regurgitation Severity</t>
  </si>
  <si>
    <t>The qualitative measurement of the severity of cardiac valvular regurgitation.</t>
  </si>
  <si>
    <t>CVLSTNS</t>
  </si>
  <si>
    <t>Cardiac Valvular Stenosis Severity</t>
  </si>
  <si>
    <t>The qualitative measurement of the severity of cardiac valvular stenosis.</t>
  </si>
  <si>
    <t>CVRGIND</t>
  </si>
  <si>
    <t>Cardiac Valvular Regurgitation Indicator</t>
  </si>
  <si>
    <t>An indication as to whether a specific cardiac valve is regurgitant.</t>
  </si>
  <si>
    <t>CVRGJDR</t>
  </si>
  <si>
    <t>Cardiac Valve Regur Jet Direction</t>
  </si>
  <si>
    <t>Cardiac Valve Regur Jet Direction; Cardiac Valve Regurgitation Jet Direction</t>
  </si>
  <si>
    <t>The trajectory of the retrograde blood flow from a cardiac valve.</t>
  </si>
  <si>
    <t>Cardiac Valve Regurgitant Jet Direction</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</si>
  <si>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</si>
  <si>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</si>
  <si>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</si>
  <si>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</si>
  <si>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</si>
  <si>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CWMTYP</t>
  </si>
  <si>
    <t>Cardiac Wall Motion Type</t>
  </si>
  <si>
    <t>The assessment of the movement of the cardiac muscle, either as a whole or at one or more specific anatomical locations.</t>
  </si>
  <si>
    <t>CX3CL1</t>
  </si>
  <si>
    <t>Chemokine (C-X3-C Motif) Ligand 1</t>
  </si>
  <si>
    <t>Chemokine (C-X3-C motif) Ligand 1; Fractalkine; Neurotactin</t>
  </si>
  <si>
    <t>A measurement of the chemokine (C-X3-C motif) ligand 1 in a biological specimen.</t>
  </si>
  <si>
    <t>Chemokine (C-X3-C Motif) Ligand 1 Measurement</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</si>
  <si>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</si>
  <si>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</si>
  <si>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</si>
  <si>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</si>
  <si>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</si>
  <si>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</si>
  <si>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</si>
  <si>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</si>
  <si>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</si>
  <si>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</si>
  <si>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</si>
  <si>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</si>
  <si>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</si>
  <si>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</si>
  <si>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</si>
  <si>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</si>
  <si>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</si>
  <si>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</si>
  <si>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</si>
  <si>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</si>
  <si>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CXCL13</t>
  </si>
  <si>
    <t>Chemokine (C-X-C Motif) Ligand 13</t>
  </si>
  <si>
    <t>B Lymphocyte Chemoattractant; Chemokine (C-X-C Motif) Ligand 13</t>
  </si>
  <si>
    <t>A measurement of the CXCL13, chemokine (C-X-C motif) ligand 13, in a biological specimen.</t>
  </si>
  <si>
    <t>Chemokine (C-X-C Motif) Ligand 13 Measurement</t>
  </si>
  <si>
    <t>CXCL2</t>
  </si>
  <si>
    <t>Chemokine (C-X-C Motif) Ligand 2</t>
  </si>
  <si>
    <t>Chemokine (C-X-C Motif) Ligand 2; GRO Beta; GRO2; MIP2-Alpha</t>
  </si>
  <si>
    <t>A measurement of the CXCL2, chemokine (C-X-C motif) ligand 2, in a biological specimen.</t>
  </si>
  <si>
    <t>Chemokine (C-X-C Motif) Ligand 2 Measurement</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</si>
  <si>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</si>
  <si>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</si>
  <si>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</si>
  <si>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</si>
  <si>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</si>
  <si>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CXCL4</t>
  </si>
  <si>
    <t>Chemokine (C-X-C Motif) Ligand 4</t>
  </si>
  <si>
    <t>Chemokine (C-X-C Motif) Ligand 4; Oncostatin A; Platelet Factor 4; PLF4</t>
  </si>
  <si>
    <t>A measurement of the CXCL4, chemokine (C-X-C motif) ligand 4, in a biological specimen.</t>
  </si>
  <si>
    <t>Chemokine (C-X-C Motif) Ligand 4 Measurement</t>
  </si>
  <si>
    <t>CXCL6</t>
  </si>
  <si>
    <t>Chemokine (C-X-C Motif) Ligand 6</t>
  </si>
  <si>
    <t>Chemokine (C-X-C Motif) Ligand 6; GCP2; Granulocyte Chemotactic Protein 2</t>
  </si>
  <si>
    <t>A measurement of the CXCL6, chemokine (C-X-C motif) ligand 6, in a biological specimen.</t>
  </si>
  <si>
    <t>Chemokine (C-X-C Motif) Ligand 6 Measurement</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</si>
  <si>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</si>
  <si>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</si>
  <si>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</si>
  <si>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</si>
  <si>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</si>
  <si>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</si>
  <si>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</si>
  <si>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</si>
  <si>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</si>
  <si>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</si>
  <si>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CXCR3</t>
  </si>
  <si>
    <t>Chemokine (C-X-C Motif) Receptor 3</t>
  </si>
  <si>
    <t>Chemokine (C-X-C Motif) Receptor 3; CXCR3; GPR9; Soluble CD183</t>
  </si>
  <si>
    <t>A measurement of the CXCR3, chemokine (C-X-C motif) receptor 3, in a biological specimen.</t>
  </si>
  <si>
    <t>Chemokine Receptor CXCR3 Measurement</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</si>
  <si>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</si>
  <si>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</si>
  <si>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</si>
  <si>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</si>
  <si>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</si>
  <si>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</si>
  <si>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</si>
  <si>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</si>
  <si>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</si>
  <si>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</si>
  <si>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CYAMMOX</t>
  </si>
  <si>
    <t>Ammonium Oxalate Crystals</t>
  </si>
  <si>
    <t>A measurement of the ammonium oxalate crystals in a biological specimen.</t>
  </si>
  <si>
    <t>Ammonium Oxalate Crystal Measurement</t>
  </si>
  <si>
    <t>CYAMORPH</t>
  </si>
  <si>
    <t>Amorphous Crystals</t>
  </si>
  <si>
    <t>A measurement of the amorphous (Note: phosphate or urate, depending on pH) crystals present in a biological specimen.</t>
  </si>
  <si>
    <t>Amorphous Crystal Measurement</t>
  </si>
  <si>
    <t>CYAMPPH</t>
  </si>
  <si>
    <t>Amorphous Phosphate Crystals</t>
  </si>
  <si>
    <t>A measurement of the amorphous phosphate crystals in a biological specimen.</t>
  </si>
  <si>
    <t>Amorphous Phosphate Crystals Measurement</t>
  </si>
  <si>
    <t>CYAMPURT</t>
  </si>
  <si>
    <t>Amorphous Urate Crystals</t>
  </si>
  <si>
    <t>A measurement of the amorphous urate crystals in a biological specimen.</t>
  </si>
  <si>
    <t>Amorphous Urate Crystals Measurement</t>
  </si>
  <si>
    <t>CYANOBAC</t>
  </si>
  <si>
    <t>Cyanobacteria</t>
  </si>
  <si>
    <t>A measurement of the organisms that are not assigned to the species level but are assigned to the Cyanobacteria phylum level in a biological specimen.</t>
  </si>
  <si>
    <t>Cyanobacteria Measurement</t>
  </si>
  <si>
    <t>CYBILI</t>
  </si>
  <si>
    <t>Bilirubin Crystals</t>
  </si>
  <si>
    <t>A measurement of the bilirubin crystals present in a biological specimen.</t>
  </si>
  <si>
    <t>Bilirubin Crystal Measurement</t>
  </si>
  <si>
    <t>CYCACAR</t>
  </si>
  <si>
    <t>Calcium Carbonate Crystals</t>
  </si>
  <si>
    <t>A measurement of the calcium carbonate crystals present in a biological specimen.</t>
  </si>
  <si>
    <t>Calcium Carbonate Crystal Measurement</t>
  </si>
  <si>
    <t>CYCAOXA</t>
  </si>
  <si>
    <t>Calcium Oxalate Crystals</t>
  </si>
  <si>
    <t>A measurement of the calcium oxalate crystals present in a biological specimen.</t>
  </si>
  <si>
    <t>Calcium Oxalate Crystal Measurement</t>
  </si>
  <si>
    <t>CYCAPHOS</t>
  </si>
  <si>
    <t>Calcium Phosphate Crystals</t>
  </si>
  <si>
    <t>A measurement of the calcium phosphate crystals present in a biological specimen.</t>
  </si>
  <si>
    <t>Calcium Phosphate Crystal Measurement</t>
  </si>
  <si>
    <t>CYCASULF</t>
  </si>
  <si>
    <t>Calcium Sulfate Crystals</t>
  </si>
  <si>
    <t>A measurement of the calcium sulfate crystals present in a biological specimen.</t>
  </si>
  <si>
    <t>Calcium Sulfate Crystals Measurement</t>
  </si>
  <si>
    <t>CYCHOL</t>
  </si>
  <si>
    <t>Cholesterol Crystals</t>
  </si>
  <si>
    <t>A measurement of the cholesterol crystals present in a biological specimen.</t>
  </si>
  <si>
    <t>Cholesterol Crystal Measurement</t>
  </si>
  <si>
    <t>CYCHRLDN</t>
  </si>
  <si>
    <t>Charcot-Leyden Crystals</t>
  </si>
  <si>
    <t>Charcot Leyden Crystals; Charcot-Leyden Crystals; CLC; Galectin-10 Crystals</t>
  </si>
  <si>
    <t>A measurement of the Charcot-Leyden crystals present in a biological specimen.</t>
  </si>
  <si>
    <t>Charcot-Leyden Crystal Measurement</t>
  </si>
  <si>
    <t>CYCYSTIN</t>
  </si>
  <si>
    <t>Cystine Crystals</t>
  </si>
  <si>
    <t>A measurement of the cystine crystals present in a biological specimen.</t>
  </si>
  <si>
    <t>Cystine Crystal Measurement</t>
  </si>
  <si>
    <t>CYDCPHOS</t>
  </si>
  <si>
    <t>Dicalcium Phosphate Crystals</t>
  </si>
  <si>
    <t>A measurement of dicalcium phosphate crystals in a biological specimen.</t>
  </si>
  <si>
    <t>Dicalcium Phosphate Crystals Measurement</t>
  </si>
  <si>
    <t>CYDRUG</t>
  </si>
  <si>
    <t>Drug Crystals</t>
  </si>
  <si>
    <t>A measurement of the drug crystals in a biological specimen.</t>
  </si>
  <si>
    <t>Drug Crystal Measurement</t>
  </si>
  <si>
    <t>CYEMA2</t>
  </si>
  <si>
    <t>2-Cyanoethyl Mercapturic Acid</t>
  </si>
  <si>
    <t>2-Cyanoethmercapturate; 2-Cyanoethyl Mercapturic Acid; 2-Cyanoethylmercapturic Acid; CEMA</t>
  </si>
  <si>
    <t>A measurement of the 2-cyanoethyl mercapturic acid in a specimen.</t>
  </si>
  <si>
    <t>2-Cyanoethyl Mercapturic Acid Measurement</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</si>
  <si>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</si>
  <si>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</si>
  <si>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</si>
  <si>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</si>
  <si>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</si>
  <si>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CYFRA18</t>
  </si>
  <si>
    <t>Cytokeratin 18 Fragment</t>
  </si>
  <si>
    <t>A measurement of the cytokeratin 18 fragment in a biological specimen.</t>
  </si>
  <si>
    <t>Cytokeratin 18 Fragment Measurement</t>
  </si>
  <si>
    <t>CYFRA211</t>
  </si>
  <si>
    <t>Cytokeratin 19 Fragment 21-1</t>
  </si>
  <si>
    <t>CYFRA21-1; Cytokeratin 19 Fragment 21-1</t>
  </si>
  <si>
    <t>A measurement of the cytokeratin 19 fragment 21-1 in a biological specimen.</t>
  </si>
  <si>
    <t>Cytokeratin 19 Fragment 21-1 Measurement</t>
  </si>
  <si>
    <t>CYHGBC</t>
  </si>
  <si>
    <t>Hemoglobin C Crystals</t>
  </si>
  <si>
    <t>A measurement of hemoglobin C crystals in a biological specimen.</t>
  </si>
  <si>
    <t>Hemoglobin C Crystals Measurement</t>
  </si>
  <si>
    <t>CYHIPPAC</t>
  </si>
  <si>
    <t>Hippuric Acid Crystals</t>
  </si>
  <si>
    <t>Hippurate Crystals; Hippuric Acid Crystals</t>
  </si>
  <si>
    <t>A measurement of the hippuric acid crystals present in a biological specimen.</t>
  </si>
  <si>
    <t>Hippuric Acid Crystal Measurement</t>
  </si>
  <si>
    <t>CYKSCCL</t>
  </si>
  <si>
    <t>Cytokine-secreting Cells</t>
  </si>
  <si>
    <t>A measurement of the cytokine-secreting cells in a biological specimen.</t>
  </si>
  <si>
    <t>Cytokine-secreting Cells Measurement</t>
  </si>
  <si>
    <t>CYKSCTCL</t>
  </si>
  <si>
    <t>Cytokine-Secreting T Cells</t>
  </si>
  <si>
    <t>A measurement of the cytokine-secreting T lymphocytes in a biological specimen.</t>
  </si>
  <si>
    <t>Cytokine-Secreting T Lymphocyte Count</t>
  </si>
  <si>
    <t>CYLEUC</t>
  </si>
  <si>
    <t>Leucine Crystals</t>
  </si>
  <si>
    <t>A measurement of the leucine crystals present in a biological specimen.</t>
  </si>
  <si>
    <t>Leucine Crystal Measurement</t>
  </si>
  <si>
    <t>CYMSU</t>
  </si>
  <si>
    <t>Monosodium Urate Crystals</t>
  </si>
  <si>
    <t>Monosodium Urate Crystals; Sodium Urate Crystals</t>
  </si>
  <si>
    <t>A measurement of the monosodium urate crystals present in a biological specimen.</t>
  </si>
  <si>
    <t>Monosodium Urate Crystal Measurement</t>
  </si>
  <si>
    <t>CYP2A6</t>
  </si>
  <si>
    <t>Cytochrome P450 2A6</t>
  </si>
  <si>
    <t>A measurement of the cytochrome P450 2A6 enzyme in a specimen.</t>
  </si>
  <si>
    <t>Cytochrome P450 2A6 Measurement</t>
  </si>
  <si>
    <t>CYP2C9</t>
  </si>
  <si>
    <t>Cytochrome P450 2C9</t>
  </si>
  <si>
    <t>A measurement of the cytochrome P450 2C9 enzyme in a biological specimen.</t>
  </si>
  <si>
    <t>Cytochrome P450 2C9 Measurement</t>
  </si>
  <si>
    <t>CYPHOS</t>
  </si>
  <si>
    <t>Phosphate Crystals</t>
  </si>
  <si>
    <t>A measurement of the total phosphate crystals in a biological specimen.</t>
  </si>
  <si>
    <t>Phosphate Crystals Measurement</t>
  </si>
  <si>
    <t>CYSCREAT</t>
  </si>
  <si>
    <t>Cystatin C/Creatinine</t>
  </si>
  <si>
    <t>A relative measurement (ratio or percentage) of the cystatin C to creatinine present in a sample.</t>
  </si>
  <si>
    <t>Cystatin C to Creatinine Ratio Measurement</t>
  </si>
  <si>
    <t>CYSLTR1</t>
  </si>
  <si>
    <t>Cysteinyl Leukotriene Receptor 1</t>
  </si>
  <si>
    <t>CysLTR1; Cysteinyl Leukotriene Receptor 1</t>
  </si>
  <si>
    <t>A measurement of the cysteinyl leukotriene receptor 1 in a biological specimen.</t>
  </si>
  <si>
    <t>Cysteinyl Leukotriene Receptor 1 Measurement</t>
  </si>
  <si>
    <t>CYSTARCH</t>
  </si>
  <si>
    <t>Starch Crystals</t>
  </si>
  <si>
    <t>Starch Crystals; Starch Granules</t>
  </si>
  <si>
    <t>A measurement of the starch crystals in a biological specimen.</t>
  </si>
  <si>
    <t>Starch Crystal Measurement</t>
  </si>
  <si>
    <t>CYSTATB</t>
  </si>
  <si>
    <t>Cystatin B</t>
  </si>
  <si>
    <t>CPI-B; Cystatin B</t>
  </si>
  <si>
    <t>A measurement of the cystatin B in a biological specimen.</t>
  </si>
  <si>
    <t>Cystatin B Measurement</t>
  </si>
  <si>
    <t>CYSTATC</t>
  </si>
  <si>
    <t>Cystatin C</t>
  </si>
  <si>
    <t>A measurement of the cystatin C in a biological specimen.</t>
  </si>
  <si>
    <t>Cystatin C Measurement</t>
  </si>
  <si>
    <t>CYSTEINE</t>
  </si>
  <si>
    <t>Cysteine</t>
  </si>
  <si>
    <t>A measurement of the cysteine in a biological specimen.</t>
  </si>
  <si>
    <t>Cysteine Measurement</t>
  </si>
  <si>
    <t>CYSTHION</t>
  </si>
  <si>
    <t>Cystathionine</t>
  </si>
  <si>
    <t>A measurement of the cystathionine in a biological specimen.</t>
  </si>
  <si>
    <t>Cystathionine Measurement</t>
  </si>
  <si>
    <t>CYSTINE</t>
  </si>
  <si>
    <t>Cystine</t>
  </si>
  <si>
    <t>A measurement of the cystine in a biological specimen.</t>
  </si>
  <si>
    <t>Cystine Measurement</t>
  </si>
  <si>
    <t>CYSULFA</t>
  </si>
  <si>
    <t>Sulfa Crystals</t>
  </si>
  <si>
    <t>Sulfa Crystals; Sulfonamide Crystals</t>
  </si>
  <si>
    <t>A measurement of the sulfa crystals present in a biological specimen.</t>
  </si>
  <si>
    <t>Sulfa Crystal Measurement</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</si>
  <si>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</si>
  <si>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</si>
  <si>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</si>
  <si>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</si>
  <si>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</si>
  <si>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CYTYRO</t>
  </si>
  <si>
    <t>Tyrosine Crystals</t>
  </si>
  <si>
    <t>A measurement of the tyrosine crystals present in a biological specimen.</t>
  </si>
  <si>
    <t>Tyrosine Crystal Measurement</t>
  </si>
  <si>
    <t>CYUNCLA</t>
  </si>
  <si>
    <t>Unclassified Crystals</t>
  </si>
  <si>
    <t>A measurement of the unclassifiable crystals present in a biological specimen.</t>
  </si>
  <si>
    <t>Unclassified Crystal Measurement</t>
  </si>
  <si>
    <t>CYURIAC</t>
  </si>
  <si>
    <t>Uric Acid Crystals</t>
  </si>
  <si>
    <t>A measurement of the uric acid crystals (including acid urate and urate crystals) present in a biological specimen.</t>
  </si>
  <si>
    <t>Uric Acid Crystal Measurement</t>
  </si>
  <si>
    <t>DACARO</t>
  </si>
  <si>
    <t>Dietary Alpha Carotene</t>
  </si>
  <si>
    <t>A determination of the alpha carotene in a nutritional product or meal, or a portion thereof.</t>
  </si>
  <si>
    <t>Dietary Alpha Carotene Measurement</t>
  </si>
  <si>
    <t>DACT</t>
  </si>
  <si>
    <t>Diacetyl</t>
  </si>
  <si>
    <t>A measurement of the diacetyl in a specimen.</t>
  </si>
  <si>
    <t>Diacetyl Measurement</t>
  </si>
  <si>
    <t>DADDSUG</t>
  </si>
  <si>
    <t>Dietary Added Sugar</t>
  </si>
  <si>
    <t>A determination of the total added sugars in a nutritional product or meal, or a portion thereof.</t>
  </si>
  <si>
    <t>Dietary Added Sugar Measurement</t>
  </si>
  <si>
    <t>DALA</t>
  </si>
  <si>
    <t>Delta Aminolevulinate</t>
  </si>
  <si>
    <t>5-Aminolevulinic Acid; 5ALA; dALA; Delta Aminolevulinate; Delta Aminolevulinic Acid</t>
  </si>
  <si>
    <t>A measurement of the delta aminolevulinic acid in a biological specimen.</t>
  </si>
  <si>
    <t>Delta Aminolevulinate Measurement</t>
  </si>
  <si>
    <t>DALACRT</t>
  </si>
  <si>
    <t>Delta Aminolevulinate/Creatinine</t>
  </si>
  <si>
    <t>A relative measurement (ratio or percentage) of the delta aminolevulinate to creatinine in a biological specimen.</t>
  </si>
  <si>
    <t>Delta Aminolevulinate to Creatinine Ratio Measurement</t>
  </si>
  <si>
    <t>DALCOHOL</t>
  </si>
  <si>
    <t>Dietary Alcohol</t>
  </si>
  <si>
    <t>Dietary Alcohol; Dietary Ethanol</t>
  </si>
  <si>
    <t>A determination of the total amount of alcohol in a nutritional product or meal, or a portion thereof.</t>
  </si>
  <si>
    <t>Dietary Alcohol Measurement</t>
  </si>
  <si>
    <t>DARAC</t>
  </si>
  <si>
    <t>Dietary Arachidonic Acid</t>
  </si>
  <si>
    <t>Dietary 20:4 Arachidonate; Dietary 20:4 Arachidonic Acid; Dietary Arachidonic Acid</t>
  </si>
  <si>
    <t>A determination of the total 20:4 arachidonic acid in a nutritional product or meal, or a portion thereof.</t>
  </si>
  <si>
    <t>Dietary Arachidonic Acid Measurement</t>
  </si>
  <si>
    <t>DATOCO</t>
  </si>
  <si>
    <t>Dietary Alpha Tocopherol</t>
  </si>
  <si>
    <t>A determination of the alpha tocopherol in a nutritional product or meal, or a portion thereof.</t>
  </si>
  <si>
    <t>Dietary Alpha Tocopherol Measurement</t>
  </si>
  <si>
    <t>DAVITB12</t>
  </si>
  <si>
    <t>Dietary Added Vitamin B12</t>
  </si>
  <si>
    <t>A determination of the total added vitamin B12 in a nutritional product or meal, or a portion thereof.</t>
  </si>
  <si>
    <t>Dietary Added Vitamin B12 Measurement</t>
  </si>
  <si>
    <t>DAVITE</t>
  </si>
  <si>
    <t>Dietary Added Vitamin E</t>
  </si>
  <si>
    <t>A determination of the total added vitamin E in a nutritional product or meal, or a portion thereof.</t>
  </si>
  <si>
    <t>Dietary Added Vitamin E Measurement</t>
  </si>
  <si>
    <t>DAYCRIND</t>
  </si>
  <si>
    <t>Daycare Indicator</t>
  </si>
  <si>
    <t>Day Care Indicator; Daycare Indicator</t>
  </si>
  <si>
    <t>An indication as to whether the individual is enrolled at a daycare facility.</t>
  </si>
  <si>
    <t>Enrolled in Daycare Indicator</t>
  </si>
  <si>
    <t>DBCARO</t>
  </si>
  <si>
    <t>Dietary Beta Carotene</t>
  </si>
  <si>
    <t>A determination of the beta carotene in a nutritional product or meal, or a portion thereof.</t>
  </si>
  <si>
    <t>Dietary Beta Carotene Measurement</t>
  </si>
  <si>
    <t>DBEANPEA</t>
  </si>
  <si>
    <t>Dietary Beans and Peas</t>
  </si>
  <si>
    <t>A determination of the total beans and peas in a nutritional product or meal, or a portion thereof.</t>
  </si>
  <si>
    <t>Dietary Beans and Peas Measurement</t>
  </si>
  <si>
    <t>DBMACEGR</t>
  </si>
  <si>
    <t>Diabetic Macular Edema Grade</t>
  </si>
  <si>
    <t>The position on a scale to assess diabetic macular edema.</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</si>
  <si>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</si>
  <si>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</si>
  <si>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</si>
  <si>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</si>
  <si>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</si>
  <si>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</si>
  <si>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</si>
  <si>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</si>
  <si>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</si>
  <si>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</si>
  <si>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DBRETGR</t>
  </si>
  <si>
    <t>Diabetic Retinopathy Grade</t>
  </si>
  <si>
    <t>The position on a scale to assess diabetic retinopathy.</t>
  </si>
  <si>
    <t>DBUTR</t>
  </si>
  <si>
    <t>Dietary Butyric Acid</t>
  </si>
  <si>
    <t>Dietary 4:0 Butyrate; Dietary 4:0 Butyric Acid; Dietary Butyric Acid</t>
  </si>
  <si>
    <t>A determination of the total 4:0 butyric acid in a nutritional product or meal, or a portion thereof.</t>
  </si>
  <si>
    <t>Dietary Butyric Acid Measurement</t>
  </si>
  <si>
    <t>DBZAEPYR</t>
  </si>
  <si>
    <t>Dibenzo[a,e]pyrene</t>
  </si>
  <si>
    <t>Dibenz(a,e)pyrene; Dibenz[a,e]pyrene; Dibenzo(a,e)pyrene; Dibenzo[a,e]pyrene</t>
  </si>
  <si>
    <t>A measurement of the dibenzo[a,e]pyrene in a specimen.</t>
  </si>
  <si>
    <t>Dibenzo[a,e]pyrene Measurement</t>
  </si>
  <si>
    <t>DBZAHATC</t>
  </si>
  <si>
    <t>Dibenzo[a,h]anthracene</t>
  </si>
  <si>
    <t>Dibenz(a,h)anthracene; Dibenz[a,h]anthracene; Dibenzo(a,h)anthracene; Dibenzo[a,h]anthracene</t>
  </si>
  <si>
    <t>A measurement of the dibenzo[a,h]anthracene in a specimen.</t>
  </si>
  <si>
    <t>Dibenzo[a,h]anthracene Measurement</t>
  </si>
  <si>
    <t>DBZAHPYR</t>
  </si>
  <si>
    <t>Dibenzo[a,h]pyrene</t>
  </si>
  <si>
    <t>Dibenz(a,h)pyrene; Dibenz[a,h]pyrene; Dibenzo(a,h)pyrene; Dibenzo[a,h]pyrene</t>
  </si>
  <si>
    <t>A measurement of the dibenzo[a,h]pyrene in a specimen.</t>
  </si>
  <si>
    <t>Dibenzo[a,h]pyrene Measurement</t>
  </si>
  <si>
    <t>DBZAIPYR</t>
  </si>
  <si>
    <t>Dibenzo[a,i]pyrene</t>
  </si>
  <si>
    <t>Dibenz(a,i)pyrene; Dibenz[a,i]pyrene; Dibenzo(a,i)pyrene; Dibenzo[a,i]pyrene</t>
  </si>
  <si>
    <t>A measurement of the dibenzo[a,i]pyrene in a specimen.</t>
  </si>
  <si>
    <t>Dibenzo[a,i]pyrene Measurement</t>
  </si>
  <si>
    <t>DBZALPYR</t>
  </si>
  <si>
    <t>Dibenzo[a,l]pyrene</t>
  </si>
  <si>
    <t>Dibenz(a,l)pyrene; Dibenz[a,l]pyrene; Dibenzo(a,l)pyrene; Dibenzo[a,l]pyrene</t>
  </si>
  <si>
    <t>A measurement of the dibenzo[a,l]pyrene in a specimen.</t>
  </si>
  <si>
    <t>Dibenzo[a,l]pyrene Measurement</t>
  </si>
  <si>
    <t>DC</t>
  </si>
  <si>
    <t>Dendritic Cells</t>
  </si>
  <si>
    <t>DC; Dendritic Cells</t>
  </si>
  <si>
    <t>A measurement of the dendritic cells in a biological specimen.</t>
  </si>
  <si>
    <t>Dendritic Cells Count</t>
  </si>
  <si>
    <t>DCA</t>
  </si>
  <si>
    <t>Dietary Calcium</t>
  </si>
  <si>
    <t>A determination of the total calcium in a nutritional product or meal, or a portion thereof.</t>
  </si>
  <si>
    <t>Dietary Calcium Measurement</t>
  </si>
  <si>
    <t>Deoxycholate</t>
  </si>
  <si>
    <t>Deoxycholate; Deoxycholic Acid</t>
  </si>
  <si>
    <t>A measurement of the deoxycholate in a biological specimen.</t>
  </si>
  <si>
    <t>Deoxycholate Measurement</t>
  </si>
  <si>
    <t>DCAFFEIN</t>
  </si>
  <si>
    <t>Dietary Caffeine</t>
  </si>
  <si>
    <t>A determination of the caffeine in a nutritional product or meal, or a portion thereof.</t>
  </si>
  <si>
    <t>Dietary Caffeine Measurement</t>
  </si>
  <si>
    <t>DCAL</t>
  </si>
  <si>
    <t>Dietary Calories</t>
  </si>
  <si>
    <t>A determination of the total dietary calories in a nutritional product or meal, or a portion thereof.</t>
  </si>
  <si>
    <t>Dietary Calories Measurement</t>
  </si>
  <si>
    <t>DCAPO</t>
  </si>
  <si>
    <t>Dietary Caproic Acid</t>
  </si>
  <si>
    <t>Dietary 6:0 Caproate; Dietary 6:0 Caproic Acid; Dietary Caproic Acid</t>
  </si>
  <si>
    <t>A determination of the total 6:0 caproic acid in a nutritional product or meal, or a portion thereof.</t>
  </si>
  <si>
    <t>Dietary Caproic Acid Measurement</t>
  </si>
  <si>
    <t>DCAPR</t>
  </si>
  <si>
    <t>Dietary Capric Acid</t>
  </si>
  <si>
    <t>Dietary 10:0 Caprate; Dietary 10:0 Capric Acid; Dietary Capric Acid</t>
  </si>
  <si>
    <t>A determination of the total 10:0 capric acid in a nutritional product or meal, or a portion thereof.</t>
  </si>
  <si>
    <t>Dietary Capric Acid Measurement</t>
  </si>
  <si>
    <t>DCAPY</t>
  </si>
  <si>
    <t>Dietary Caprylic Acid</t>
  </si>
  <si>
    <t>Dietary 8:0 Caprylate; Dietary 8:0 Caprylic Acid; Dietary Caprylic Acid</t>
  </si>
  <si>
    <t>A determination of the total 8:0 caprylic acid in a nutritional product or meal, or a portion thereof.</t>
  </si>
  <si>
    <t>Dietary Caprylic Acid Measurement</t>
  </si>
  <si>
    <t>DCARBT</t>
  </si>
  <si>
    <t>Dietary Total Carbohydrate</t>
  </si>
  <si>
    <t>A determination of the total carbohydrate in a nutritional product or meal, or a portion thereof.</t>
  </si>
  <si>
    <t>Total Dietary Carbohydrate Measurement</t>
  </si>
  <si>
    <t>DCCARNIT</t>
  </si>
  <si>
    <t>Decanoylcarnitine</t>
  </si>
  <si>
    <t>C10; Decanoylcarnitine</t>
  </si>
  <si>
    <t>A measurement of the decanoylcarnitine in a biological specimen.</t>
  </si>
  <si>
    <t>Decanoylcarnitine Measurement</t>
  </si>
  <si>
    <t>DCCE</t>
  </si>
  <si>
    <t>Dendritic Cells/Total Cells</t>
  </si>
  <si>
    <t>A relative measurement (ratio or percentage) of the dendritic cells to total cells in a biological specimen.</t>
  </si>
  <si>
    <t>Dendritic Cells to Total Cells Ratio Measurement</t>
  </si>
  <si>
    <t>DCDEPIND</t>
  </si>
  <si>
    <t>Unable to Discon Dependent Indicator</t>
  </si>
  <si>
    <t>Unable to Discon Dependent Indicator; Unable to Discontinue Dependent Indicator</t>
  </si>
  <si>
    <t>An indication as to whether an individual is unable to discontinue the use of a substance due to dependence.</t>
  </si>
  <si>
    <t>Unable to Discontinue Use Due to Dependence Indicator</t>
  </si>
  <si>
    <t>DCHEESE</t>
  </si>
  <si>
    <t>Dietary Cheese</t>
  </si>
  <si>
    <t>A determination of the total cheese in a nutritional product or meal, or a portion thereof.</t>
  </si>
  <si>
    <t>Dietary Cheese Measurement</t>
  </si>
  <si>
    <t>DCHOLEST</t>
  </si>
  <si>
    <t>Dietary Cholesterol</t>
  </si>
  <si>
    <t>A determination of the total cholesterol in a nutritional product or meal, or a portion thereof.</t>
  </si>
  <si>
    <t>Dietary Cholesterol Measurement</t>
  </si>
  <si>
    <t>DCHOLINE</t>
  </si>
  <si>
    <t>Dietary Choline</t>
  </si>
  <si>
    <t>A determination of the choline in a nutritional product or meal, or a portion thereof.</t>
  </si>
  <si>
    <t>Dietary Choline Measurement</t>
  </si>
  <si>
    <t>DCITMELB</t>
  </si>
  <si>
    <t>Dietary Citrus, Melons, and Berries</t>
  </si>
  <si>
    <t>A determination of the total citrus, melons, and berries in a nutritional product or meal, or a portion thereof.</t>
  </si>
  <si>
    <t>Dietary Citrus, Melons, and Berries Measurement</t>
  </si>
  <si>
    <t>DCLE</t>
  </si>
  <si>
    <t>DC/Leuk</t>
  </si>
  <si>
    <t>DC/Leuk; Dendritic Cells/Leukocytes</t>
  </si>
  <si>
    <t>A relative measurement (ratio or percentage) of dendritic cells to leukocytes in a biological specimen.</t>
  </si>
  <si>
    <t>Dendritic Cell to Leukocyte Ratio Measurement</t>
  </si>
  <si>
    <t>DCLYMONO</t>
  </si>
  <si>
    <t>Dendritic Cells/Lym+Mono</t>
  </si>
  <si>
    <t>Dendritic Cells/Lym+Mono; Dendritic Cells/Lymphocytes and Monocytes</t>
  </si>
  <si>
    <t>A relative measurement (ratio or percentage) of the dendritic cells to lymphocytes and monocytes in a biological specimen.</t>
  </si>
  <si>
    <t>Dendritic Cells to Lymphocytes and Monocytes Ratio Measurement</t>
  </si>
  <si>
    <t>DCM</t>
  </si>
  <si>
    <t>DC Myeloid</t>
  </si>
  <si>
    <t>cDC; Conventional DC; DC Myeloid; Dendritic Cells Myeloid; mDC</t>
  </si>
  <si>
    <t>A measurement of the myeloid dendritic cells in a biological specimen.</t>
  </si>
  <si>
    <t>Myeloid Dendritic Cell Count</t>
  </si>
  <si>
    <t>DCM1</t>
  </si>
  <si>
    <t>DC Myeloid 1</t>
  </si>
  <si>
    <t>cDC1; Classical DC Type 1; Conventional DC Type 1; DC Myeloid 1; DC Myeloid Type 1; Dendritic Cells Myeloid 1; mDC1</t>
  </si>
  <si>
    <t>A measurement of the type 1 myeloid dendritic cells in a biological specimen.</t>
  </si>
  <si>
    <t>Type 1 Myeloid Dendritic Cell Count</t>
  </si>
  <si>
    <t>DCM1DCM</t>
  </si>
  <si>
    <t>DC Myeloid 1/DCM</t>
  </si>
  <si>
    <t>cDC1/cDC; Classical DC Type 1/Classical DC; Conventional DC Type 1/Conventional DC; DC Myeloid 1/DC Myeloid; DC Myeloid 1/DCM; mDC1/mDC</t>
  </si>
  <si>
    <t>A relative measurement (ratio or percentage) of the type 1 myeloid dendritic cells to total myeloid dendritic cells in a biological specimen.</t>
  </si>
  <si>
    <t>Type 1 Myeloid Dendritic Cell to Total Myeloid Dendritic Cell Ratio Measurement</t>
  </si>
  <si>
    <t>DCM1LE</t>
  </si>
  <si>
    <t>DC Myeloid 1/Leuk</t>
  </si>
  <si>
    <t>cDC1/Leukocytes; Classical DC Type 1/Leukocytes; Conventional DC Type 1/Leukocytes; DC Myeloid 1/Leuk; DC Myeloid 1/Leukocytes; mDC1/Leukocytes</t>
  </si>
  <si>
    <t>A relative measurement (ratio or percentage) of the type 1 myeloid dendritic cells to leukocytes in a biological specimen.</t>
  </si>
  <si>
    <t>Type 1 Myeloid Dendritic Cell to Leukocyte Ratio Measurement</t>
  </si>
  <si>
    <t>DCM1S</t>
  </si>
  <si>
    <t>DC Myeloid 1 Sub</t>
  </si>
  <si>
    <t>cDC1 Sub-Population; Classical DC Type 1 Sub-Population; Conventional DC Type 1 Sub-Population; DC Myeloid 1 Sub; Dendritic Cells Myeloid 1 Sub-Population; mDC1 Sub-Population</t>
  </si>
  <si>
    <t>A measurement of a sub-population of type 1 myeloid dendritic cells in a biological specimen.</t>
  </si>
  <si>
    <t>Type 1 Myeloid Dendritic Cell Subpopulation Count</t>
  </si>
  <si>
    <t>DCM1SDCM</t>
  </si>
  <si>
    <t>DC Myeloid 1 Sub/DCM</t>
  </si>
  <si>
    <t>cDC1 Sub-Population/cDC; Classical DC Type 1 Sub-Population/Classical DC; Conventional DC Type 1 Sub-Population/Conventional DC; DC Myeloid 1 Sub/DCM; Dendritic Cells Myeloid 1 Sub-Population/Dendritic Cells Myeloid; mDC1 Sub-Population/mDC</t>
  </si>
  <si>
    <t>A relative measurement (ratio or percentage) of a sub-population of type 1 myeloid dendritic cells to total myeloid dendritic cells in a biological specimen.</t>
  </si>
  <si>
    <t>Type 1 Myeloid Dendritic Cell Subpopulation to Total Myeloid Dendritic Cell Ratio Measurement</t>
  </si>
  <si>
    <t>DCM1SP</t>
  </si>
  <si>
    <t>DC Myeloid 1 Sub/DC Myeloid 1</t>
  </si>
  <si>
    <t>Classical DC Type 1 Sub-Population/Classical DC Type 1; Conventional DC Type 1 Sub-Population/Conventional DC Type 1; DC Myeloid 1 Sub-Population/DC Myeloid 1; DC Myeloid 1 Sub/DC Myeloid 1; DC Myeloid 1 Sub/DCM1; mDC1 Sub/mDC1; DC Myeloid 1 Sub/DC Myeloi</t>
  </si>
  <si>
    <t>A relative measurement (ratio or percentage) of a sub-population of the type 1 myeloid dendritic cells to total type 1 myeloid dendritic cells in a biological specimen.</t>
  </si>
  <si>
    <t>Type 1 Myeloid Dendritic Cell Subpopulation to Type 1 Myeloid Dendritic Cell Ratio Measurement</t>
  </si>
  <si>
    <t>DCM2</t>
  </si>
  <si>
    <t>DC Myeloid 2</t>
  </si>
  <si>
    <t>cDC2; Classical DC Type 2; Conventional DC Type 2; DC Myeloid 2; DC Myeloid Type 2; Dendritic Cells Myeloid 2; mDC2</t>
  </si>
  <si>
    <t>A measurement of the type 2 myeloid dendritic cells in a biological specimen.</t>
  </si>
  <si>
    <t>Type 2 Myeloid Dendritic Cell Count</t>
  </si>
  <si>
    <t>DCM2DCM</t>
  </si>
  <si>
    <t>DC Myeloid 2/DCM</t>
  </si>
  <si>
    <t>cDC2/cDC; Classical DC Type 2/Classical DC; Conventional DC Type 2/Conventional DC; DC Myeloid 2/DC Myeloid; DC Myeloid 2/DCM; mDC2/mDC</t>
  </si>
  <si>
    <t>A relative measurement (ratio or percentage) of the type 2 myeloid dendritic cells to total myeloid dendritic cells in a biological specimen.</t>
  </si>
  <si>
    <t>Type 2 Myeloid Dendritic Cell to Total Myeloid Dendritic Cell Ratio Measurement</t>
  </si>
  <si>
    <t>DCM2LE</t>
  </si>
  <si>
    <t>DC Myeloid 2/Leuk</t>
  </si>
  <si>
    <t>cDC2/Leukocytes; Classical DC Type 2/Leukocytes; Conventional DC Type 2/Leukocytes; DC Myeloid 2/Leuk; DC Myeloid 2/Leukocytes; mDC2/Leukocytes</t>
  </si>
  <si>
    <t>A relative measurement (ratio or percentage) of the type 2 myeloid dendritic cells to leukocytes in a biological specimen.</t>
  </si>
  <si>
    <t>Type 2 Myeloid Dendritic Cell to Leukocyte Ratio Measurement</t>
  </si>
  <si>
    <t>DCM2S</t>
  </si>
  <si>
    <t>DC Myeloid 2 Sub</t>
  </si>
  <si>
    <t>cDC2 Sub-Population; Classical DC Type 2 Sub-Population; Conventional DC Type 2 Sub-Population; DC Myeloid 2 Sub; Dendritic Cells Myeloid 2 Sub-Population; mDC2 Sub-Population</t>
  </si>
  <si>
    <t>A measurement of a sub-population of type 2 myeloid dendritic cells in a biological specimen.</t>
  </si>
  <si>
    <t>Type 2 Myeloid Dendritic Cell Subpopulation Count</t>
  </si>
  <si>
    <t>DCM2SDCM</t>
  </si>
  <si>
    <t>DC Myeloid 2 Sub/DCM</t>
  </si>
  <si>
    <t>cDC2 Sub-Population/cDC; Classical DC Type 2 Sub-Population/Classical DC; Conventional DC Type 2 Sub-Population/Conventional DC; DC Myeloid 2 Sub/DCM; Dendritic Cells Myeloid 2 Sub-Population/Dendritic Cells Myeloid; mDC2 Sub-Population/mDC</t>
  </si>
  <si>
    <t>A relative measurement (ratio or percentage) of a sub-population of type 2 myeloid dendritic cells to total myeloid dendritic cells in a biological specimen.</t>
  </si>
  <si>
    <t>Type 2 Myeloid Dendritic Cell Subpopulation to Total Myeloid Dendritic Cell Ratio Measurement</t>
  </si>
  <si>
    <t>DCM2SP</t>
  </si>
  <si>
    <t>DC Myeloid 2 Sub/DC Myeloid 2</t>
  </si>
  <si>
    <t>Classical DC Type 2 Sub-Population/Classical DC Type 2; Conventional DC Type 2 Sub-Population/Conventional DC Type 2; DC Myeloid 2 Sub-Population/DC Myeloid 2; DC Myeloid 2 Sub/DC Myeloid 2; DC Myeloid 2 Sub/DCM2; mDC2 Sub/mDC2</t>
  </si>
  <si>
    <t>A relative measurement (ratio or percentage) of a sub-population of the type 2 myeloid dendritic cells to total type 2 myeloid dendritic cells in a biological specimen.</t>
  </si>
  <si>
    <t>Type 2 Myeloid Dendritic Cell Subpopulation to Type 2 Myeloid Dendritic Cell Ratio Measurement</t>
  </si>
  <si>
    <t>DCM3</t>
  </si>
  <si>
    <t>DC Myeloid 3</t>
  </si>
  <si>
    <t>cDC3; Classical DC Type 3; Conventional DC Type 3; DC Myeloid 3; DC Myeloid Type 3; Dendritic Cells Myeloid 3; mDC3</t>
  </si>
  <si>
    <t>A measurement of the type 3 myeloid dendritic cells in a biological specimen.</t>
  </si>
  <si>
    <t>Type 3 Myeloid Dendritic Cell Count</t>
  </si>
  <si>
    <t>DCM3LE</t>
  </si>
  <si>
    <t>DC Myeloid 3/Leuk</t>
  </si>
  <si>
    <t>cDC3/Leukocytes; Classical DC Type 3/Leukocytes; Conventional DC Type 3/Leukocytes; DC Myeloid 3/Leuk; DC Myeloid 3/Leukocytes; mDC3/Leukocytes</t>
  </si>
  <si>
    <t>A relative measurement (ratio or percentage) of the type 3 myeloid dendritic cells to total leukocytes in a biological specimen.</t>
  </si>
  <si>
    <t>Type 3 Myeloid Dendritic Cell to Leukocyte Ratio Measurement</t>
  </si>
  <si>
    <t>DCM3SP</t>
  </si>
  <si>
    <t>DC Myeloid 3 Sub/DC Myeloid 3</t>
  </si>
  <si>
    <t>Classical DC Type 3 Sub-Population/Classical DC Type 3; Conventional DC Type 3 Sub-Population/Conventional DC Type 3; DC Myeloid 3 Sub-Population/DC Myeloid 3; DC Myeloid 3 Sub/DC Myeloid 3; mDC3 Sub/mDC3</t>
  </si>
  <si>
    <t>A relative measurement (ratio or percentage) of a sub-population of type 3 myeloid dendritic cells to type 3 myeloid dendritic cells in a biological specimen.</t>
  </si>
  <si>
    <t>Type 3 Myeloid Dendritic Cell Subpopulation to Type 3 Myeloid Dendritic Cell Ratio Measurement</t>
  </si>
  <si>
    <t>DCM4</t>
  </si>
  <si>
    <t>DC Myeloid 4</t>
  </si>
  <si>
    <t>cDC4; Classical DC Type 4; Conventional DC Type 4; DC Myeloid 4; DC Myeloid Type 4; endritic Cells Myeloid 4; mDC4</t>
  </si>
  <si>
    <t>A measurement of the type 4 myeloid dendritic cells in a biological specimen.</t>
  </si>
  <si>
    <t>Type 4 Myeloid Dendritic Cell Count</t>
  </si>
  <si>
    <t>DCM4LE</t>
  </si>
  <si>
    <t>DC Myeloid 4/Leuk</t>
  </si>
  <si>
    <t>cDC4/Leukocytes; Classical DC Type 4/Leukocytes; Conventional DC Type 4/Leukocytes; DC Myeloid 4/Leuk; DC Myeloid 4/Leukocytes; mDC4/Leukocytes</t>
  </si>
  <si>
    <t>A relative measurement (ratio or percentage) of the type 4 myeloid dendritic cells to total leukocytes in a biological specimen.</t>
  </si>
  <si>
    <t>Type 4 Myeloid Dendritic Cell to Leukocyte Ratio Measurement</t>
  </si>
  <si>
    <t>DCM4SP</t>
  </si>
  <si>
    <t>DC Myeloid 4 Sub/DC Myeloid 4</t>
  </si>
  <si>
    <t>Classical DC Type 4 Sub-Population/Classical DC Type 4; Conventional DC Type 4 Sub-Population/Conventional DC Type 4; DC Myeloid 4 Sub-Population/DC Myeloid 4; DC Myeloid 4 Sub/DC Myeloid 4; mDC4 Sub/mDC4</t>
  </si>
  <si>
    <t>A relative measurement (ratio or percentage) of a sub-population of type 4 myeloid dendritic cells to type 4 myeloid dendritic cells in a biological specimen.</t>
  </si>
  <si>
    <t>Type 4 Myeloid Dendritic Cell Subpopulation to Type 4 Myeloid Dendritic Cell Ratio Measurement</t>
  </si>
  <si>
    <t>DCMDN</t>
  </si>
  <si>
    <t>DC Myeloid Dbl Neg</t>
  </si>
  <si>
    <t>DC Myeloid Dbl Neg; DC Myeloid Double Negative; Dendritic Cells Myeloid Double Negative; mDC DN</t>
  </si>
  <si>
    <t>A measurement of the double-negative myeloid dendritic cells (any myeloid dendritic cell that is both CD1c-CD141-) in a biological specimen.</t>
  </si>
  <si>
    <t>Double-Negative Myeloid Dendritic Cell Count</t>
  </si>
  <si>
    <t>DCMDNDCM</t>
  </si>
  <si>
    <t>DC Myeloid Dbl Neg/DC Myeloid</t>
  </si>
  <si>
    <t>DC Myeloid Dbl Neg/DC Myeloid; Dendritic Cells Myeloid Double Negative/ Dendritic Cells Myeloid; mDC DN/mDC</t>
  </si>
  <si>
    <t>A relative measurement (ratio or percentage) of the double negative myeloid dendritic cells to total myeloid dendritic cells in a biological specimen.</t>
  </si>
  <si>
    <t>Double-Negative Myeloid Dendritic Cell to Myeloid Dendritic Cell Ratio Measurement</t>
  </si>
  <si>
    <t>DCMLE</t>
  </si>
  <si>
    <t>DC Myeloid/Leuk</t>
  </si>
  <si>
    <t>cDC/Leukocytes; Classical DC/Leukocytes; Conventional DC/Leukocytes; DC Myeloid/Leuk; DC Myeloid/Leukocytes; mDC/Leukocytes</t>
  </si>
  <si>
    <t>A relative measurement (ratio or percentage) of the myeloid dendritic cells to leukocytes in a biological specimen.</t>
  </si>
  <si>
    <t>Myeloid Dendritic Cell to Leukocyte Ratio Measurement</t>
  </si>
  <si>
    <t>DCMMYC</t>
  </si>
  <si>
    <t>DC Myeloid/Myeloid Cells</t>
  </si>
  <si>
    <t>cDC/Myeloid Cells; Classical DC/Myeloid Cells; Conventional DC/Myeloid Cells; DC Myeloid/Myeloid Cells; Dendritic Cells Myeloid/Myeloid Cells; mDC/Myeloid Cells</t>
  </si>
  <si>
    <t>A relative measurement (ratio or percentage) of the myeloid dendritic cells to total myeloid cells in a biological specimen.</t>
  </si>
  <si>
    <t>Myeloid Dendritic Cell to Myeloid Cell Ratio Measurement</t>
  </si>
  <si>
    <t>DCMP</t>
  </si>
  <si>
    <t>DC Myeloid/DC</t>
  </si>
  <si>
    <t>cDC/DC; Classical DC/DC; Conventional DC/DC; DC Myeloid/DC; Dendritic Cells Myeloid/Dendritic Cells; mDC/DC</t>
  </si>
  <si>
    <t>A relative measurement (ratio or percentage) of the myeloid dendritic cells to total dendritic cells in a biological specimen.</t>
  </si>
  <si>
    <t>Myeloid Dendritic Cell to Total Dendritic Cell Ratio Measurement</t>
  </si>
  <si>
    <t>DCMS</t>
  </si>
  <si>
    <t>DC Myeloid Sub</t>
  </si>
  <si>
    <t>DC Myeloid Sub; Dendritic Cells Myeloid Sub-Population</t>
  </si>
  <si>
    <t>A measurement of a sub-population of myeloid dendritic cells in a biological specimen.</t>
  </si>
  <si>
    <t>Myeloid Dendritic Cell Subpopulation Count</t>
  </si>
  <si>
    <t>DCMSDC</t>
  </si>
  <si>
    <t>DC Myeloid Sub/DC</t>
  </si>
  <si>
    <t>cDC Sub-Population/DC; Classical DC Sub-Population/DC; Conventional DC Sub-Population/DC; DC Myeloid Sub/DC; Dendritic Cells Myeloid Sub-Population/Dendritic Cells; mDC Sub-Population/DC</t>
  </si>
  <si>
    <t>A relative measurement (ratio or percentage) of a sub-population of myeloid dendritic cells to total dendritic cells in a biological specimen.</t>
  </si>
  <si>
    <t>Myeloid Dendritic Cell Subpopulation to Total Dendritic Cell Ratio Measurement</t>
  </si>
  <si>
    <t>DCMSDCMS</t>
  </si>
  <si>
    <t>DC Myeloid Sub/DCMS</t>
  </si>
  <si>
    <t>DC Myeloid Sub/DC Myeloid Sub; DC Myeloid Sub/DCMS; Dendritic Cells Myeloid Sub-Population/Dendritic Cells Myeloid Sub-Population</t>
  </si>
  <si>
    <t>A relative measurement (ratio or percentage) of a sub-population of myeloid dendritic cells to a sub-population of myeloid dendritic cells in a biological specimen.</t>
  </si>
  <si>
    <t>Myeloid Dendritic Cell Sub-population to Myeloid Dendritic Cell Subpopulation Ratio Measurement</t>
  </si>
  <si>
    <t>DCMSP</t>
  </si>
  <si>
    <t>DC Myeloid Sub/DCM</t>
  </si>
  <si>
    <t>cDC Sub-Population/cDC; Classical DC Sub-Population/Classical DC; Conventional DC Sub-Population/Conventional DC; DC Myeloid Sub/DCM; Dendritic Cells Myeloid Sub-Population/Dendritic Cells Myeloid; mDC Sub-Population/mDC</t>
  </si>
  <si>
    <t>A relative measurement (ratio or percentage) of a sub-population of myeloid dendritic cells to total myeloid dendritic cells in a biological specimen.</t>
  </si>
  <si>
    <t>Myeloid Dendritic Cell Subpopulation to Total Myeloid Dendritic Cell Ratio Measurement</t>
  </si>
  <si>
    <t>DCMYC</t>
  </si>
  <si>
    <t>Dendritic Cells/Myeloid Cells</t>
  </si>
  <si>
    <t>DC/Myeloid Cells; Dendritic Cells/Myeloid Cells</t>
  </si>
  <si>
    <t>A relative measurement (ratio or percentage) of the dendritic cells to total myeloid cells in a biological specimen.</t>
  </si>
  <si>
    <t>Dendritic Cell to Myeloid Cell Ratio Measurement</t>
  </si>
  <si>
    <t>DCP</t>
  </si>
  <si>
    <t>DC Plasmacytoid</t>
  </si>
  <si>
    <t>DC Plasmacytoid; Plasmacytoid Dendritic Cells</t>
  </si>
  <si>
    <t>A measurement of the plasmacytoid dendritic cells in a biological specimen.</t>
  </si>
  <si>
    <t>Plasmacytoid Dendritic Cell Count</t>
  </si>
  <si>
    <t>DCPDC</t>
  </si>
  <si>
    <t>DC Plasmacytoid/DC</t>
  </si>
  <si>
    <t>DC Plasmacytoid/DC; DC Plasmacytoid/Dendritic Cells; Plasmacytoid Dendritic Cells/Dendritic Cells</t>
  </si>
  <si>
    <t>A relative measurement (ratio or percentage) of the plasmacytoid dendritic cells to dendritic cells in a biological specimen.</t>
  </si>
  <si>
    <t>Plasmacytoid Dendritic Cells to Dendritic Cells Ratio Measurement</t>
  </si>
  <si>
    <t>DCPLE</t>
  </si>
  <si>
    <t>DC Plasmacytoid/Leuk</t>
  </si>
  <si>
    <t>DC Plasmacytoid/Leuk; DC Plasmacytoid/Leukocytes; Dendritic Cells Plasmacytoid/Leukocytes</t>
  </si>
  <si>
    <t>A relative measurement (ratio or percentage) of the plasmacytoid dendritic cells to total leukocytes in a biological specimen.</t>
  </si>
  <si>
    <t>Plasmacytoid Dendritic Cell to Leukocyte Ratio Measurement</t>
  </si>
  <si>
    <t>DCPMYC</t>
  </si>
  <si>
    <t>DC Plasmacytoid/Myeloid Cells</t>
  </si>
  <si>
    <t>DC Plasmacytoid/Myeloid Cells; pDC/Myeloid Cells</t>
  </si>
  <si>
    <t>A relative measurement (ratio or percentage) of the plasmacytoid dendritic cells to total myeloid cells in a biological specimen.</t>
  </si>
  <si>
    <t>Plasmacytoid Dendritic Cell to Myeloid Cell Ratio Measurement</t>
  </si>
  <si>
    <t>DCPND</t>
  </si>
  <si>
    <t>Dietary Clupanodonic Acid</t>
  </si>
  <si>
    <t>Dietary 22:5 Clupanodonate; Dietary 22:5 Clupanodonic Acid; Dietary Clupanodonic Acid</t>
  </si>
  <si>
    <t>A determination of the total 22:5 clupanodonic acid in a nutritional product or meal, or a portion thereof.</t>
  </si>
  <si>
    <t>Dietary Clupanodonic Acid Measurement</t>
  </si>
  <si>
    <t>DCPRE</t>
  </si>
  <si>
    <t>Pre-Dendritic Cells</t>
  </si>
  <si>
    <t>Dendritic Cell Precursor Cells; Pre-DC; Pre-Dendritic Cells; Precursor Dendritic Cells; PreDC</t>
  </si>
  <si>
    <t>A measurement of the precursor dendritic cells in a biological specimen.</t>
  </si>
  <si>
    <t>Pre-Dendritic Cell Count</t>
  </si>
  <si>
    <t>DCPREDC</t>
  </si>
  <si>
    <t>Pre-Dendritic Cells/DC</t>
  </si>
  <si>
    <t>Pre-DC/DC; Pre-Dendritic Cells/DC; Pre-Dendritic Cells/Dendritic Cells; Precursor Dendritic Cells/Dendritic Cells; PreDC/DC</t>
  </si>
  <si>
    <t>A relative measurement (ratio or percentage) of the precursor dendritic cells to total dendritic cells in a biological specimen.</t>
  </si>
  <si>
    <t>Pre-Dendritic Cell to Dendritic Cell Ratio Measurement</t>
  </si>
  <si>
    <t>DCPRES</t>
  </si>
  <si>
    <t>Pre-Dendritic Cells Sub</t>
  </si>
  <si>
    <t>Dendritic Cell Precursor Cells Sub-Population; Pre-DC Sub; Pre-Dendritic Cells Sub; Precursor Dendritic Cells Sub-Population; PreDC Sub</t>
  </si>
  <si>
    <t>A measurement of a sub-population of precursor dendritic cells in a biological specimen.</t>
  </si>
  <si>
    <t>Pre-Dendritic Cell Subpopulation Count</t>
  </si>
  <si>
    <t>DCPS</t>
  </si>
  <si>
    <t>DC Plasmacytoid Sub</t>
  </si>
  <si>
    <t>DC Plasmacytoid Sub; Plasmacytoid Dendritic Cells Sub-Population</t>
  </si>
  <si>
    <t>A measurement of a subpopulation of plasmacytoid dendritic cells in a biological specimen.</t>
  </si>
  <si>
    <t>Plasmacytoid Dendritic Cell Subpopulation Count</t>
  </si>
  <si>
    <t>DCPSDCP</t>
  </si>
  <si>
    <t>DC Plasmacytoid Sub/DC Plasmacytoid</t>
  </si>
  <si>
    <t>DC Plasmacytoid Sub/DC Plasmacytoid; Plasmacytoid Dendritic Cells Sub-Population/Plasmacytoid Dendritic Cells</t>
  </si>
  <si>
    <t>A relative measurement (ratio or percentage) of a subpopulation of plasmacytoid dendritic cells to total plasmacytoid dendritic cells in a biological specimen.</t>
  </si>
  <si>
    <t>Plasmacytoid Dendritic Cells Subpopulation to Dendritic Cells Plasmacytoid Ratio Measurement</t>
  </si>
  <si>
    <t>DCPSDCPS</t>
  </si>
  <si>
    <t>DC Plasmacytoid Sub/DCPS</t>
  </si>
  <si>
    <t>DC Plasmacytoid Sub/DC Plasmacytoid Sub; DC Plasmacytoid Sub/DCPS; Dendritic Cells Plasmacytoid Sub-Population/Dendritic Cells Plasmacytoid Sub-Population</t>
  </si>
  <si>
    <t>A relative measurement (ratio or percentage) of a sub-population of plasmacytoid dendritic cells to a second sub-population of plasmacytoid dendritic cells (e.g., a child/parent based on two or more sub-population-defining markers) in a biological specime</t>
  </si>
  <si>
    <t>Plasmacytoid Dendritic Cell Subpopulation to Plasmacytoid Dendritic Cell Subpopulation Ratio Measurement</t>
  </si>
  <si>
    <t>DCRXANB</t>
  </si>
  <si>
    <t>Dietary Beta-Cryptoxanthin</t>
  </si>
  <si>
    <t>A determination of the beta-cryptoxanthin in a nutritional product or meal, or a portion thereof.</t>
  </si>
  <si>
    <t>Dietary Beta-Cryptoxanthin Measurement</t>
  </si>
  <si>
    <t>DCS</t>
  </si>
  <si>
    <t>DC Sub</t>
  </si>
  <si>
    <t>DC Sub; Dendritic Cells Sub-Population</t>
  </si>
  <si>
    <t>A measurement of a sub-population of dendritic cells in a biological specimen.</t>
  </si>
  <si>
    <t>Dendritic Cell Subpopulation Count</t>
  </si>
  <si>
    <t>DCSP</t>
  </si>
  <si>
    <t>DC Sub/DC</t>
  </si>
  <si>
    <t>DC Sub-Population/DC; DC Sub/DC; Dendritic Cell Sub-Population/Dendritic Cells</t>
  </si>
  <si>
    <t>A relative measurement (ratio or percentage) of a sub-population of dendritic cells to total dendritic cells in a biological specimen.</t>
  </si>
  <si>
    <t>Dendritic Cell Subpopulation to Dendritic Cell Ratio Measurement</t>
  </si>
  <si>
    <t>DCU</t>
  </si>
  <si>
    <t>Dietary Copper</t>
  </si>
  <si>
    <t>A determination of the total copper in a nutritional product or meal, or a portion thereof.</t>
  </si>
  <si>
    <t>Dietary Copper Measurement</t>
  </si>
  <si>
    <t>DDAIRYT</t>
  </si>
  <si>
    <t>Dietary Total Dairy</t>
  </si>
  <si>
    <t>A determination of the total dairy (food products produced from or containing milk) in a nutritional product or meal, or a portion thereof.</t>
  </si>
  <si>
    <t>Dietary Dairy Measurement</t>
  </si>
  <si>
    <t>DDCHX</t>
  </si>
  <si>
    <t>Dietary Docosahexaenoic Acid</t>
  </si>
  <si>
    <t>Dietary 22:6 Docosahexaenoate; Dietary 22:6 Docosahexaenoic Acid; Dietary Docosahexaenoic Acid</t>
  </si>
  <si>
    <t>A determination of the total 22:6 docosahexaenoic acid in a nutritional product or meal, or a portion thereof.</t>
  </si>
  <si>
    <t>Dietary Docosahexaenoic Acid Measurement</t>
  </si>
  <si>
    <t>DDDTYPE</t>
  </si>
  <si>
    <t>Deceased Donor Donation Type</t>
  </si>
  <si>
    <t>The conditions under which an organ is harvested from a dead donor, including the condition of the donor and the environment.</t>
  </si>
  <si>
    <t>Deceased Donor Donation Condition</t>
  </si>
  <si>
    <t>DDIMER</t>
  </si>
  <si>
    <t>D-Dimer</t>
  </si>
  <si>
    <t>A measurement of the d-dimers in a biological specimen.</t>
  </si>
  <si>
    <t>D-Dimer Measurement</t>
  </si>
  <si>
    <t>DDNAIGAB</t>
  </si>
  <si>
    <t>Anti-Double Stranded DNA IgG</t>
  </si>
  <si>
    <t>A measurement of the double stranded DNA IgG antibody in a biological specimen.</t>
  </si>
  <si>
    <t>Anti-Double Stranded DNA IgG Measurement</t>
  </si>
  <si>
    <t>DDX58</t>
  </si>
  <si>
    <t>DEAD Box Protein 58</t>
  </si>
  <si>
    <t>DEAD Box Protein 58; DExD/H-Box Helicase 58; Probable ATP-Dependent RNA Helicase DDX58</t>
  </si>
  <si>
    <t>A measurement of the DEAD box protein 58 in a biological specimen.</t>
  </si>
  <si>
    <t>DEAD Box Protein 58 Measurement</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</si>
  <si>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</si>
  <si>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</si>
  <si>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</si>
  <si>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</si>
  <si>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</si>
  <si>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DECCORR</t>
  </si>
  <si>
    <t>Decay Correction Indicator</t>
  </si>
  <si>
    <t>An indication as to whether the image reconstruction took into account the time-activity curve during which the radiolabeled tracer decayed as it spread through the body during the image acquisition.</t>
  </si>
  <si>
    <t>DECORIN</t>
  </si>
  <si>
    <t>Decorin</t>
  </si>
  <si>
    <t>DCN; Decorin</t>
  </si>
  <si>
    <t>A measurement of the decorin in a biological specimen.</t>
  </si>
  <si>
    <t>Decorin Measurement</t>
  </si>
  <si>
    <t>DEGGS</t>
  </si>
  <si>
    <t>Dietary Eggs</t>
  </si>
  <si>
    <t>A determination of the eggs in a nutritional product or meal, or a portion thereof.</t>
  </si>
  <si>
    <t>Dietary Eggs Measurement</t>
  </si>
  <si>
    <t>DENSITY</t>
  </si>
  <si>
    <t>Density</t>
  </si>
  <si>
    <t>A measurement of the compactness of a biological specimen expressed in mass per unit volume.</t>
  </si>
  <si>
    <t>DEPTH</t>
  </si>
  <si>
    <t>Depth</t>
  </si>
  <si>
    <t>The extent downward or inward; the perpendicular measurement from the surface downward to determine deepness. (NCI)</t>
  </si>
  <si>
    <t>DERUC</t>
  </si>
  <si>
    <t>Dietary Erucic Acid</t>
  </si>
  <si>
    <t>Dietary 22:1 Erucate; Dietary 22:1 Erucic Acid; Dietary Erucic Acid</t>
  </si>
  <si>
    <t>A determination of the total 22:1 erucic acid in a nutritional product or meal, or a portion thereof.</t>
  </si>
  <si>
    <t>Dietary Erucic Acid Measurement</t>
  </si>
  <si>
    <t>DESIPRMN</t>
  </si>
  <si>
    <t>Desipramine</t>
  </si>
  <si>
    <t>A measurement of the desipramine in a biological specimen.</t>
  </si>
  <si>
    <t>Desipramine Measurement</t>
  </si>
  <si>
    <t>DESMSN</t>
  </si>
  <si>
    <t>Desmosine</t>
  </si>
  <si>
    <t>DES; Desmosine</t>
  </si>
  <si>
    <t>A measurement of the desmosine in a specimen.</t>
  </si>
  <si>
    <t>Desmosine Measurement</t>
  </si>
  <si>
    <t>DETACH</t>
  </si>
  <si>
    <t>Detachment</t>
  </si>
  <si>
    <t>An evaluation of an abnormal separation between two normally attached structures.</t>
  </si>
  <si>
    <t>Tissue Detachment Assessment</t>
  </si>
  <si>
    <t>DETHNGLY</t>
  </si>
  <si>
    <t>Diethylene Glycol</t>
  </si>
  <si>
    <t>A measurement of the diethylene glycol in a specimen.</t>
  </si>
  <si>
    <t>Diethylene Glycol Measurement</t>
  </si>
  <si>
    <t>DETHPRPN</t>
  </si>
  <si>
    <t>Diethylpropion</t>
  </si>
  <si>
    <t>A measurement of the diethylpropion in a biological specimen.</t>
  </si>
  <si>
    <t>Diethylpropion Measurement</t>
  </si>
  <si>
    <t>DEVPNUM</t>
  </si>
  <si>
    <t>Number of Devices Present</t>
  </si>
  <si>
    <t>A determination of the number of devices within a subject.</t>
  </si>
  <si>
    <t>DFATM</t>
  </si>
  <si>
    <t>Dietary Fat, Monounsaturated</t>
  </si>
  <si>
    <t>A determination of the total monounsaturated fat in a nutritional product or meal, or a portion thereof.</t>
  </si>
  <si>
    <t>Dietary Monounsaturated Fat Measurement</t>
  </si>
  <si>
    <t>DFATP</t>
  </si>
  <si>
    <t>Dietary Fat, Polyunsaturated</t>
  </si>
  <si>
    <t>A determination of the total polyunsaturated fat in a nutritional product or meal, or a portion thereof.</t>
  </si>
  <si>
    <t>Dietary Polyunsaturated Fat Measurement</t>
  </si>
  <si>
    <t>DFATS</t>
  </si>
  <si>
    <t>Dietary Fat, Saturated</t>
  </si>
  <si>
    <t>A determination of the total saturated fat in a nutritional product or meal, or a portion thereof.</t>
  </si>
  <si>
    <t>Dietary Saturated Fat Measurement</t>
  </si>
  <si>
    <t>DFATT</t>
  </si>
  <si>
    <t>Dietary Fat, Total</t>
  </si>
  <si>
    <t>A determination of the total fat in a nutritional product or meal, or a portion thereof.</t>
  </si>
  <si>
    <t>Total Dietary Fat Measurement</t>
  </si>
  <si>
    <t>DFE</t>
  </si>
  <si>
    <t>Dietary Iron</t>
  </si>
  <si>
    <t>A determination of the total iron in a nutritional product or meal, or a portion thereof.</t>
  </si>
  <si>
    <t>Dietary Iron Measurement</t>
  </si>
  <si>
    <t>DFEQ</t>
  </si>
  <si>
    <t>Dietary Folate Equivalents</t>
  </si>
  <si>
    <t>DFE; Dietary Folate Equivalents</t>
  </si>
  <si>
    <t>The sum of food folate and normalized folic acid (as food folate equivalents) in a nutritional product or meal, or a portion thereof.</t>
  </si>
  <si>
    <t>Dietary Folate Equivalents Measurement</t>
  </si>
  <si>
    <t>DFI</t>
  </si>
  <si>
    <t>DNA Fragmentation Index</t>
  </si>
  <si>
    <t>A measurement of the deoxyribonucleic acid fragmentation within the nucleated cells of a biological specimen.</t>
  </si>
  <si>
    <t>DFIBER</t>
  </si>
  <si>
    <t>Dietary Fiber</t>
  </si>
  <si>
    <t>A determination of the total fiber in a nutritional product or meal, or a portion thereof.</t>
  </si>
  <si>
    <t>Dietary Fiber Measurement</t>
  </si>
  <si>
    <t>DFOLFD</t>
  </si>
  <si>
    <t>Dietary Food Folate</t>
  </si>
  <si>
    <t>A determination of the naturally occurring folate in a nutritional product or meal, or a portion thereof.</t>
  </si>
  <si>
    <t>Dietary Food Folate Measurement</t>
  </si>
  <si>
    <t>DFOLIC</t>
  </si>
  <si>
    <t>Dietary Folic Acid</t>
  </si>
  <si>
    <t>A determination of the folic acid in a nutritional product or meal, or a portion thereof.</t>
  </si>
  <si>
    <t>Dietary Folic Acid Measurement</t>
  </si>
  <si>
    <t>DFOLTOT</t>
  </si>
  <si>
    <t>Dietary Total Folate</t>
  </si>
  <si>
    <t>A determination of the total folate (supplemental folic acid + food folate) in a nutritional product or meal, or a portion thereof.</t>
  </si>
  <si>
    <t>Dietary Total Folate Measurement</t>
  </si>
  <si>
    <t>DFRDNA</t>
  </si>
  <si>
    <t>Dientamoeba fragilis DNA</t>
  </si>
  <si>
    <t>A measurement of the Dientamoeba fragilis DNA in a biological specimen.</t>
  </si>
  <si>
    <t>Dientamoeba fragilis DNA Measurement</t>
  </si>
  <si>
    <t>DFRTJUCE</t>
  </si>
  <si>
    <t>Dietary Fruit Juice</t>
  </si>
  <si>
    <t>A determination of the fruit juice in a nutritional product or meal, or a portion thereof.</t>
  </si>
  <si>
    <t>Dietary Fruit Juice Measurement</t>
  </si>
  <si>
    <t>DFRUIT</t>
  </si>
  <si>
    <t>Dietary Fruit</t>
  </si>
  <si>
    <t>A determination of the total fruit in a nutritional product or meal, or a portion thereof.</t>
  </si>
  <si>
    <t>Dietary Fruit Measurement</t>
  </si>
  <si>
    <t>DGADL</t>
  </si>
  <si>
    <t>Dietary Gadoleic Acid</t>
  </si>
  <si>
    <t>Dietary 20:1 Gadoleate; Dietary 20:1 Gadoleic Acid; Dietary Gadoleic Acid</t>
  </si>
  <si>
    <t>A determination of the total 20:1 gadoleic acid in a nutritional product or meal, or a portion thereof.</t>
  </si>
  <si>
    <t>Dietary Gadoleic Acid Measurement</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</si>
  <si>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</si>
  <si>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</si>
  <si>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</si>
  <si>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</si>
  <si>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</si>
  <si>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DGRAIN</t>
  </si>
  <si>
    <t>Dietary Grain</t>
  </si>
  <si>
    <t>A determination of the total grain in a nutritional product or meal, or a portion thereof.</t>
  </si>
  <si>
    <t>Dietary Grain Measurement</t>
  </si>
  <si>
    <t>DGRAINRF</t>
  </si>
  <si>
    <t>Dietary Grain, Refined</t>
  </si>
  <si>
    <t>A determination of the total refined grains in a nutritional product or meal, or a portion thereof.</t>
  </si>
  <si>
    <t>Dietary Grain, Refined Measurement</t>
  </si>
  <si>
    <t>DGRAINWH</t>
  </si>
  <si>
    <t>Dietary Whole Grains</t>
  </si>
  <si>
    <t>A determination of the whole grains in a nutritional product or meal, or a portion thereof.</t>
  </si>
  <si>
    <t>Dietary Whole Grains Measurement</t>
  </si>
  <si>
    <t>DHEA</t>
  </si>
  <si>
    <t>Dehydroepiandrosterone</t>
  </si>
  <si>
    <t>Dehydroepiandrosterone; Dehydroisoandrosterone</t>
  </si>
  <si>
    <t>A measurement of the dehydroepiandrosterone hormone in a biological specimen.</t>
  </si>
  <si>
    <t>Dehydroepiandrosterone Measurement</t>
  </si>
  <si>
    <t>DHEAS</t>
  </si>
  <si>
    <t>Dehydroepiandrosterone Sulfate</t>
  </si>
  <si>
    <t>Dehydroepiandrosterone Sulfate; DHEA Sulfate; DHEA-S; sDHEA</t>
  </si>
  <si>
    <t>A measurement of the sulfated Dehydroepiandrosterone in a biological specimen.</t>
  </si>
  <si>
    <t>Sulfated DHEA Measurement</t>
  </si>
  <si>
    <t>DHPG</t>
  </si>
  <si>
    <t>3,4-Dihydroxyphenylglycol</t>
  </si>
  <si>
    <t>3,4-Dihydroxyphenylglycol; 3.4 Dihydroxyphenylglycol</t>
  </si>
  <si>
    <t>A measurement of the catecholamine metabolite, 3,4-Dihydroxyphenylglycol in a biological specimen.</t>
  </si>
  <si>
    <t>3,4-Dihydroxyphenylglycol Measurement</t>
  </si>
  <si>
    <t>DHT</t>
  </si>
  <si>
    <t>Dihydrotestosterone</t>
  </si>
  <si>
    <t>Androstanolone; Dihydrotestosterone</t>
  </si>
  <si>
    <t>A measurement of the dihydrotestosterone hormone in a biological specimen.</t>
  </si>
  <si>
    <t>Dihydrotestosterone Measurement</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</si>
  <si>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</si>
  <si>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</si>
  <si>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</si>
  <si>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</si>
  <si>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</si>
  <si>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DIABP</t>
  </si>
  <si>
    <t>Diastolic Blood Pressure</t>
  </si>
  <si>
    <t>The minimum blood pressure in the systemic arterial circulation during the cardiac cycle.</t>
  </si>
  <si>
    <t>DIAMETER</t>
  </si>
  <si>
    <t>Diameter</t>
  </si>
  <si>
    <t>The length of a straight line passing through the center of a circle or sphere and connecting two points on the circumference. (NCI)</t>
  </si>
  <si>
    <t>DIAMMIN</t>
  </si>
  <si>
    <t>Diameter, Minimum</t>
  </si>
  <si>
    <t>The minimum number in a group of values that represent the diameter of an object.</t>
  </si>
  <si>
    <t>Minimum Diameter</t>
  </si>
  <si>
    <t>DIAMMN</t>
  </si>
  <si>
    <t>Diameter, Mean</t>
  </si>
  <si>
    <t>The mean number in a group of values that represent the diameter of an object.</t>
  </si>
  <si>
    <t>Mean Diameter</t>
  </si>
  <si>
    <t>DIAMSD</t>
  </si>
  <si>
    <t>Diameter, Standard Deviation</t>
  </si>
  <si>
    <t>The standard deviation in a group of values that represent the diameter of an object.</t>
  </si>
  <si>
    <t>Standard Deviation of Diameter</t>
  </si>
  <si>
    <t>MS</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</si>
  <si>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</si>
  <si>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</si>
  <si>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</si>
  <si>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</si>
  <si>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</si>
  <si>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DIGSMPRT</t>
  </si>
  <si>
    <t>Digital Sampling Rate</t>
  </si>
  <si>
    <t>The number of digital samples taken or recorded per unit of time.</t>
  </si>
  <si>
    <t>DIHYDCDN</t>
  </si>
  <si>
    <t>Dihydrocodeine</t>
  </si>
  <si>
    <t>A measurement of the dihydrocodeine present in a biological specimen.</t>
  </si>
  <si>
    <t>Dihydrocodeine Measurement</t>
  </si>
  <si>
    <t>DIMSSNDX</t>
  </si>
  <si>
    <t>Dimensionless Index</t>
  </si>
  <si>
    <t>Dimensionless Index; Dimensionless Velocity Index</t>
  </si>
  <si>
    <t>The ratio of the blood velocity in the left ventricular outflow tract (LVOT) to the maximum blood velocity across the aortic valve.</t>
  </si>
  <si>
    <t>DINTMKNM</t>
  </si>
  <si>
    <t>Dinucleotide Marker Names</t>
  </si>
  <si>
    <t>The literal identifier of the dinucleotide markers present in an assay kit.</t>
  </si>
  <si>
    <t>Dinucleotide Marker Name</t>
  </si>
  <si>
    <t>DISECIND</t>
  </si>
  <si>
    <t>Dissection Indicator</t>
  </si>
  <si>
    <t>An indication as to whether there is the presence of blood vessel dissection.</t>
  </si>
  <si>
    <t>DA</t>
  </si>
  <si>
    <t>DISPAMT</t>
  </si>
  <si>
    <t>Dispensed Amount</t>
  </si>
  <si>
    <t>The quantity of a product that has been dispensed. (NCI)</t>
  </si>
  <si>
    <t>DISTANCE</t>
  </si>
  <si>
    <t>Distance</t>
  </si>
  <si>
    <t>The actual or calculated span between two points (real or virtual).</t>
  </si>
  <si>
    <t>DISTDEXP</t>
  </si>
  <si>
    <t>District of Potential Disease Exposure</t>
  </si>
  <si>
    <t>The district in which the individual was potentially exposed to a disease.</t>
  </si>
  <si>
    <t>DISTPAD</t>
  </si>
  <si>
    <t>District of Permanent Address</t>
  </si>
  <si>
    <t>The district identified as the individual's permanent residence.</t>
  </si>
  <si>
    <t>DISTR</t>
  </si>
  <si>
    <t>Distribution</t>
  </si>
  <si>
    <t>Description of the distribution pattern of a finding within the examined area.</t>
  </si>
  <si>
    <t>Distribution Pattern Finding Description</t>
  </si>
  <si>
    <t>DK</t>
  </si>
  <si>
    <t>Dietary Potassium</t>
  </si>
  <si>
    <t>A determination of the total potassium in a nutritional product or meal, or a portion thereof.</t>
  </si>
  <si>
    <t>Dietary Potassium Measurement</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</si>
  <si>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</si>
  <si>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</si>
  <si>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</si>
  <si>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</si>
  <si>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</si>
  <si>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DLAUR</t>
  </si>
  <si>
    <t>Dietary Lauric Acid</t>
  </si>
  <si>
    <t>Dietary 12:0 Laurate; Dietary 12:0 Lauric Acid; Dietary Lauric Acid</t>
  </si>
  <si>
    <t>A determination of the total 12:0 lauric acid in a nutritional product or meal, or a portion thereof.</t>
  </si>
  <si>
    <t>Dietary Lauric Acid Measurement</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</si>
  <si>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</si>
  <si>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</si>
  <si>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</si>
  <si>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</si>
  <si>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</si>
  <si>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DLCOHC</t>
  </si>
  <si>
    <t>HGB Corrected DLCO</t>
  </si>
  <si>
    <t>The diffusing capacity of the lungs for carbon monoxide adjusted for hemoglobin concentration.</t>
  </si>
  <si>
    <t>Hemoglobin Corrected Diffusion Capacity of the Lung for Carbon Monoxide</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</si>
  <si>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</si>
  <si>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</si>
  <si>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</si>
  <si>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</si>
  <si>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</si>
  <si>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</si>
  <si>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</si>
  <si>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</si>
  <si>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</si>
  <si>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</si>
  <si>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</si>
  <si>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</si>
  <si>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DLCOM</t>
  </si>
  <si>
    <t>Mean Diffusion Capacity of Lung for CO</t>
  </si>
  <si>
    <t>The mean volume of the carbon monoxide that is transferred from inspired air into the pulmonary capillary blood.</t>
  </si>
  <si>
    <t>Mean Carbon Monoxide Diffusing Capability Test</t>
  </si>
  <si>
    <t>DLCOPP</t>
  </si>
  <si>
    <t>Percent Predicted DLCO</t>
  </si>
  <si>
    <t>The diffusing capacity of the lungs for carbon monoxide expressed as a proportion of the predicted normal value.</t>
  </si>
  <si>
    <t>Percent Predicted Diffusion Capacity of the Lung for Carbon Monoxide</t>
  </si>
  <si>
    <t>DLCOVA</t>
  </si>
  <si>
    <t>DLCO/VA</t>
  </si>
  <si>
    <t>The diffusing capacity of the lungs for carbon monoxide expressed as a proportion of the alveolar volume.</t>
  </si>
  <si>
    <t>Diffusion Capacity of the Lung for Carbon Monoxide/Alveolar Volume Ratio</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</si>
  <si>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</si>
  <si>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</si>
  <si>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</si>
  <si>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</si>
  <si>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DLINO</t>
  </si>
  <si>
    <t>Dietary Linoleic Acid</t>
  </si>
  <si>
    <t>Dietary 18:2 Linoleate; Dietary 18:2 Linoleic Acid; Dietary Linoleic Acid</t>
  </si>
  <si>
    <t>A determination of the total 18:2 linoleic acid in a nutritional product or meal, or a portion thereof.</t>
  </si>
  <si>
    <t>Dietary Linoleic Acid Measurement</t>
  </si>
  <si>
    <t>DLINOL</t>
  </si>
  <si>
    <t>Dietary Linolenic Acid</t>
  </si>
  <si>
    <t>Dietary 18:3 Linolenate; Dietary 18:3 Linolenic Acid; Dietary Linolenic Acid</t>
  </si>
  <si>
    <t>A determination of the total 18:3 linolenic acid in a nutritional product or meal, or a portion thereof.</t>
  </si>
  <si>
    <t>Dietary Linolenic Acid Measurement</t>
  </si>
  <si>
    <t>DLUTZXAN</t>
  </si>
  <si>
    <t>Dietary Lutein and Zeaxanthin</t>
  </si>
  <si>
    <t>A determination of the lutein and zeaxanthin in a nutritional product or meal, or a portion thereof.</t>
  </si>
  <si>
    <t>Dietary Lutein and Zeaxanthin Measurement</t>
  </si>
  <si>
    <t>DLVRMODE</t>
  </si>
  <si>
    <t>Mode of Delivery</t>
  </si>
  <si>
    <t>Description of the method by which a fetus is delivered.</t>
  </si>
  <si>
    <t>Delivery Procedure</t>
  </si>
  <si>
    <t>DLYCOP</t>
  </si>
  <si>
    <t>Dietary Lycopene</t>
  </si>
  <si>
    <t>A determination of the lycopene in a nutritional product or meal, or a portion thereof.</t>
  </si>
  <si>
    <t>Dietary Lycopene Measurement</t>
  </si>
  <si>
    <t>DMANI2_6</t>
  </si>
  <si>
    <t>2,6-Dimethylaniline</t>
  </si>
  <si>
    <t>2,6-Dimethylaniline; 2,6-Xylidine; o-Xylidine</t>
  </si>
  <si>
    <t>A measurement of the 2,6-dimethylaniline in a specimen.</t>
  </si>
  <si>
    <t>2,6-Dimethylaniline Measurement</t>
  </si>
  <si>
    <t>DMEAT</t>
  </si>
  <si>
    <t>Dietary Meat</t>
  </si>
  <si>
    <t>A determination of the total meat in a nutritional product or meal, or a portion thereof.</t>
  </si>
  <si>
    <t>Dietary Meat Measurement</t>
  </si>
  <si>
    <t>DMEATCUR</t>
  </si>
  <si>
    <t>Dietary Meat, Cured</t>
  </si>
  <si>
    <t>A determination of the cured meat in a nutritional product or meal, or a portion thereof.</t>
  </si>
  <si>
    <t>Dietary Meat, Cured Measurement</t>
  </si>
  <si>
    <t>DMEATORG</t>
  </si>
  <si>
    <t>Dietary Meat, Organ</t>
  </si>
  <si>
    <t>A determination of the organ meat in a nutritional product or meal, or a portion thereof.</t>
  </si>
  <si>
    <t>Dietary Meat, Organ Measurement</t>
  </si>
  <si>
    <t>DMEATPLS</t>
  </si>
  <si>
    <t>Dietary Meat, Poultry, and Seafood</t>
  </si>
  <si>
    <t>A determination of the total meat, poultry, and seafood in a nutritional product or meal, or a portion thereof.</t>
  </si>
  <si>
    <t>Dietary Meat, Poultry, and Seafood Measurement</t>
  </si>
  <si>
    <t>DMG</t>
  </si>
  <si>
    <t>Dietary Magnesium</t>
  </si>
  <si>
    <t>A determination of the total magnesium in a nutritional product or meal, or a portion thereof.</t>
  </si>
  <si>
    <t>Dietary Magnesium Measurement</t>
  </si>
  <si>
    <t>Dimethylglycine</t>
  </si>
  <si>
    <t>A measurement of the dimethylglycine in a biological specimen.</t>
  </si>
  <si>
    <t>Dimethylglycine Measurement</t>
  </si>
  <si>
    <t>DMILK</t>
  </si>
  <si>
    <t>Dietary Milk</t>
  </si>
  <si>
    <t>A determination of the milk in a nutritional product or meal, or a portion thereof.</t>
  </si>
  <si>
    <t>Dietary Milk Measurement</t>
  </si>
  <si>
    <t>DMOISTUR</t>
  </si>
  <si>
    <t>Dietary Moisture</t>
  </si>
  <si>
    <t>A determination of the moisture content in a nutritional product or meal, or a portion thereof.</t>
  </si>
  <si>
    <t>Dietary Moisture Measurement</t>
  </si>
  <si>
    <t>DMTNN</t>
  </si>
  <si>
    <t>N,N-Dimethyltryptamine</t>
  </si>
  <si>
    <t>Dimethyltryptamine; DMT; N,N-Dimethyltryptamine</t>
  </si>
  <si>
    <t>A measurement of the N,N-dimethyltryptamine in a biological specimen.</t>
  </si>
  <si>
    <t>N,N-Dimethyltryptamine Measurement</t>
  </si>
  <si>
    <t>DMYRST</t>
  </si>
  <si>
    <t>Dietary Myristic Acid</t>
  </si>
  <si>
    <t>Dietary 14:0 Myristate; Dietary 14:0 Myristic Acid; Dietary Myristic Acid</t>
  </si>
  <si>
    <t>A determination of the total 14:0 myristic acid in a nutritional product or meal, or a portion thereof.</t>
  </si>
  <si>
    <t>Dietary Myristic Acid Measurement</t>
  </si>
  <si>
    <t>DNA</t>
  </si>
  <si>
    <t>Dietary Sodium</t>
  </si>
  <si>
    <t>A determination of the total sodium in a nutritional product or meal, or a portion thereof.</t>
  </si>
  <si>
    <t>Dietary Sodium Measurement</t>
  </si>
  <si>
    <t>Deoxyribonucleic Acid</t>
  </si>
  <si>
    <t>A measurement of a targeted deoxyribonucleic acid (DNA) in a biological specimen.</t>
  </si>
  <si>
    <t>Deoxyribonucleic Acid Measurement</t>
  </si>
  <si>
    <t>DNIACIN</t>
  </si>
  <si>
    <t>Dietary Niacin</t>
  </si>
  <si>
    <t>Dietary Niacin; Dietary Vitamin B3</t>
  </si>
  <si>
    <t>A determination of the niacin in a nutritional product or meal, or a portion thereof.</t>
  </si>
  <si>
    <t>Dietary Niacin Measurement</t>
  </si>
  <si>
    <t>DNPSEPHD</t>
  </si>
  <si>
    <t>D-Norpseudoephedrine</t>
  </si>
  <si>
    <t>(+)-Norpseudoephedrine; Cathine; D-Norpseudoephedrine</t>
  </si>
  <si>
    <t>A measurement of the D-norpseudoephedrine in a biological specimen.</t>
  </si>
  <si>
    <t>D-Norpseudoephedrine Measurement</t>
  </si>
  <si>
    <t>DNUTSEED</t>
  </si>
  <si>
    <t>Dietary Nuts and Seeds</t>
  </si>
  <si>
    <t>A determination of the total nuts and seeds in a nutritional product or meal, or a portion thereof.</t>
  </si>
  <si>
    <t>Dietary Nuts and Seeds Measurement</t>
  </si>
  <si>
    <t>DNV1RNA</t>
  </si>
  <si>
    <t>Dengue Virus 1 RNA</t>
  </si>
  <si>
    <t>A measurement of the dengue virus 1 RNA in a biological specimen.</t>
  </si>
  <si>
    <t>Dengue Virus 1 RNA Measurement</t>
  </si>
  <si>
    <t>DNV2RNA</t>
  </si>
  <si>
    <t>Dengue Virus 2 RNA</t>
  </si>
  <si>
    <t>A measurement of the dengue virus 2 RNA in a biological specimen.</t>
  </si>
  <si>
    <t>Dengue Virus 2 RNA Measurement</t>
  </si>
  <si>
    <t>DNV3RNA</t>
  </si>
  <si>
    <t>Dengue Virus 3 RNA</t>
  </si>
  <si>
    <t>A measurement of the dengue virus 3 RNA in a biological specimen.</t>
  </si>
  <si>
    <t>Dengue Virus 3 RNA Measurement</t>
  </si>
  <si>
    <t>DNV4RNA</t>
  </si>
  <si>
    <t>Dengue Virus 4 RNA</t>
  </si>
  <si>
    <t>A measurement of the dengue virus 4 RNA in a biological specimen.</t>
  </si>
  <si>
    <t>Dengue Virus 4 RNA Measurement</t>
  </si>
  <si>
    <t>DNVNS1AG</t>
  </si>
  <si>
    <t>Dengue Virus NS1 Antigen</t>
  </si>
  <si>
    <t>Dengue Virus Nonstructural Protein 1; Dengue Virus NS1 Antigen</t>
  </si>
  <si>
    <t>A measurement of the dengue virus NS1 antigen in a biological specimen.</t>
  </si>
  <si>
    <t>Dengue Virus NS1 Antigen Measurement</t>
  </si>
  <si>
    <t>DNVRNA</t>
  </si>
  <si>
    <t>Dengue Virus RNA</t>
  </si>
  <si>
    <t>A measurement of the dengue virus RNA in a biological specimen.</t>
  </si>
  <si>
    <t>Dengue Virus RNA Measurement</t>
  </si>
  <si>
    <t>DOHLE</t>
  </si>
  <si>
    <t>Dohle Bodies</t>
  </si>
  <si>
    <t>A measurement of the Dohle bodies (blue-gray, basophilic, leukocyte inclusions located in the peripheral cytoplasm of neutrophils) in a biological specimen.</t>
  </si>
  <si>
    <t>Dohle Body Measurement</t>
  </si>
  <si>
    <t>DOILS</t>
  </si>
  <si>
    <t>Dietary Oils</t>
  </si>
  <si>
    <t>A determination of the oils in a nutritional product or meal, or a portion thereof.</t>
  </si>
  <si>
    <t>Dietary Oils Measurement</t>
  </si>
  <si>
    <t>DOLE</t>
  </si>
  <si>
    <t>Dietary Oleic Acid</t>
  </si>
  <si>
    <t>Dietary 18:1 Oleate; Dietary 18:1 Oleic Acid; Dietary Oleic Acid</t>
  </si>
  <si>
    <t>A determination of the total 18:1 oleic acid in a nutritional product or meal, or a portion thereof.</t>
  </si>
  <si>
    <t>Dietary Oleic Acid Measurement</t>
  </si>
  <si>
    <t>DOMLGPT</t>
  </si>
  <si>
    <t>Dominant Lung Pattern</t>
  </si>
  <si>
    <t>A subjective assessment of the primary lung abnormality pattern, generally based on size, distribution, and/or amount.</t>
  </si>
  <si>
    <t>Dominant Lung Pattern Assessment</t>
  </si>
  <si>
    <t>DOMLGPTD</t>
  </si>
  <si>
    <t>Dominant Lung Pattern Distribution</t>
  </si>
  <si>
    <t>A subjective assessment of the distribution of the primary lung abnormality pattern.</t>
  </si>
  <si>
    <t>Dominant Lung Pattern Distribution Assessment</t>
  </si>
  <si>
    <t>DOPAC</t>
  </si>
  <si>
    <t>3,4-Dihydroxyphenylacetic Acid</t>
  </si>
  <si>
    <t>A measurement of the 3,4-dihydroxyphenylacetic acid in a biological specimen.</t>
  </si>
  <si>
    <t>3,4-Dihydroxyphenylacetic Acid Measurement</t>
  </si>
  <si>
    <t>DOPAMEXR</t>
  </si>
  <si>
    <t>Dopamine Excretion Rate</t>
  </si>
  <si>
    <t>A measurement of the amount of dopamine being excreted in a biological specimen over a defined amount of time (e.g. one hour).</t>
  </si>
  <si>
    <t>DOPAMINE</t>
  </si>
  <si>
    <t>Dopamine</t>
  </si>
  <si>
    <t>A measurement of the dopamine hormone in a biological specimen.</t>
  </si>
  <si>
    <t>Dopamine Measurement</t>
  </si>
  <si>
    <t>DOXMTST</t>
  </si>
  <si>
    <t>Desoxymethyltestosterone</t>
  </si>
  <si>
    <t>A measurement of the desoxymethyltestosterone in a biological specimen.</t>
  </si>
  <si>
    <t>Desoxymethyltestosterone Measurement</t>
  </si>
  <si>
    <t>DOXPN</t>
  </si>
  <si>
    <t>Doxepin</t>
  </si>
  <si>
    <t>A measurement of the doxepin present in a biological specimen.</t>
  </si>
  <si>
    <t>Doxepin Measurement</t>
  </si>
  <si>
    <t>DOXPNAOM</t>
  </si>
  <si>
    <t>Doxepin and/or Metabolites</t>
  </si>
  <si>
    <t>A measurement of the doxepin and/or its metabolite(s) present in a biological specimen, for an assay that can measure both doxepin and its metabolites.</t>
  </si>
  <si>
    <t>Doxepin And/Or Metabolites Measurement</t>
  </si>
  <si>
    <t>DP</t>
  </si>
  <si>
    <t>Dietary Phosphorus</t>
  </si>
  <si>
    <t>A determination of the phosphorus in a nutritional product or meal, or a portion thereof.</t>
  </si>
  <si>
    <t>Dietary Phosphorus Measurement</t>
  </si>
  <si>
    <t>DPALM</t>
  </si>
  <si>
    <t>Dietary Palmitic Acid</t>
  </si>
  <si>
    <t>Dietary 16:0 Palmitate; Dietary 16:0 Palmitic Acid; Dietary Palmitic Acid</t>
  </si>
  <si>
    <t>A determination of the total 16:0 palmitic acid in a nutritional product or meal, or a portion thereof.</t>
  </si>
  <si>
    <t>Dietary Palmitic Acid Measurement</t>
  </si>
  <si>
    <t>DPALMO</t>
  </si>
  <si>
    <t>Dietary Palmitoleic Acid</t>
  </si>
  <si>
    <t>Dietary 16:1 Palmitoleate; Dietary 16:1 Palmitoleic Acid; Dietary Palmitoleic Acid</t>
  </si>
  <si>
    <t>A determination of the total 16:1 palmitoleic acid in a nutritional product or meal, or a portion thereof.</t>
  </si>
  <si>
    <t>Dietary Palmitoleic Acid Measurement</t>
  </si>
  <si>
    <t>DPARN</t>
  </si>
  <si>
    <t>Dietary Parinaric Acid</t>
  </si>
  <si>
    <t>Dietary 18:4 Parinarate; Dietary 18:4 Parinaric Acid; Dietary Parinaric Acid</t>
  </si>
  <si>
    <t>A determination of the total 18:4 parinaric acid in a nutritional product or meal, or a portion thereof.</t>
  </si>
  <si>
    <t>Dietary Parinaric Acid Measurement</t>
  </si>
  <si>
    <t>DPD</t>
  </si>
  <si>
    <t>Deoxypyridinoline</t>
  </si>
  <si>
    <t>A measurement of the deoxypyridinoline in a biological specimen.</t>
  </si>
  <si>
    <t>Deoxypyridinoline Measurement</t>
  </si>
  <si>
    <t>DPDCREAT</t>
  </si>
  <si>
    <t>Deoxypyridinoline/Creatinine</t>
  </si>
  <si>
    <t>A relative measurement (ratio or percentage) of the deoxypyridinoline to creatinine in a biological specimen.</t>
  </si>
  <si>
    <t>Deoxypyridinoline to Creatinine Ratio Measurement</t>
  </si>
  <si>
    <t>DPF</t>
  </si>
  <si>
    <t>Denier Per Filament</t>
  </si>
  <si>
    <t>The linear mass density of fibers per individual filament.</t>
  </si>
  <si>
    <t>DPHNOXLT</t>
  </si>
  <si>
    <t>Diphenoxylate</t>
  </si>
  <si>
    <t>A measurement of the diphenoxylate in a biological specimen.</t>
  </si>
  <si>
    <t>Diphenoxylate Measurement</t>
  </si>
  <si>
    <t>DPIPANON</t>
  </si>
  <si>
    <t>Dipipanone</t>
  </si>
  <si>
    <t>A measurement of the dipipanone in a biological specimen.</t>
  </si>
  <si>
    <t>Dipipanone Measurement</t>
  </si>
  <si>
    <t>DPOTATO</t>
  </si>
  <si>
    <t>Dietary Potatoes</t>
  </si>
  <si>
    <t>A determination of the potatoes in a nutritional product or meal, or a portion thereof.</t>
  </si>
  <si>
    <t>Dietary Potatoes Measurement</t>
  </si>
  <si>
    <t>DPOULTRY</t>
  </si>
  <si>
    <t>Dietary Poultry</t>
  </si>
  <si>
    <t>A determination of the poultry in a nutritional product or meal, or a portion thereof.</t>
  </si>
  <si>
    <t>Dietary Poultry Measurement</t>
  </si>
  <si>
    <t>DPPIV</t>
  </si>
  <si>
    <t>Dipeptidyl Peptidase-4</t>
  </si>
  <si>
    <t>A measurement of the dipeptidyl peptidase-4 in a biological specimen.</t>
  </si>
  <si>
    <t>Dipeptidyl Peptidase-4 Measurement</t>
  </si>
  <si>
    <t>DPROT</t>
  </si>
  <si>
    <t>Dietary Protein</t>
  </si>
  <si>
    <t>A determination of the total protein in a nutritional product or meal, or a portion thereof.</t>
  </si>
  <si>
    <t>Dietary Protein Measurement</t>
  </si>
  <si>
    <t>DPROTFD</t>
  </si>
  <si>
    <t>Dietary Protein Foods</t>
  </si>
  <si>
    <t>A determination of the protein-rich food in a nutritional product or meal, or a portion thereof.</t>
  </si>
  <si>
    <t>Dietary Protein Foods Measurement</t>
  </si>
  <si>
    <t>DRCRLTLC</t>
  </si>
  <si>
    <t>Disease Recurrence Relative Location</t>
  </si>
  <si>
    <t>A description of the region or relative location for the disease recurrence.</t>
  </si>
  <si>
    <t>DRETINOL</t>
  </si>
  <si>
    <t>Dietary Retinol</t>
  </si>
  <si>
    <t>Dietary Retinol; Dietary Vitamin A</t>
  </si>
  <si>
    <t>A determination of the retinol in a nutritional product or meal, or a portion thereof.</t>
  </si>
  <si>
    <t>Dietary Retinol Measurement</t>
  </si>
  <si>
    <t>DRIBFLVN</t>
  </si>
  <si>
    <t>Dietary Riboflavin</t>
  </si>
  <si>
    <t>Dietary Riboflavin; Dietary Vitamin B2</t>
  </si>
  <si>
    <t>A determination of the riboflavin in a nutritional product or meal, or a portion thereof.</t>
  </si>
  <si>
    <t>Dietary Riboflavin Measurement</t>
  </si>
  <si>
    <t>DRSTAT</t>
  </si>
  <si>
    <t>Drug Resistance Status</t>
  </si>
  <si>
    <t>The state or condition of not responding to a pharmacological agent.</t>
  </si>
  <si>
    <t>DRSTNLN</t>
  </si>
  <si>
    <t>Drostanolone</t>
  </si>
  <si>
    <t>Dromostanolone; Drostanolone; Medrosteron; Medrotestron; Metholone</t>
  </si>
  <si>
    <t>A measurement of the drostanolone in a biological specimen.</t>
  </si>
  <si>
    <t>Drostanolone Measurement</t>
  </si>
  <si>
    <t>DRUGSCR</t>
  </si>
  <si>
    <t>Drug Screen</t>
  </si>
  <si>
    <t>An indication of the presence or absence of recreational drugs or drugs of abuse in a biological specimen.</t>
  </si>
  <si>
    <t>Drug Test</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</si>
  <si>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</si>
  <si>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</si>
  <si>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</si>
  <si>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</si>
  <si>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</si>
  <si>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</si>
  <si>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</si>
  <si>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</si>
  <si>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</si>
  <si>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</si>
  <si>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</si>
  <si>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</si>
  <si>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</si>
  <si>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</si>
  <si>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</si>
  <si>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</si>
  <si>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</si>
  <si>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</si>
  <si>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</si>
  <si>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DRWRST</t>
  </si>
  <si>
    <t>Draw Resistance</t>
  </si>
  <si>
    <t>The resistance of the tobacco rod and filter to air flow.</t>
  </si>
  <si>
    <t>DSCHGIND</t>
  </si>
  <si>
    <t>Discharge Indicator</t>
  </si>
  <si>
    <t>An indication as to whether there is the presence of discharge.</t>
  </si>
  <si>
    <t>DSE</t>
  </si>
  <si>
    <t>Dietary Selenium</t>
  </si>
  <si>
    <t>A determination of the total selenium in a nutritional product or meal, or a portion thereof.</t>
  </si>
  <si>
    <t>Dietary Selenium Measurement</t>
  </si>
  <si>
    <t>DSFHN3FA</t>
  </si>
  <si>
    <t>Dietary Seafood High in n-3 Fatty Acids</t>
  </si>
  <si>
    <t>A determination of the seafood high in n-3 fatty acids in a nutritional product or meal, or a portion thereof.</t>
  </si>
  <si>
    <t>Dietary Seafood High in n-3 Fatty Acids Measurement</t>
  </si>
  <si>
    <t>DSFLN3FA</t>
  </si>
  <si>
    <t>Dietary Seafood Low in n-3 Fatty Acids</t>
  </si>
  <si>
    <t>A determination of the seafood low in n-3 fatty acids in a nutritional product or meal, or a portion thereof.</t>
  </si>
  <si>
    <t>Dietary Seafood Low in n-3 Fatty Acids Measurement</t>
  </si>
  <si>
    <t>DSLDFAT</t>
  </si>
  <si>
    <t>Dietary Solid Fats</t>
  </si>
  <si>
    <t>A determination of the solid fats in a nutritional product or meal, or a portion thereof.</t>
  </si>
  <si>
    <t>Dietary Solid Fats Measurement</t>
  </si>
  <si>
    <t>DSOYPROD</t>
  </si>
  <si>
    <t>Dietary Soy Products</t>
  </si>
  <si>
    <t>A determination of the soy-containing products in a nutritional product or meal, or a portion thereof.</t>
  </si>
  <si>
    <t>Dietary Soy Products Measurement</t>
  </si>
  <si>
    <t>DSPCOUNT</t>
  </si>
  <si>
    <t>Derived Specimen Count</t>
  </si>
  <si>
    <t>The number of derived specimens that are produced from a parent specimen.</t>
  </si>
  <si>
    <t>Number of Derived Specimens</t>
  </si>
  <si>
    <t>DSSTAGE</t>
  </si>
  <si>
    <t>Disease Stage</t>
  </si>
  <si>
    <t>A characterization or classification of disease progression based on clinical measures of severity, etiology, and pathophysiology.</t>
  </si>
  <si>
    <t>Disease Stage Qualifier</t>
  </si>
  <si>
    <t>DSTATTOD</t>
  </si>
  <si>
    <t>Donor Status at Time of Organ Donation</t>
  </si>
  <si>
    <t>The donor's state or condition of being either living or brain dead at the time of organ harvesting.</t>
  </si>
  <si>
    <t>DSTER</t>
  </si>
  <si>
    <t>Dietary Stearic Acid</t>
  </si>
  <si>
    <t>Dietary 18:0 Stearate; Dietary 18:0 Stearic Acid; Dietary Stearic Acid</t>
  </si>
  <si>
    <t>A determination of the total 18:0 stearic acid in a nutritional product or meal, or a portion thereof.</t>
  </si>
  <si>
    <t>Dietary Stearic Acid Measurement</t>
  </si>
  <si>
    <t>DSUGART</t>
  </si>
  <si>
    <t>Dietary Total Sugars</t>
  </si>
  <si>
    <t>A determination of the total sugars in a nutritional product or meal, or a portion thereof.</t>
  </si>
  <si>
    <t>Dietary Sugar Measurement</t>
  </si>
  <si>
    <t>DSVLFXN</t>
  </si>
  <si>
    <t>Desvenlafaxine</t>
  </si>
  <si>
    <t>Desvenlafaxine; O-Desmethylvenlafaxine</t>
  </si>
  <si>
    <t>A measurement of the desvenlafaxine present in a biological specimen.</t>
  </si>
  <si>
    <t>Desvenlafaxine Measurement</t>
  </si>
  <si>
    <t>DTHEOBR</t>
  </si>
  <si>
    <t>Dietary Theobromine</t>
  </si>
  <si>
    <t>A determination of the theobromine in a nutritional product or meal, or a portion thereof.</t>
  </si>
  <si>
    <t>Dietary Theobromine Measurement</t>
  </si>
  <si>
    <t>DTHIAMIN</t>
  </si>
  <si>
    <t>Dietary Thiamine</t>
  </si>
  <si>
    <t>Dietary Thiamin; Dietary Thiamine; Dietary Vitamin B1</t>
  </si>
  <si>
    <t>A determination of the thiamine in a nutritional product or meal, or a portion thereof.</t>
  </si>
  <si>
    <t>Dietary Thiamine Measurement</t>
  </si>
  <si>
    <t>DTMND</t>
  </si>
  <si>
    <t>Dietary Timnodonic Acid</t>
  </si>
  <si>
    <t>Dietary 20:5 Timnodonate; Dietary 20:5 Timnodonic Acid; Dietary Timnodonic Acid</t>
  </si>
  <si>
    <t>A determination of the total 20:5 timnodonic acid in a nutritional product or meal, or a portion thereof.</t>
  </si>
  <si>
    <t>Dietary Timnodonic Acid Measurement</t>
  </si>
  <si>
    <t>DTOMATO</t>
  </si>
  <si>
    <t>Dietary Tomatoes</t>
  </si>
  <si>
    <t>A determination of the tomatoes in a nutritional product or meal, or a portion thereof.</t>
  </si>
  <si>
    <t>Dietary Tomatoes Measurement</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</si>
  <si>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</si>
  <si>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</si>
  <si>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</si>
  <si>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</si>
  <si>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DULOXTN</t>
  </si>
  <si>
    <t>Duloxetine</t>
  </si>
  <si>
    <t>A measurement of the duloxetine in a biological specimen.</t>
  </si>
  <si>
    <t>Duloxetine Measurement</t>
  </si>
  <si>
    <t>DUPAN2</t>
  </si>
  <si>
    <t>DU-PAN-2</t>
  </si>
  <si>
    <t>DU-PAN-2; Duke Pancreatic Monoclonal Antigen Type 2; DUPAN-2</t>
  </si>
  <si>
    <t>A measurement of the DU-PAN-2 antigen in a biological specimen.</t>
  </si>
  <si>
    <t>Duke Pancreatic Monoclonal Antigen Type 2 Measurement</t>
  </si>
  <si>
    <t>DV1234RN</t>
  </si>
  <si>
    <t>Dengue Virus 1/2/3/4 RNA</t>
  </si>
  <si>
    <t>A measurement of the RNA from the dengue virus serotype 1, 2, 3 and/or 4 in a biological specimen.</t>
  </si>
  <si>
    <t>Dengue Virus 1, 2, 3, and/or 4 RNA Measurement</t>
  </si>
  <si>
    <t>DVCINSN</t>
  </si>
  <si>
    <t>Number of Devices Inserted</t>
  </si>
  <si>
    <t>The number of devices inserted into an individual.</t>
  </si>
  <si>
    <t>DVEG</t>
  </si>
  <si>
    <t>Dietary Vegetable</t>
  </si>
  <si>
    <t>A determination of the total vegetables in a nutritional product or meal, or a portion thereof.</t>
  </si>
  <si>
    <t>Dietary Vegetable Measurement</t>
  </si>
  <si>
    <t>DVEGDG</t>
  </si>
  <si>
    <t>Dietary Vegetables, Dark Green</t>
  </si>
  <si>
    <t>A determination of the total dark green vegetables in a nutritional product or meal, or a portion thereof.</t>
  </si>
  <si>
    <t>Dietary Vegetables, Dark Green Measurement</t>
  </si>
  <si>
    <t>DVEGRO</t>
  </si>
  <si>
    <t>Dietary Vegetables, Red and Orange</t>
  </si>
  <si>
    <t>A determination of the total red and orange vegetables in a nutritional product or meal, or a portion thereof.</t>
  </si>
  <si>
    <t>Dietary Vegetables, Red and Orange Measurement</t>
  </si>
  <si>
    <t>DVEGSTAR</t>
  </si>
  <si>
    <t>Dietary Vegetables, Starchy</t>
  </si>
  <si>
    <t>A determination of the total starchy vegetables in a nutritional product or meal, or a portion thereof.</t>
  </si>
  <si>
    <t>Dietary Vegetables, Starchy Measurement</t>
  </si>
  <si>
    <t>DVITA</t>
  </si>
  <si>
    <t>Dietary Vitamin A</t>
  </si>
  <si>
    <t>A determination of the total vitamin A in a nutritional product or meal, or a portion thereof.</t>
  </si>
  <si>
    <t>Dietary Vitamin A Measurement</t>
  </si>
  <si>
    <t>DVITB12</t>
  </si>
  <si>
    <t>Dietary Vitamin B12</t>
  </si>
  <si>
    <t>A determination of the total vitamin B12 in a nutritional product or meal, or a portion thereof.</t>
  </si>
  <si>
    <t>Dietary Vitamin B12 Measurement</t>
  </si>
  <si>
    <t>DVITB6</t>
  </si>
  <si>
    <t>Dietary Vitamin B6</t>
  </si>
  <si>
    <t>A determination of the total vitamin B6 in a nutritional product or meal, or a portion thereof.</t>
  </si>
  <si>
    <t>Dietary Vitamin B6 Measurement</t>
  </si>
  <si>
    <t>DVITC</t>
  </si>
  <si>
    <t>Dietary Vitamin C</t>
  </si>
  <si>
    <t>A determination of the total vitamin C in a nutritional product or meal, or a portion thereof.</t>
  </si>
  <si>
    <t>Dietary Vitamin C Measurement</t>
  </si>
  <si>
    <t>DVITD</t>
  </si>
  <si>
    <t>Dietary Vitamin D</t>
  </si>
  <si>
    <t>A determination of the total vitamin D in a nutritional product or meal, or a portion thereof.</t>
  </si>
  <si>
    <t>Dietary Vitamin D Measurement</t>
  </si>
  <si>
    <t>DVITK</t>
  </si>
  <si>
    <t>Dietary Vitamin K</t>
  </si>
  <si>
    <t>A determination of the total vitamin K in a nutritional product or meal, or a portion thereof.</t>
  </si>
  <si>
    <t>Dietary Vitamin K Measurement</t>
  </si>
  <si>
    <t>DVOPBLST</t>
  </si>
  <si>
    <t>Device Output Blinding Status</t>
  </si>
  <si>
    <t>The blinding condition or state of the information generated and provided by a device.</t>
  </si>
  <si>
    <t>Device Data Blinded Status</t>
  </si>
  <si>
    <t>DWELLTYP</t>
  </si>
  <si>
    <t>Dwelling Type</t>
  </si>
  <si>
    <t>A characterization or classification of the physical location where the individual resides.</t>
  </si>
  <si>
    <t>Living Quarters</t>
  </si>
  <si>
    <t>DXCRITMT</t>
  </si>
  <si>
    <t>Diagnostic Criteria Met</t>
  </si>
  <si>
    <t>A description of the diagnostic criteria that the subject fulfilled in order to establish a medical diagnosis.</t>
  </si>
  <si>
    <t>Which Diagnostic Criteria Met</t>
  </si>
  <si>
    <t>DXCSD11</t>
  </si>
  <si>
    <t>11-Deoxycorticosteroids</t>
  </si>
  <si>
    <t>11-Deoxycorticoids; 11-Deoxycorticosteroid; 11-Deoxycorticosteroids</t>
  </si>
  <si>
    <t>A measurement of the total 11-deoxycorticosteroids in a biological specimen.</t>
  </si>
  <si>
    <t>11-Deoxycorticosteroid Measurement</t>
  </si>
  <si>
    <t>DXCSL11</t>
  </si>
  <si>
    <t>11-Deoxycortisol</t>
  </si>
  <si>
    <t>A measurement of the 11-deoxycortisol in a biological specimen.</t>
  </si>
  <si>
    <t>11-Deoxycortisol Measurement</t>
  </si>
  <si>
    <t>DXCSL21</t>
  </si>
  <si>
    <t>21-Deoxycortisol</t>
  </si>
  <si>
    <t>A measurement of the 21-deoxycortisol in a biological specimen.</t>
  </si>
  <si>
    <t>21-Deoxycortisol Measurement</t>
  </si>
  <si>
    <t>DXCSN11</t>
  </si>
  <si>
    <t>11-Deoxycorticosterone</t>
  </si>
  <si>
    <t>11-Deoxycorticosterone; 21-Hydroxyprogesterone; Cortexone; Deoxycortone; Desoxycortone</t>
  </si>
  <si>
    <t>A measurement of the 11-deoxycorticosterone in a biological specimen.</t>
  </si>
  <si>
    <t>11-Deoxycorticosterone Measurement</t>
  </si>
  <si>
    <t>DXCSN21</t>
  </si>
  <si>
    <t>21-Deoxycorticosterone</t>
  </si>
  <si>
    <t>A measurement of the 21-deoxycorticosterone in a biological specimen.</t>
  </si>
  <si>
    <t>21-Deoxycorticosterone Measurement</t>
  </si>
  <si>
    <t>DYOGURT</t>
  </si>
  <si>
    <t>Dietary Yogurt</t>
  </si>
  <si>
    <t>A determination of the yogurt in a nutritional product or meal, or a portion thereof.</t>
  </si>
  <si>
    <t>Dietary Yogurt Measurement</t>
  </si>
  <si>
    <t>DYSESTHE</t>
  </si>
  <si>
    <t>Dysesthesia</t>
  </si>
  <si>
    <t>An evaluation of dysesthesia (distortion of a sense resulting in an abnormal and unpleasant sensation, usually described as burning, tingling, or numbness).</t>
  </si>
  <si>
    <t>Dysesthesia Evaluation</t>
  </si>
  <si>
    <t>DYSTONIA</t>
  </si>
  <si>
    <t>Dystonia</t>
  </si>
  <si>
    <t>An evaluation of dystonia (a movement disorder characterized by sustained or intermittent muscle contractions, resulting in abnormal movements and/or postures).</t>
  </si>
  <si>
    <t>Dystonia Evaluation</t>
  </si>
  <si>
    <t>DYSTPN</t>
  </si>
  <si>
    <t>Dystrophin</t>
  </si>
  <si>
    <t>A measurement of the total dystrophin in a biological specimen.</t>
  </si>
  <si>
    <t>Dystrophin Measurement</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</si>
  <si>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</si>
  <si>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</si>
  <si>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</si>
  <si>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</si>
  <si>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</si>
  <si>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DZN</t>
  </si>
  <si>
    <t>Dietary Zinc</t>
  </si>
  <si>
    <t>A determination of the total Zinc in a nutritional product or meal, or a portion thereof.</t>
  </si>
  <si>
    <t>Dietary Zinc Measurement</t>
  </si>
  <si>
    <t>DZPM</t>
  </si>
  <si>
    <t>Diazepam</t>
  </si>
  <si>
    <t>A measurement of the diazepam present in a biological specimen.</t>
  </si>
  <si>
    <t>Diazepam Measurement</t>
  </si>
  <si>
    <t>E1S</t>
  </si>
  <si>
    <t>Estrone Sulfate</t>
  </si>
  <si>
    <t>E1S; Estrone 3-Sulfate; Estrone Sulfate</t>
  </si>
  <si>
    <t>A measurement of the estrone sulfate in a biological specimen.</t>
  </si>
  <si>
    <t>Estrone Sulfate Measurement</t>
  </si>
  <si>
    <t>EAA</t>
  </si>
  <si>
    <t>Ethyl Acetoacetate</t>
  </si>
  <si>
    <t>Ethyl 3-Oxobutanoate; Ethyl Acetoacetate; Ethyl Acetoacetic Acid; Ethyl Acetylacetate</t>
  </si>
  <si>
    <t>A measurement of the ethyl acetoacetate in a specimen.</t>
  </si>
  <si>
    <t>Ethyl Acetoacetate Measurement</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</si>
  <si>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</si>
  <si>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</si>
  <si>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</si>
  <si>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</si>
  <si>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</si>
  <si>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EBDNA</t>
  </si>
  <si>
    <t>Epstein-Barr DNA</t>
  </si>
  <si>
    <t>Epstein-Barr DNA; Human Herpesvirus 4 DNA</t>
  </si>
  <si>
    <t>A measurement of the Epstein-Barr virus DNA in a biological specimen.</t>
  </si>
  <si>
    <t>Epstein-Barr DNA Measurement</t>
  </si>
  <si>
    <t>EBEAG</t>
  </si>
  <si>
    <t>Epstein-Barr Early Antigen</t>
  </si>
  <si>
    <t>A measurement of the Epstein-Barr early antigen in a biological specimen.</t>
  </si>
  <si>
    <t>Epstein-Barr Early Antigen Measurement</t>
  </si>
  <si>
    <t>EBNAG</t>
  </si>
  <si>
    <t>Epstein-Barr Nuclear Antigen</t>
  </si>
  <si>
    <t>A measurement of the Epstein-Barr nuclear antigen in a biological specimen.</t>
  </si>
  <si>
    <t>Epstein-Barr Nuclear Antigen Measurement</t>
  </si>
  <si>
    <t>EBOV</t>
  </si>
  <si>
    <t>Ebola Virus</t>
  </si>
  <si>
    <t>A measurement of the Ebola virus in a biological specimen.</t>
  </si>
  <si>
    <t>Ebola Virus Measurement</t>
  </si>
  <si>
    <t>EBV</t>
  </si>
  <si>
    <t>Epstein-Barr Virus</t>
  </si>
  <si>
    <t>A measurement of the Epstein-Barr virus in a biological specimen.</t>
  </si>
  <si>
    <t>Epstein-Barr Virus Measurement</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</si>
  <si>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</si>
  <si>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</si>
  <si>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</si>
  <si>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</si>
  <si>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</si>
  <si>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</si>
  <si>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</si>
  <si>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</si>
  <si>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</si>
  <si>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</si>
  <si>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ECCENTCY</t>
  </si>
  <si>
    <t>Eccentrocytes</t>
  </si>
  <si>
    <t>A measurement of the eccentrocytes (erythrocytes in which the hemoglobin is localized to a particular portion of the cell, noticeable as localized staining) in a biological specimen.</t>
  </si>
  <si>
    <t>Eccentrocyte Count</t>
  </si>
  <si>
    <t>ECCHYIND</t>
  </si>
  <si>
    <t>Ecchymosis Indicator</t>
  </si>
  <si>
    <t>An indication as to whether ecchymosis is present.</t>
  </si>
  <si>
    <t>ECGELCTN</t>
  </si>
  <si>
    <t>Number of ECG Electrodes</t>
  </si>
  <si>
    <t>Number of ECG Electrodes; Number of EKG Electrodes; Number of Electrocardiogram Electrodes</t>
  </si>
  <si>
    <t>The number of electrocardiogram electrodes used in the assessment.</t>
  </si>
  <si>
    <t>Number of Electrocardiogram Electrodes</t>
  </si>
  <si>
    <t>ECHOTIME</t>
  </si>
  <si>
    <t>Echo Time</t>
  </si>
  <si>
    <t>The time in milliseconds between the application of the excitation pulse and the recording of the peak echo signal. (NCI)</t>
  </si>
  <si>
    <t>ECL</t>
  </si>
  <si>
    <t>Enterobacter cloacae</t>
  </si>
  <si>
    <t>A measurement of the Enterobacter cloacae in a biological specimen.</t>
  </si>
  <si>
    <t>Enterobacter cloacae Measurement</t>
  </si>
  <si>
    <t>ECLCM</t>
  </si>
  <si>
    <t>Enterobacter cloacae Complex</t>
  </si>
  <si>
    <t>A measurement of the Enterobacter cloacae complex in a biological specimen.</t>
  </si>
  <si>
    <t>Enterobacter cloacae Complex Measurement</t>
  </si>
  <si>
    <t>ECLCMDNA</t>
  </si>
  <si>
    <t>Enterobacter cloacae Complex DNA</t>
  </si>
  <si>
    <t>A measurement of the Enterobacter cloacae complex DNA in a biological specimen.</t>
  </si>
  <si>
    <t>Enterobacter cloacae Complex DNA Measurement</t>
  </si>
  <si>
    <t>ECLSLTXN</t>
  </si>
  <si>
    <t>Escherichia coli Shiga-like Toxin</t>
  </si>
  <si>
    <t>A measurement of the total Escherichia coli shiga-like toxin in a biological specimen.</t>
  </si>
  <si>
    <t>Escherichia coli Shiga-like Toxin Measurement</t>
  </si>
  <si>
    <t>ECO</t>
  </si>
  <si>
    <t>Escherichia coli</t>
  </si>
  <si>
    <t>A measurement of the Escherichia coli in a biological specimen.</t>
  </si>
  <si>
    <t>Escherichia coli Measurement</t>
  </si>
  <si>
    <t>ECODNA</t>
  </si>
  <si>
    <t>Escherichia coli DNA</t>
  </si>
  <si>
    <t>A measurement of the Escherichia coli DNA in a biological specimen.</t>
  </si>
  <si>
    <t>Escherichia coli DNA Measurement</t>
  </si>
  <si>
    <t>ECOK1DNA</t>
  </si>
  <si>
    <t>Escherichia coli K1 DNA</t>
  </si>
  <si>
    <t>A measurement of the Escherichia coli K1 DNA in a biological specimen.</t>
  </si>
  <si>
    <t>Escherichia coli K1 DNA Measurement</t>
  </si>
  <si>
    <t>ECOOAG</t>
  </si>
  <si>
    <t>Escherichia coli O Antigen</t>
  </si>
  <si>
    <t>A measurement of the Escherichia coli O antigen in a biological specimen.</t>
  </si>
  <si>
    <t>Escherichia coli O Antigen Measurement</t>
  </si>
  <si>
    <t>ECP</t>
  </si>
  <si>
    <t>Eosinophil Cationic Protein</t>
  </si>
  <si>
    <t>Eosinophil Cationic Protein; Ribonuclease A Family Member 3; RNase 3</t>
  </si>
  <si>
    <t>A measurement of the eosinophil cationic protein in a biological specimen.</t>
  </si>
  <si>
    <t>Eosinophil Cationic Protein Measurement</t>
  </si>
  <si>
    <t>ECSNRTYP</t>
  </si>
  <si>
    <t>Electrical Current Sensor Type</t>
  </si>
  <si>
    <t>A description of the sensor used to detect electrical current.</t>
  </si>
  <si>
    <t>Type of Electrical Current Sensor</t>
  </si>
  <si>
    <t>ECT</t>
  </si>
  <si>
    <t>Ecarin Clotting Time</t>
  </si>
  <si>
    <t>A measurement of the activity of thrombin inhibitors in a biological specimen based on the generation of meizothrombin.</t>
  </si>
  <si>
    <t>Ecarin Clotting Time Measurement</t>
  </si>
  <si>
    <t>ECTPGIND</t>
  </si>
  <si>
    <t>Ectopic Pregnancy Indicator</t>
  </si>
  <si>
    <t>An indication as to whether an ectopic pregnancy has occurred.</t>
  </si>
  <si>
    <t>ECTPREGN</t>
  </si>
  <si>
    <t>Number of Ectopic Pregnancies</t>
  </si>
  <si>
    <t>A measurement of the total number of ectopic pregnancies experienced by a female subject.</t>
  </si>
  <si>
    <t>ECVERTXN</t>
  </si>
  <si>
    <t>Escherichia coli Verotoxin</t>
  </si>
  <si>
    <t>A measurement of the total Escherichia coli verotoxin in a biological specimen.</t>
  </si>
  <si>
    <t>Escherichia coli Verotoxin Measurement</t>
  </si>
  <si>
    <t>ECW</t>
  </si>
  <si>
    <t>Extracellular Water</t>
  </si>
  <si>
    <t>Extracellular Body Water; Extracellular Water</t>
  </si>
  <si>
    <t>A measurement of the quantity of water in the extracellular compartments within the body.</t>
  </si>
  <si>
    <t>Extracellular Water Measurement</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</si>
  <si>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</si>
  <si>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</si>
  <si>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</si>
  <si>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</si>
  <si>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</si>
  <si>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EDCDTC</t>
  </si>
  <si>
    <t>Estimated Date of Conception</t>
  </si>
  <si>
    <t>An approximate calculated date at which the conception event took place.</t>
  </si>
  <si>
    <t>EDDP</t>
  </si>
  <si>
    <t>2-ethylidene-1,5-dimethyl-3,3-diphenylpyrrolidine; EDDP</t>
  </si>
  <si>
    <t>A measurement of the methadone metabolite 2-ethylidene-1,5-dimethyl-3,3-diphenylpyrrolidine present in a biological specimen.</t>
  </si>
  <si>
    <t>EDDP Measurement</t>
  </si>
  <si>
    <t>EDEMA</t>
  </si>
  <si>
    <t>Edema</t>
  </si>
  <si>
    <t>An evaluation of edema (an excessive amount of watery fluid) in a biological specimen or location.</t>
  </si>
  <si>
    <t>Edema Evaluation</t>
  </si>
  <si>
    <t>EDEMAIND</t>
  </si>
  <si>
    <t>Edema Indicator</t>
  </si>
  <si>
    <t>An indication as to whether edema is present.</t>
  </si>
  <si>
    <t>EDI</t>
  </si>
  <si>
    <t>Entamoeba dispar</t>
  </si>
  <si>
    <t>A measurement of the Entamoeba dispar in a biological specimen.</t>
  </si>
  <si>
    <t>Entamoeba dispar Measurement</t>
  </si>
  <si>
    <t>EDIDNA</t>
  </si>
  <si>
    <t>Entamoeba dispar DNA</t>
  </si>
  <si>
    <t>A measurement of the Entamoeba dispar DNA in a biological specimen.</t>
  </si>
  <si>
    <t>Entamoeba dispar DNA Measurement</t>
  </si>
  <si>
    <t>EDLVRDTC</t>
  </si>
  <si>
    <t>Estimated Date of Delivery</t>
  </si>
  <si>
    <t>An approximate calculation of the delivery date.</t>
  </si>
  <si>
    <t>Expected Date of Confinement</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</si>
  <si>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</si>
  <si>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</si>
  <si>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</si>
  <si>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</si>
  <si>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</si>
  <si>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EDTACLR</t>
  </si>
  <si>
    <t>EDTA Clearance</t>
  </si>
  <si>
    <t>A measurement of the volume of serum or plasma that would be cleared of Ethylenediamine tetraacetic acid (EDTA) by excretion of urine for a specified unit of time (e.g. one minute).</t>
  </si>
  <si>
    <t>EDULEVEL</t>
  </si>
  <si>
    <t>Level of Education Attained</t>
  </si>
  <si>
    <t>Highest level of education that a person has attained.</t>
  </si>
  <si>
    <t>Education Level</t>
  </si>
  <si>
    <t>EDUYRNUM</t>
  </si>
  <si>
    <t>Number of Years of Education</t>
  </si>
  <si>
    <t>The number of years of education that a person has completed.</t>
  </si>
  <si>
    <t>EDV</t>
  </si>
  <si>
    <t>End Diastolic Volume</t>
  </si>
  <si>
    <t>End Diastolic Blood Volume; End Diastolic Volume</t>
  </si>
  <si>
    <t>The volume of blood remaining in the ventricle or atrium at end diastole.</t>
  </si>
  <si>
    <t>EEGELCTN</t>
  </si>
  <si>
    <t>Number of EEG Electrodes</t>
  </si>
  <si>
    <t>Number of EEG Electrodes; Number of Electroencephalogram Electrodes</t>
  </si>
  <si>
    <t>The number of electroencephalogram electrodes used in the assessment.</t>
  </si>
  <si>
    <t>Number of Electroencephalogram Electrodes</t>
  </si>
  <si>
    <t>EFA</t>
  </si>
  <si>
    <t>Enterococcus faecalis</t>
  </si>
  <si>
    <t>Streptococcus faecalis</t>
  </si>
  <si>
    <t>A measurement of the Enterococcus faecalis in a biological specimen.</t>
  </si>
  <si>
    <t>Enterococcus faecalis Measurement</t>
  </si>
  <si>
    <t>EFADNA</t>
  </si>
  <si>
    <t>Enterococcus faecalis DNA</t>
  </si>
  <si>
    <t>A measurement of the Enterococcus faecalis DNA in a biological specimen.</t>
  </si>
  <si>
    <t>Enterococcus faecalis DNA Measurement</t>
  </si>
  <si>
    <t>EFAM</t>
  </si>
  <si>
    <t>Enterococcus faecium</t>
  </si>
  <si>
    <t>A measurement of the Enterococcus faecium in a biological specimen.</t>
  </si>
  <si>
    <t>Enterococcus faecium Measurement</t>
  </si>
  <si>
    <t>EFFIND</t>
  </si>
  <si>
    <t>Effusion Indicator</t>
  </si>
  <si>
    <t>An indication as to whether effusion is present.</t>
  </si>
  <si>
    <t>EFFRGOA</t>
  </si>
  <si>
    <t>Effective Regurgitant Orifice Area</t>
  </si>
  <si>
    <t>A measurement of the effective regurgitant orifice area of the valve.</t>
  </si>
  <si>
    <t>EFFVOL</t>
  </si>
  <si>
    <t>Effusion Volume</t>
  </si>
  <si>
    <t>The amount of three dimensional space occupied by the effusion fluid.</t>
  </si>
  <si>
    <t>Effusion Volume Measurement</t>
  </si>
  <si>
    <t>EGARMAX</t>
  </si>
  <si>
    <t>ECG Maximum Atrial Rate</t>
  </si>
  <si>
    <t>An electrocardiographic measurement of the maximum rate of atrial depolarizations (P waves) recorded during an interval of time, usually expressed in beats per minute.</t>
  </si>
  <si>
    <t>Maximum Atrial Rate by Electrocardiogram</t>
  </si>
  <si>
    <t>EGARMED</t>
  </si>
  <si>
    <t>ECG Median Atrial Rate</t>
  </si>
  <si>
    <t>An electrocardiographic measurement of the median rate of atrial depolarizations (P waves) recorded during an interval of time, usually expressed in beats per minute.</t>
  </si>
  <si>
    <t>Median Atrial Rate by Electrocardiogram</t>
  </si>
  <si>
    <t>EGARMIN</t>
  </si>
  <si>
    <t>ECG Minimum Atrial Rate</t>
  </si>
  <si>
    <t>An electrocardiographic measurement of the minimum rate of atrial depolarizations (P waves) recorded during an interval of time, usually expressed in beats per minute.</t>
  </si>
  <si>
    <t>Minimum Atrial Rate by Electrocardiogram</t>
  </si>
  <si>
    <t>EGARMN</t>
  </si>
  <si>
    <t>ECG Mean Atrial Rate</t>
  </si>
  <si>
    <t>An electrocardiographic measurement of the average rate of atrial depolarizations (P waves) recorded during an interval of time, usually expressed in beats per minute.</t>
  </si>
  <si>
    <t>Mean Atrial Rate by Electrocardiogram</t>
  </si>
  <si>
    <t>EGCOMP</t>
  </si>
  <si>
    <t>Comparison to a Prior ECG</t>
  </si>
  <si>
    <t>A comparative interpretation of an ECG relative to a previous (comparator) ECG. The definition of the comparator ECG may be specified elsewhere. Common comparator result values include improved, no change, deteriorated.</t>
  </si>
  <si>
    <t>EGESTAGE</t>
  </si>
  <si>
    <t>Estimated Gestational Age</t>
  </si>
  <si>
    <t>An approximate calculation of the gestational age of the fetus, neonate, or infant.</t>
  </si>
  <si>
    <t>EGF</t>
  </si>
  <si>
    <t>Epidermal Growth Factor</t>
  </si>
  <si>
    <t>A measurement of the epidermal growth factor in a biological specimen.</t>
  </si>
  <si>
    <t>Epidermal Growth Factor Measurement</t>
  </si>
  <si>
    <t>EGFR</t>
  </si>
  <si>
    <t>Epidermal Growth Factor Receptor</t>
  </si>
  <si>
    <t>Epidermal Growth Factor Receptor; ERBB1; HER1</t>
  </si>
  <si>
    <t>A measurement of the epidermal growth factor receptor in a biological specimen.</t>
  </si>
  <si>
    <t>Epidermal Growth Factor Receptor Measurement</t>
  </si>
  <si>
    <t>EGFRFR</t>
  </si>
  <si>
    <t>Epidermal Growth Factor Receptor, Free</t>
  </si>
  <si>
    <t>A measurement of the free (unbound) epidermal growth factor receptor in a biological specimen.</t>
  </si>
  <si>
    <t>Free Epidermal Growth Factor Receptor Measurement</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</si>
  <si>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</si>
  <si>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</si>
  <si>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</si>
  <si>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</si>
  <si>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</si>
  <si>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</si>
  <si>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</si>
  <si>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</si>
  <si>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</si>
  <si>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</si>
  <si>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</si>
  <si>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</si>
  <si>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</si>
  <si>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</si>
  <si>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</si>
  <si>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EGHRSI</t>
  </si>
  <si>
    <t>Single RR Heart Rate</t>
  </si>
  <si>
    <t>An electrocardiographic measurement of a heart rate derived from a single RR interval (interval between two consecutive QRS complexes).</t>
  </si>
  <si>
    <t>Single Beat RR Extrapolated Heart Rate by ECG Assessment</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</si>
  <si>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</si>
  <si>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</si>
  <si>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</si>
  <si>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</si>
  <si>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</si>
  <si>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</si>
  <si>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</si>
  <si>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</si>
  <si>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</si>
  <si>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</si>
  <si>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</si>
  <si>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</si>
  <si>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</si>
  <si>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</si>
  <si>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</si>
  <si>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</si>
  <si>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EHEC</t>
  </si>
  <si>
    <t>Enterohemorrhagic Escherichia coli</t>
  </si>
  <si>
    <t>A measurement of the enterohemorrhagic Escherichia coli in a biological specimen.</t>
  </si>
  <si>
    <t>Enterohemorrhagic Escherichia coli Measurement</t>
  </si>
  <si>
    <t>EHIDNA</t>
  </si>
  <si>
    <t>Entamoeba histolytica DNA</t>
  </si>
  <si>
    <t>A measurement of the Entamoeba histolytica DNA in a biological specimen.</t>
  </si>
  <si>
    <t>Entamoeba histolytica DNA Measurement</t>
  </si>
  <si>
    <t>EHRLDNA</t>
  </si>
  <si>
    <t>Ehrlichia DNA</t>
  </si>
  <si>
    <t>A measurement of the DNA from any member of the genus Ehrlichia in a biological specimen.</t>
  </si>
  <si>
    <t>Ehrlichia DNA Measurement</t>
  </si>
  <si>
    <t>EJWAMP</t>
  </si>
  <si>
    <t>Ejection Wave Amplitude</t>
  </si>
  <si>
    <t>The magnitude of the ejection wave that occurs when blood is ejected into the aorta by the left ventricle.</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</si>
  <si>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</si>
  <si>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</si>
  <si>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</si>
  <si>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</si>
  <si>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</si>
  <si>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ELA1</t>
  </si>
  <si>
    <t>Pancreatic Elastase 1</t>
  </si>
  <si>
    <t>A measurement of the pancreatic elastase 1 in a biological specimen.</t>
  </si>
  <si>
    <t>Pancreatic Elastase Measurement</t>
  </si>
  <si>
    <t>ELA1PMN</t>
  </si>
  <si>
    <t>Pancreatic Elastase 1, Polymorphonuclear</t>
  </si>
  <si>
    <t>A measurement of the polymorphonuclear pancreatic elastase 1 in a biological specimen.</t>
  </si>
  <si>
    <t>Polymorphonuclear Pancreatic Elastase Measurement</t>
  </si>
  <si>
    <t>ELA2</t>
  </si>
  <si>
    <t>Neutrophil Elastase</t>
  </si>
  <si>
    <t>A measurement of the neutrophil elastase in a biological specimen.</t>
  </si>
  <si>
    <t>Neutrophil Elastase Measurement</t>
  </si>
  <si>
    <t>ELA2PMN</t>
  </si>
  <si>
    <t>Neutrophil Elastase, Polymorphonuclear</t>
  </si>
  <si>
    <t>A measurement of the polymorphonuclear neutrophil elastase in a biological specimen.</t>
  </si>
  <si>
    <t>Polymorphonuclear Neutrophil Elastase Measurement</t>
  </si>
  <si>
    <t>ELLIPCY</t>
  </si>
  <si>
    <t>Elliptocytes</t>
  </si>
  <si>
    <t>A measurement of the elliptocytes (elliptically shaped cell with blunt ends and a long axis twice the length of its short axis) in a biological specimen.</t>
  </si>
  <si>
    <t>Elliptocyte Count</t>
  </si>
  <si>
    <t>ELQDVISC</t>
  </si>
  <si>
    <t>E-Liquid Viscosity</t>
  </si>
  <si>
    <t>The resistance of an e-liquid to sheer forces and flow.</t>
  </si>
  <si>
    <t>ELQDVOL</t>
  </si>
  <si>
    <t>E-Liquid Volume</t>
  </si>
  <si>
    <t>The amount of three dimensional space occupied by e-liquid.</t>
  </si>
  <si>
    <t>ELSTNCE</t>
  </si>
  <si>
    <t>Elastance</t>
  </si>
  <si>
    <t>A measure of the resistance of a system to expand, i.e. the pressure change that is required to elicit a unit volume change in the lungs. Elastance is the reciprocal of compliance.</t>
  </si>
  <si>
    <t>EMA</t>
  </si>
  <si>
    <t>Ethylamphetamine</t>
  </si>
  <si>
    <t>Ethylamphetamine; Etilamfetamine; N-Ethylamphetamine</t>
  </si>
  <si>
    <t>A measurement of the ethylamphetamine in a biological specimen.</t>
  </si>
  <si>
    <t>Ethylamphetamine Measurement</t>
  </si>
  <si>
    <t>EMGELCTN</t>
  </si>
  <si>
    <t>Number of EMG Electrodes</t>
  </si>
  <si>
    <t>Number of Electromyogram Electrodes; Number of EMG Electrodes</t>
  </si>
  <si>
    <t>The number of electromyogram electrodes used in the assessment.</t>
  </si>
  <si>
    <t>Number of Electromyogram Electrodes</t>
  </si>
  <si>
    <t>EMPJOB</t>
  </si>
  <si>
    <t>Employee Job</t>
  </si>
  <si>
    <t>Employee Job; Occupation; Type of Work</t>
  </si>
  <si>
    <t>A code specifying the job performed by the employee for the employer. For example, accountant, programmer analyst, patient care associate, staff nurse, etc.</t>
  </si>
  <si>
    <t>Occupation</t>
  </si>
  <si>
    <t>EMPSTAT</t>
  </si>
  <si>
    <t>Employment Status</t>
  </si>
  <si>
    <t>The state or condition of an individual's employment.</t>
  </si>
  <si>
    <t>ENA78</t>
  </si>
  <si>
    <t>Epith Neutrophil-Activating Peptide 78</t>
  </si>
  <si>
    <t>A measurement of the epithelial neutrophil-activating peptide in a biological specimen.</t>
  </si>
  <si>
    <t>Epithelial Neutrophil-Activating Peptide 78 Measurement</t>
  </si>
  <si>
    <t>ENDO</t>
  </si>
  <si>
    <t>Endothelial Cells</t>
  </si>
  <si>
    <t>A measurement of the endothelial cells in a biological specimen.</t>
  </si>
  <si>
    <t>Endothelial Cell Count</t>
  </si>
  <si>
    <t>ENDOSTN</t>
  </si>
  <si>
    <t>Endostatin</t>
  </si>
  <si>
    <t>Collagen Type XVIII Alpha 1 Chain; Endostatin</t>
  </si>
  <si>
    <t>A measurement of the endostatin in a biological specimen.</t>
  </si>
  <si>
    <t>Endostatin Measurement</t>
  </si>
  <si>
    <t>ENDOTH1</t>
  </si>
  <si>
    <t>Endothelin-1</t>
  </si>
  <si>
    <t>A measurement of the endothelin-1 in a biological specimen.</t>
  </si>
  <si>
    <t>Endothelin-1 Measurement</t>
  </si>
  <si>
    <t>ENDOTH3</t>
  </si>
  <si>
    <t>Endothelin-3</t>
  </si>
  <si>
    <t>Endothelin-3; ET-3</t>
  </si>
  <si>
    <t>A measurement of the endothelin-3 in a biological specimen.</t>
  </si>
  <si>
    <t>Endothelin-3 Measurement</t>
  </si>
  <si>
    <t>ENDPTIND</t>
  </si>
  <si>
    <t>Endpoint Event Indicator</t>
  </si>
  <si>
    <t>An indication as to whether the event meets the criteria for being a clinical endpoint.</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</si>
  <si>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</si>
  <si>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</si>
  <si>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</si>
  <si>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</si>
  <si>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</si>
  <si>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</si>
  <si>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</si>
  <si>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</si>
  <si>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</si>
  <si>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</si>
  <si>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ENRGEXP</t>
  </si>
  <si>
    <t>Energy Expenditure</t>
  </si>
  <si>
    <t>A measurement of the amount of energy used to carry out a physiological or physical function.</t>
  </si>
  <si>
    <t>ENTEROBA</t>
  </si>
  <si>
    <t>Enterobacter</t>
  </si>
  <si>
    <t>A measurement of the organisms that are not assigned to the species level but are assigned to the Enterobacter genus level in a biological specimen.</t>
  </si>
  <si>
    <t>Enterobacter Measurement</t>
  </si>
  <si>
    <t>ENTEROCO</t>
  </si>
  <si>
    <t>Enterococcus</t>
  </si>
  <si>
    <t>A measurement of the organisms that are not assigned to the species level but are assigned to the Enterococcus genus level in a biological specimen.</t>
  </si>
  <si>
    <t>Enterococcus Measurement</t>
  </si>
  <si>
    <t>ENTEROVI</t>
  </si>
  <si>
    <t>Enterovirus</t>
  </si>
  <si>
    <t>A measurement of the organisms that are not assigned to the species level but are assigned to the Enterovirus genus level in a biological specimen.</t>
  </si>
  <si>
    <t>Enterovirus Measurement</t>
  </si>
  <si>
    <t>ENTRNA</t>
  </si>
  <si>
    <t>Enterovirus RNA</t>
  </si>
  <si>
    <t>A measurement of the RNA from any member of the genus Enterovirus in a biological specimen.</t>
  </si>
  <si>
    <t>Enterovirus RNA Measurement</t>
  </si>
  <si>
    <t>EO157AG</t>
  </si>
  <si>
    <t>Escherichia coli O157 Antigen</t>
  </si>
  <si>
    <t>A measurement of the Escherichia coli O157 antigen in a biological specimen.</t>
  </si>
  <si>
    <t>Escherichia coli O157 Antigen Measurement</t>
  </si>
  <si>
    <t>EO157DNA</t>
  </si>
  <si>
    <t>Escherichia coli O157 DNA</t>
  </si>
  <si>
    <t>A measurement of the Escherichia coli O157 DNA in a biological specimen.</t>
  </si>
  <si>
    <t>Escherichia coli O157 DNA Measurement</t>
  </si>
  <si>
    <t>EOA</t>
  </si>
  <si>
    <t>Effective Orifice Area</t>
  </si>
  <si>
    <t>The calculated estimate of the area of a cardiac valve at the point of maximum opening.</t>
  </si>
  <si>
    <t>EOAINDEX</t>
  </si>
  <si>
    <t>Effective Orifice Area Index</t>
  </si>
  <si>
    <t>The ratio of the effective orifice area (EOA) to the body surface area (BSA).</t>
  </si>
  <si>
    <t>EOGELCTN</t>
  </si>
  <si>
    <t>Number of EOG Electrodes</t>
  </si>
  <si>
    <t>Number of Electrooculogram Electrodes; Number of EOG Electrodes</t>
  </si>
  <si>
    <t>The number of electrooculogram electrodes used in the assessment.</t>
  </si>
  <si>
    <t>Number of Electrooculogram Electrodes</t>
  </si>
  <si>
    <t>EOS</t>
  </si>
  <si>
    <t>Eosinophils</t>
  </si>
  <si>
    <t>A measurement of the eosinophils in a biological specimen.</t>
  </si>
  <si>
    <t>Eosinophil Count</t>
  </si>
  <si>
    <t>EOSB</t>
  </si>
  <si>
    <t>Eosinophils Band Form</t>
  </si>
  <si>
    <t>A measurement of the banded eosinophils in a biological specimen.</t>
  </si>
  <si>
    <t>Eosinophil Band Form Count</t>
  </si>
  <si>
    <t>EOSBLE</t>
  </si>
  <si>
    <t>Eosinophils Band Form/Leukocytes</t>
  </si>
  <si>
    <t>A relative measurement (ratio or percentage) of the banded eosinophils to leukocytes in a biological specimen.</t>
  </si>
  <si>
    <t>Eosinophil Band Form to Leukocyte Ratio</t>
  </si>
  <si>
    <t>EOSCE</t>
  </si>
  <si>
    <t>Eosinophils/Total Cells</t>
  </si>
  <si>
    <t>A relative measurement (ratio or percentage) of the eosinophils to total cells in a biological specimen (for example a bone marrow specimen).</t>
  </si>
  <si>
    <t>Eosinophils to Total Cell Ratio Measurement</t>
  </si>
  <si>
    <t>EOSIM</t>
  </si>
  <si>
    <t>Immature Eosinophils</t>
  </si>
  <si>
    <t>A measurement of the immature eosinophils in a biological specimen.</t>
  </si>
  <si>
    <t>Immature Eosinophil Count</t>
  </si>
  <si>
    <t>EOSIMLE</t>
  </si>
  <si>
    <t>Immature Eosinophils/Leukocytes</t>
  </si>
  <si>
    <t>A relative measurement (ratio or percentage) of immature eosinophils to total leukocytes in a biological specimen.</t>
  </si>
  <si>
    <t>Immature Eosinophil to Leukocyte Ratio Measurement</t>
  </si>
  <si>
    <t>EOSLE</t>
  </si>
  <si>
    <t>Eosinophils/Leukocytes</t>
  </si>
  <si>
    <t>A relative measurement (ratio or percentage) of the eosinophils to leukocytes in a biological specimen.</t>
  </si>
  <si>
    <t>Eosinophil to Leukocyte Ratio</t>
  </si>
  <si>
    <t>EOSMM</t>
  </si>
  <si>
    <t>Eosinophilic Metamyelocytes</t>
  </si>
  <si>
    <t>A measurement of the eosinphilic metamyelocytes in a biological specimen.</t>
  </si>
  <si>
    <t>Eosinophilic Metamyelocyte Count</t>
  </si>
  <si>
    <t>EOSMYL</t>
  </si>
  <si>
    <t>Eosinophilic Myelocytes</t>
  </si>
  <si>
    <t>A measurement of the eosinophilic myelocytes in a biological specimen.</t>
  </si>
  <si>
    <t>Eosinophilic Myelocyte Count</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</si>
  <si>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</si>
  <si>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</si>
  <si>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</si>
  <si>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</si>
  <si>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EOSNSQE</t>
  </si>
  <si>
    <t>Eosinophils/Non-Squam Epi Cells</t>
  </si>
  <si>
    <t>A relative measurement (ratio or percentage) of the eosinophils to non-squamous epithelial cells in a biological specimen.</t>
  </si>
  <si>
    <t>Eosinophils to Non-Squamous Epithelial Cells Ratio Measurement</t>
  </si>
  <si>
    <t>EOSNUCCE</t>
  </si>
  <si>
    <t>Eosinophils/Nucleated Cells</t>
  </si>
  <si>
    <t>A relative measurement (ratio or percentage) of eosinophils to nucleated cells in a biological specimen.</t>
  </si>
  <si>
    <t>Eosinophils to Nucleated Cells Ratio Measurement</t>
  </si>
  <si>
    <t>EOSPSD</t>
  </si>
  <si>
    <t>Pseudo-Eosinophils</t>
  </si>
  <si>
    <t>A measurement of the pseudo-eosinophils in a biological specimen.</t>
  </si>
  <si>
    <t>Pseudo-Eosinophil Count</t>
  </si>
  <si>
    <t>EOSPSDLE</t>
  </si>
  <si>
    <t>Pseudo-Eosinophils/Leukocytes</t>
  </si>
  <si>
    <t>A relative measurement (ratio or percentage) of the pseudo-eosinophils to the leukocytes in a biological specimen.</t>
  </si>
  <si>
    <t>Pseudo-Eosinophils to Leukocyte Ratio Measurement</t>
  </si>
  <si>
    <t>EOSSG</t>
  </si>
  <si>
    <t>Eosinophils, Segmented</t>
  </si>
  <si>
    <t>A measurement of the segmented eosinophils in a biological specimen.</t>
  </si>
  <si>
    <t>Segmented Eosinophil Count</t>
  </si>
  <si>
    <t>EOTAXIN1</t>
  </si>
  <si>
    <t>Eotaxin-1</t>
  </si>
  <si>
    <t>Chemokine Ligand 11; Eotaxin-1</t>
  </si>
  <si>
    <t>A measurement of the eotaxin-1 in a biological specimen.</t>
  </si>
  <si>
    <t>Eotaxin-1 Measurement</t>
  </si>
  <si>
    <t>EOTAXIN2</t>
  </si>
  <si>
    <t>Eotaxin-2</t>
  </si>
  <si>
    <t>Chemokine Ligand 24; Eotaxin-2</t>
  </si>
  <si>
    <t>A measurement of the eotaxin-2 in a biological specimen.</t>
  </si>
  <si>
    <t>Eotaxin-2 Measurement</t>
  </si>
  <si>
    <t>EOTAXIN3</t>
  </si>
  <si>
    <t>Eotaxin-3</t>
  </si>
  <si>
    <t>CCL26; Chemokine (C-C Motif) Ligand 26; Chemokine Ligand 26; Eotaxin-3</t>
  </si>
  <si>
    <t>A measurement of the eotaxin-3 in a biological specimen.</t>
  </si>
  <si>
    <t>Eotaxin-3 Measurement</t>
  </si>
  <si>
    <t>EPHD</t>
  </si>
  <si>
    <t>Ephedrine</t>
  </si>
  <si>
    <t>A measurement of the ephedrine in a biological specimen.</t>
  </si>
  <si>
    <t>Ephedrine Measurement</t>
  </si>
  <si>
    <t>EPIC</t>
  </si>
  <si>
    <t>Epithelial Cells</t>
  </si>
  <si>
    <t>A measurement of the epithelial cells in a biological specimen.</t>
  </si>
  <si>
    <t>Epithelial Cell Count</t>
  </si>
  <si>
    <t>EPICCE</t>
  </si>
  <si>
    <t>Epithelial Cells/Total Cells</t>
  </si>
  <si>
    <t>A relative measurement (ratio or percentage) of the epithelial cells to total cells in a biological specimen.</t>
  </si>
  <si>
    <t>Epithelial Cells to Total Cells Ratio Measurement</t>
  </si>
  <si>
    <t>EPICCLMP</t>
  </si>
  <si>
    <t>Epithelial Cell Clumps</t>
  </si>
  <si>
    <t>A measurement of the epithelial cell clumps in a biological specimen.</t>
  </si>
  <si>
    <t>Epithelial Cell Clumps Measurement</t>
  </si>
  <si>
    <t>EPIN</t>
  </si>
  <si>
    <t>Epinephrine</t>
  </si>
  <si>
    <t>Adrenaline; Epinephrine</t>
  </si>
  <si>
    <t>A measurement of the epinephrine hormone in a biological specimen.</t>
  </si>
  <si>
    <t>Epinephrine Measurement</t>
  </si>
  <si>
    <t>EPINEXR</t>
  </si>
  <si>
    <t>Epinephrine Excretion Rate</t>
  </si>
  <si>
    <t>A measurement of the amount of epinephrine being excreted in a biological specimen over a defined amount of time (e.g. one hour).</t>
  </si>
  <si>
    <t>EPINSQCE</t>
  </si>
  <si>
    <t>Non-Squamous Epithelial Cells</t>
  </si>
  <si>
    <t>A measurement of the non-squamous epithelial cells in a biological specimen.</t>
  </si>
  <si>
    <t>Non-Squamous Epithelial Cell Count</t>
  </si>
  <si>
    <t>EPINSQE</t>
  </si>
  <si>
    <t>Epi Cells/Non-Squam Epi Cells</t>
  </si>
  <si>
    <t>A relative measurement (ratio or percentage) of the epithelial cells to non-squamous epithelial cells in a biological specimen.</t>
  </si>
  <si>
    <t>Epithelial Cells to Non-Squamous Epithelial Cells Ratio Measurement</t>
  </si>
  <si>
    <t>EPIRCE</t>
  </si>
  <si>
    <t>Renal Epithelial Cells</t>
  </si>
  <si>
    <t>A measurement of the renal epithelial cells in a biological specimen.</t>
  </si>
  <si>
    <t>Renal Epithelial Cells Measurement</t>
  </si>
  <si>
    <t>EPIROCE</t>
  </si>
  <si>
    <t>Round Epithelial Cells</t>
  </si>
  <si>
    <t>A measurement of the round epithelial cells present in a biological specimen.</t>
  </si>
  <si>
    <t>Round Epithelial Cell Count</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</si>
  <si>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</si>
  <si>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</si>
  <si>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</si>
  <si>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</si>
  <si>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</si>
  <si>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EPISQCE</t>
  </si>
  <si>
    <t>Squamous Epithelial Cells</t>
  </si>
  <si>
    <t>Squamous Cells; Squamous Epithelial Cells</t>
  </si>
  <si>
    <t>A measurement of the squamous epithelial cells present in a biological specimen.</t>
  </si>
  <si>
    <t>Squamous Epithelial Cell Count</t>
  </si>
  <si>
    <t>EPISQTCE</t>
  </si>
  <si>
    <t>Squamous Transitional Epithelial Cells</t>
  </si>
  <si>
    <t>A measurement of the squamous transitional epithelial cells present in a biological specimen.</t>
  </si>
  <si>
    <t>Squamous Transitional Epithelial Cell Count</t>
  </si>
  <si>
    <t>EPITCE</t>
  </si>
  <si>
    <t>Transitional Epithelial Cells</t>
  </si>
  <si>
    <t>A measurement of the transitional epithelial cells present in a biological specimen.</t>
  </si>
  <si>
    <t>Transitional Epithelial Cells Measurement</t>
  </si>
  <si>
    <t>EPITUCE</t>
  </si>
  <si>
    <t>Tubular Epithelial Cells</t>
  </si>
  <si>
    <t>Renal Tubular Epithelial Cells; Tubular Epithelial Cells</t>
  </si>
  <si>
    <t>A measurement of the tubular epithelial cells present in a biological specimen.</t>
  </si>
  <si>
    <t>Tubular Epithelial Cell Count</t>
  </si>
  <si>
    <t>EPMLDNUM</t>
  </si>
  <si>
    <t>Number of Mild Episodes</t>
  </si>
  <si>
    <t>The number of times an event, which is classified as mild, occurred.</t>
  </si>
  <si>
    <t>EPMODNUM</t>
  </si>
  <si>
    <t>Number of Moderate Episodes</t>
  </si>
  <si>
    <t>The number of times an event, which is classified as moderate, occurred.</t>
  </si>
  <si>
    <t>EPO</t>
  </si>
  <si>
    <t>Erythropoietin</t>
  </si>
  <si>
    <t>Erythropoietin; Hematopoietin</t>
  </si>
  <si>
    <t>A measurement of the erythropoietin hormone in a biological specimen.</t>
  </si>
  <si>
    <t>Erythropoietin Measurement</t>
  </si>
  <si>
    <t>EPSDNUM</t>
  </si>
  <si>
    <t>Number of Episodes</t>
  </si>
  <si>
    <t>The total number of episodes that have occurred for the condition.</t>
  </si>
  <si>
    <t>EPSEVNUM</t>
  </si>
  <si>
    <t>Number of Severe Episodes</t>
  </si>
  <si>
    <t>The number of times an event, which is classified as severe, occurred.</t>
  </si>
  <si>
    <t>EPSTI1</t>
  </si>
  <si>
    <t>Epithelial Stromal Interaction Protein 1</t>
  </si>
  <si>
    <t>BRESI1; Epithelial Stromal Interaction Protein 1</t>
  </si>
  <si>
    <t>A measurement of the epithelial stromal interaction protein 1 in a biological specimen.</t>
  </si>
  <si>
    <t>Epithelial Stromal Interaction 1 Measurement</t>
  </si>
  <si>
    <t>ERCE</t>
  </si>
  <si>
    <t>Erythroid Cells</t>
  </si>
  <si>
    <t>A measurement of the erythroid cells in a biological specimen.</t>
  </si>
  <si>
    <t>Erythroid Cell Count</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</si>
  <si>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</si>
  <si>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</si>
  <si>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</si>
  <si>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</si>
  <si>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ERCEMIDX</t>
  </si>
  <si>
    <t>Erythroid Maturation Index</t>
  </si>
  <si>
    <t>A relative measurement (ratio) of the sum of erythroid maturation phase cells (pool) to the sum of erythroid proliferative phase cells (pool) in a biological specimen.</t>
  </si>
  <si>
    <t>ERCEMPOL</t>
  </si>
  <si>
    <t>Erythroid Maturation Pool</t>
  </si>
  <si>
    <t>A measurement of the erythroid maturation phase cells (polychromatic rubricytes, normochromic rubricytes, and metarubricytes) in a biological specimen.</t>
  </si>
  <si>
    <t>Erythroid Maturation Pool Count</t>
  </si>
  <si>
    <t>ERCENC</t>
  </si>
  <si>
    <t>Erythroid Cells/Nucleated Cells</t>
  </si>
  <si>
    <t>A relative measurement (ratio or percentage) of the erythroid cells to total nucleated cells in a biological specimen.</t>
  </si>
  <si>
    <t>Erythroid Cells to Nucleated Cells Ratio Measurement</t>
  </si>
  <si>
    <t>ERCEPIDX</t>
  </si>
  <si>
    <t>Erythroid Proliferation Index</t>
  </si>
  <si>
    <t>A relative measurement (ratio) of the sum of erythroid proliferative phase cells (pool) to the sum of erythroid maturation phase cells (pool) in a biological specimen.</t>
  </si>
  <si>
    <t>ERCEPPOL</t>
  </si>
  <si>
    <t>Erythroid Proliferation Pool</t>
  </si>
  <si>
    <t>A measurement of the erythroid proliferative phase cells (rubriblasts, prorubricytes, and basophilic rubricytes) in a biological specimen.</t>
  </si>
  <si>
    <t>Erythroid Proliferation Pool Count</t>
  </si>
  <si>
    <t>EREG</t>
  </si>
  <si>
    <t>Epiregulin</t>
  </si>
  <si>
    <t>Epiregulin; EPR</t>
  </si>
  <si>
    <t>A measurement of the epiregulin in a biological specimen.</t>
  </si>
  <si>
    <t>Epiregulin Measurement</t>
  </si>
  <si>
    <t>ERFE</t>
  </si>
  <si>
    <t>Erythroferrone</t>
  </si>
  <si>
    <t>A measurement of the erythroferrone in a biological specimen.</t>
  </si>
  <si>
    <t>Erythroferrone Measurement</t>
  </si>
  <si>
    <t>ERGJIND</t>
  </si>
  <si>
    <t>Eccentric Regurgitant Jet Indicator</t>
  </si>
  <si>
    <t>An indication as to whether an eccentric regurgitant jet direction is present.</t>
  </si>
  <si>
    <t>ERLYTRMN</t>
  </si>
  <si>
    <t>Number of Early Term Births</t>
  </si>
  <si>
    <t>A measurement of the total number of birth events at which the gestational age of the neonate is 37 weeks and 0 days through 38 weeks and 6 days.</t>
  </si>
  <si>
    <t>ERPCE</t>
  </si>
  <si>
    <t>Erythroid Precursor Cells</t>
  </si>
  <si>
    <t>Erythroid Precursor Cells; Erythroid Precursors</t>
  </si>
  <si>
    <t>A measurement of the erythroid precursors in a biological specimen.</t>
  </si>
  <si>
    <t>Erythroid Precursor Cell Count</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</si>
  <si>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</si>
  <si>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</si>
  <si>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</si>
  <si>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</si>
  <si>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</si>
  <si>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ERV</t>
  </si>
  <si>
    <t>Expiratory Reserve Volume</t>
  </si>
  <si>
    <t>The maximum volume of air a subject can exhale from the lungs after a tidal exhalation.</t>
  </si>
  <si>
    <t>ERVPP</t>
  </si>
  <si>
    <t>Percent Predicted ERV</t>
  </si>
  <si>
    <t>The maximum volume of air a subject can exhale from the lungs after a tidal exhalation as a proportion of the predicted normal value.</t>
  </si>
  <si>
    <t>Percent Predicted Expiratory Reserve Volume</t>
  </si>
  <si>
    <t>ERYTHIND</t>
  </si>
  <si>
    <t>Erythema Indicator</t>
  </si>
  <si>
    <t>Erythema Indicator; Redness Indicator</t>
  </si>
  <si>
    <t>An indication as to whether erythema is present.</t>
  </si>
  <si>
    <t>ESCTLPRM</t>
  </si>
  <si>
    <t>Escitalopram</t>
  </si>
  <si>
    <t>A measurement of the escitalopram in a biological specimen.</t>
  </si>
  <si>
    <t>Escitalopram Measurement</t>
  </si>
  <si>
    <t>ESELECT</t>
  </si>
  <si>
    <t>E-Selectin</t>
  </si>
  <si>
    <t>A measurement of total E-selectin in a biological specimen.</t>
  </si>
  <si>
    <t>E-selectin Measurement</t>
  </si>
  <si>
    <t>ESELS</t>
  </si>
  <si>
    <t>Soluble E-Selectin</t>
  </si>
  <si>
    <t>sE-selectin; Soluble E-Selectin</t>
  </si>
  <si>
    <t>A measurement of the soluble E-Selectin in a biological specimen.</t>
  </si>
  <si>
    <t>Soluble E-Selectin Measurement</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</si>
  <si>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</si>
  <si>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</si>
  <si>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</si>
  <si>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</si>
  <si>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</si>
  <si>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ESTAZLM</t>
  </si>
  <si>
    <t>Estazolam</t>
  </si>
  <si>
    <t>A measurement of the estazolam in a biological specimen.</t>
  </si>
  <si>
    <t>Estazolam Measurement</t>
  </si>
  <si>
    <t>ESTFR</t>
  </si>
  <si>
    <t>Estradiol, Free</t>
  </si>
  <si>
    <t>A measurement of the unbound estradiol in a biological specimen.</t>
  </si>
  <si>
    <t>Free Estradiol Measurement</t>
  </si>
  <si>
    <t>ESTFREST</t>
  </si>
  <si>
    <t>Estradiol, Free/Estradiol</t>
  </si>
  <si>
    <t>A relative measurement (ratio or percentage) of unbound estradiol to total estradiol in a biological specimen.</t>
  </si>
  <si>
    <t>Free Estradiol to Estradiol Ratio Measurement</t>
  </si>
  <si>
    <t>ESTRCPT</t>
  </si>
  <si>
    <t>Estrogen Receptor</t>
  </si>
  <si>
    <t>ER; ESR; Estrogen Receptor; Oestrogen Receptor</t>
  </si>
  <si>
    <t>A measurement of estrogen receptor protein in a biological specimen.</t>
  </si>
  <si>
    <t>Estrogen Receptor Measurement</t>
  </si>
  <si>
    <t>ESTRDIOL</t>
  </si>
  <si>
    <t>Estradiol</t>
  </si>
  <si>
    <t>Estradiol; Oestradiol</t>
  </si>
  <si>
    <t>A measurement of the estradiol in a biological specimen.</t>
  </si>
  <si>
    <t>Estradiol Measurement</t>
  </si>
  <si>
    <t>ESTRIOL</t>
  </si>
  <si>
    <t>Estriol</t>
  </si>
  <si>
    <t>Estriol; Oestriol</t>
  </si>
  <si>
    <t>A measurement of the estriol hormone in a biological specimen.</t>
  </si>
  <si>
    <t>Estriol Measurement</t>
  </si>
  <si>
    <t>ESTRIOLF</t>
  </si>
  <si>
    <t>Estriol, Free</t>
  </si>
  <si>
    <t>Estriol, Free; Unconjugated Estriol</t>
  </si>
  <si>
    <t>A measurement of the free estriol in a biological specimen.</t>
  </si>
  <si>
    <t>Free Estriol Measurement</t>
  </si>
  <si>
    <t>ESTROGEN</t>
  </si>
  <si>
    <t>Estrogen</t>
  </si>
  <si>
    <t>Estrogen; Oestrogen</t>
  </si>
  <si>
    <t>A measurement of the estrogen hormone in a biological specimen.</t>
  </si>
  <si>
    <t>Estrogen Measurement</t>
  </si>
  <si>
    <t>ESTRONE</t>
  </si>
  <si>
    <t>Estrone</t>
  </si>
  <si>
    <t>Estrone; Oestrone</t>
  </si>
  <si>
    <t>A measurement of the estrone hormone in a biological specimen.</t>
  </si>
  <si>
    <t>Estrone Measurement</t>
  </si>
  <si>
    <t>ESTWT</t>
  </si>
  <si>
    <t>Estimated Weight</t>
  </si>
  <si>
    <t>Estimated Entity Weight; Estimated Weight</t>
  </si>
  <si>
    <t>An approximate determination of the weight of the entity.</t>
  </si>
  <si>
    <t>ESV</t>
  </si>
  <si>
    <t>End Systolic Volume</t>
  </si>
  <si>
    <t>End Systolic Blood Volume; End Systolic Volume</t>
  </si>
  <si>
    <t>The volume of blood remaining in the ventricle or atrium at end systole.</t>
  </si>
  <si>
    <t>ETG</t>
  </si>
  <si>
    <t>Ethyl Glucuronide</t>
  </si>
  <si>
    <t>A measurement of the ethyl glucuronide in a biological specimen.</t>
  </si>
  <si>
    <t>Ethyl Glucuronide Measurement</t>
  </si>
  <si>
    <t>ETGETS</t>
  </si>
  <si>
    <t>Ethyl Glucuronide Ethyl Sulfate</t>
  </si>
  <si>
    <t>A measurement of the ethyl glucuronide and/or ethyl sulfate in a biological specimen.</t>
  </si>
  <si>
    <t>Ethyl Glucuronide And Ethyl Sulfate Measurement</t>
  </si>
  <si>
    <t>ETHACT</t>
  </si>
  <si>
    <t>Ethyl Acetate</t>
  </si>
  <si>
    <t>Ethyl Acetate; Ethyl Acetic Acid</t>
  </si>
  <si>
    <t>A measurement of the ethyl acetate in a specimen.</t>
  </si>
  <si>
    <t>Ethyl Acetate Measurement</t>
  </si>
  <si>
    <t>ETHANOL</t>
  </si>
  <si>
    <t>Ethanol</t>
  </si>
  <si>
    <t>Alcohol; Ethanol</t>
  </si>
  <si>
    <t>A measurement of the ethanol present in a biological specimen.</t>
  </si>
  <si>
    <t>Ethanol Measurement</t>
  </si>
  <si>
    <t>ETHBNZ</t>
  </si>
  <si>
    <t>Ethylbenzene</t>
  </si>
  <si>
    <t>A measurement of the ethylbenzene in a specimen.</t>
  </si>
  <si>
    <t>Ethylbenzene Measurement</t>
  </si>
  <si>
    <t>ETHCBMT</t>
  </si>
  <si>
    <t>Ethyl Carbamate</t>
  </si>
  <si>
    <t>Ethyl Carbamate; Urethane</t>
  </si>
  <si>
    <t>A measurement of the ethyl carbamate in a specimen.</t>
  </si>
  <si>
    <t>Ethyl Carbamate Measurement</t>
  </si>
  <si>
    <t>ETHCHVNL</t>
  </si>
  <si>
    <t>Ethchlorvynol</t>
  </si>
  <si>
    <t>A measurement of the ethchlorvynol in a biological specimen.</t>
  </si>
  <si>
    <t>Ethchlorvynol Measurement</t>
  </si>
  <si>
    <t>ETHESTNL</t>
  </si>
  <si>
    <t>Ethylestrenol</t>
  </si>
  <si>
    <t>A measurement of the ethylestrenol in a biological specimen.</t>
  </si>
  <si>
    <t>Ethylestrenol Measurement</t>
  </si>
  <si>
    <t>ETHNGLY</t>
  </si>
  <si>
    <t>Ethylene Glycol</t>
  </si>
  <si>
    <t>Ethane-1,2-diol; Ethylene Glycol</t>
  </si>
  <si>
    <t>A measurement of the ethylene glycol in a specimen.</t>
  </si>
  <si>
    <t>Ethylene Glycol Measurement</t>
  </si>
  <si>
    <t>ETHNMATE</t>
  </si>
  <si>
    <t>Ethinamate</t>
  </si>
  <si>
    <t>A measurement of the ethinamate in a biological specimen.</t>
  </si>
  <si>
    <t>Ethinamate Measurement</t>
  </si>
  <si>
    <t>ETHNOX</t>
  </si>
  <si>
    <t>Ethylene Oxide</t>
  </si>
  <si>
    <t>A measurement of the ethylene oxide in a specimen.</t>
  </si>
  <si>
    <t>Ethylene Oxide Measurement</t>
  </si>
  <si>
    <t>ETP</t>
  </si>
  <si>
    <t>Endogenous Thrombin Potential</t>
  </si>
  <si>
    <t>A measurement of the total concentration of thrombin generated in the presence of a substrate in a plasma or blood sample.</t>
  </si>
  <si>
    <t>Endogenous Thrombin Potential Measurement</t>
  </si>
  <si>
    <t>ETPAUC</t>
  </si>
  <si>
    <t>ETP Area Under Curve</t>
  </si>
  <si>
    <t>Endogenous Thrombin Potential Area Under Curve; ETP Area Under Curve</t>
  </si>
  <si>
    <t>A measurement of the area under the thrombin generation curve.</t>
  </si>
  <si>
    <t>Endogenous Thrombin Potential Area Under Curve Measurement</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</si>
  <si>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</si>
  <si>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</si>
  <si>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</si>
  <si>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</si>
  <si>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</si>
  <si>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</si>
  <si>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</si>
  <si>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</si>
  <si>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</si>
  <si>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</si>
  <si>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</si>
  <si>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</si>
  <si>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</si>
  <si>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</si>
  <si>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</si>
  <si>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</si>
  <si>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</si>
  <si>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</si>
  <si>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</si>
  <si>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</si>
  <si>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ETPTP</t>
  </si>
  <si>
    <t>ETP Time to Peak</t>
  </si>
  <si>
    <t>Endogenous Thrombin Potential Time to Peak; ETP Time to Peak</t>
  </si>
  <si>
    <t>A measurement of the time it takes to generate the maximum concentration of thrombin.</t>
  </si>
  <si>
    <t>Endogenous Thrombin Potential Time to Peak Measurement</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</si>
  <si>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</si>
  <si>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</si>
  <si>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</si>
  <si>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</si>
  <si>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</si>
  <si>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ETS</t>
  </si>
  <si>
    <t>Ethyl Sulfate</t>
  </si>
  <si>
    <t>A measurement of the ethyl sulfate in a biological specimen.</t>
  </si>
  <si>
    <t>Ethyl Sulfate Measurement</t>
  </si>
  <si>
    <t>EUDCA</t>
  </si>
  <si>
    <t>Epimerized Ursodeoxycholate</t>
  </si>
  <si>
    <t>Epimerized Ursodeoxycholate; Epimerized Ursodeoxycholic Acid</t>
  </si>
  <si>
    <t>A measurement of the epimerized ursodeoxycholate in a biological specimen.</t>
  </si>
  <si>
    <t>Epimerized Ursodeoxycholate Measurement</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</si>
  <si>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</si>
  <si>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</si>
  <si>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</si>
  <si>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</si>
  <si>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</si>
  <si>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</si>
  <si>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</si>
  <si>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</si>
  <si>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</si>
  <si>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</si>
  <si>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</si>
  <si>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</si>
  <si>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</si>
  <si>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</si>
  <si>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</si>
  <si>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EVC</t>
  </si>
  <si>
    <t>Expiratory Vital Capacity</t>
  </si>
  <si>
    <t>The maximum volume of air an individual can exhale from the point of maximal inhalation.</t>
  </si>
  <si>
    <t>EVCPP</t>
  </si>
  <si>
    <t>Percent Predicted EVC</t>
  </si>
  <si>
    <t>The maximum volume of air an individual can exhale from the point of maximal inhalation as a percentage of the predicted normal value.</t>
  </si>
  <si>
    <t>Percent Predicted Expiratory Vital Capacity</t>
  </si>
  <si>
    <t>EVENTFRQ</t>
  </si>
  <si>
    <t>Event Frequency</t>
  </si>
  <si>
    <t>The number of times an event occurs within a given time period.</t>
  </si>
  <si>
    <t>Temporal Frequency</t>
  </si>
  <si>
    <t>EVENTNUM</t>
  </si>
  <si>
    <t>Number of Events</t>
  </si>
  <si>
    <t>The total number of events that have occurred.</t>
  </si>
  <si>
    <t>EVRIPIND</t>
  </si>
  <si>
    <t>Event Related to Incr Phys Activity Ind</t>
  </si>
  <si>
    <t>Event Related to Incr Phys Activity Ind; Event Related to Increased Physical Activity Indicator</t>
  </si>
  <si>
    <t>An indication as to whether the event of interest is related to increased physical activity.</t>
  </si>
  <si>
    <t>Event Related to Increased Physical Activity Indicator</t>
  </si>
  <si>
    <t>EWEIGHT</t>
  </si>
  <si>
    <t>Estimated Body Weight; Estimated Weight</t>
  </si>
  <si>
    <t>An approximate determination of the body weight of the subject.</t>
  </si>
  <si>
    <t>Estimated Body Weight</t>
  </si>
  <si>
    <t>EXCDUR</t>
  </si>
  <si>
    <t>Exercise Duration</t>
  </si>
  <si>
    <t>The length of time an individual spends exercising.</t>
  </si>
  <si>
    <t>EXCINTSY</t>
  </si>
  <si>
    <t>Exercise Intensity</t>
  </si>
  <si>
    <t>A determination or assessment of the degree or magnitude of an individual's exertion during physical activity.</t>
  </si>
  <si>
    <t>EXCMPLNC</t>
  </si>
  <si>
    <t>Exercise Compliance</t>
  </si>
  <si>
    <t>A determination or assessment of the extent to which an individual adheres to a fitness program.</t>
  </si>
  <si>
    <t>EXETRIND</t>
  </si>
  <si>
    <t>Expected Efficacious Treatment Reg Ind</t>
  </si>
  <si>
    <t>Expected Efficacious Treatment Reg Ind; Expected Efficacious Treatment Regimen Indicator</t>
  </si>
  <si>
    <t>An indication as to whether the subject has been on a treatment regimen which, based on defined criteria, is expected to be efficacious.</t>
  </si>
  <si>
    <t>Expected Efficacious Treatment Regimen Indicator</t>
  </si>
  <si>
    <t>EXPREAMT</t>
  </si>
  <si>
    <t>Expected Remaining Amount</t>
  </si>
  <si>
    <t>The quantity of a product that is expected to remain after dosing, consumption, or use.</t>
  </si>
  <si>
    <t>EXPRELTM</t>
  </si>
  <si>
    <t>Expiration Relaxation Time</t>
  </si>
  <si>
    <t>The time required to exhale 63.2% of the total expiratory volume, as measured from the start of exhalation.</t>
  </si>
  <si>
    <t>EXTRSCT</t>
  </si>
  <si>
    <t>Extent of Resection</t>
  </si>
  <si>
    <t>A description of the relative amount of tissue, blood vessel, or organ that has been removed.</t>
  </si>
  <si>
    <t>EYDCOMGR</t>
  </si>
  <si>
    <t>Eye Drop Comfort Grade</t>
  </si>
  <si>
    <t>The position on a scale to assess the degree of comfort associated with the administration of an eye drop.</t>
  </si>
  <si>
    <t>EZOGABIN</t>
  </si>
  <si>
    <t>Ezogabine</t>
  </si>
  <si>
    <t>A measurement of the ezogabine in a biological specimen.</t>
  </si>
  <si>
    <t>Ezogabine Measurement</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</si>
  <si>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</si>
  <si>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</si>
  <si>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</si>
  <si>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</si>
  <si>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</si>
  <si>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</si>
  <si>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</si>
  <si>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</si>
  <si>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</si>
  <si>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</si>
  <si>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</si>
  <si>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</si>
  <si>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</si>
  <si>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</si>
  <si>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</si>
  <si>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FAC</t>
  </si>
  <si>
    <t>Fractional Area Change</t>
  </si>
  <si>
    <t>The percent reduction in the area of a given structure with the following formula: (EDA-ESA)/EDA times 100, where EDA is end diastolic area and ESA is end systolic area.</t>
  </si>
  <si>
    <t>FACTII</t>
  </si>
  <si>
    <t>Factor II</t>
  </si>
  <si>
    <t>Factor II; Prothrombin</t>
  </si>
  <si>
    <t>A measurement of the coagulation factor II in a biological specimen.</t>
  </si>
  <si>
    <t>Prothrombin Measurement</t>
  </si>
  <si>
    <t>FACTIII</t>
  </si>
  <si>
    <t>Factor III</t>
  </si>
  <si>
    <t>Factor III; Soluble CD142; Tissue Factor, CD142</t>
  </si>
  <si>
    <t>A measurement of the coagulation factor III in a biological specimen.</t>
  </si>
  <si>
    <t>Factor III Measurement</t>
  </si>
  <si>
    <t>FACTIX</t>
  </si>
  <si>
    <t>Factor IX</t>
  </si>
  <si>
    <t>Christmas Factor; Factor IX</t>
  </si>
  <si>
    <t>A measurement of the coagulation factor IX in a biological specimen.</t>
  </si>
  <si>
    <t>Factor IX Measurement</t>
  </si>
  <si>
    <t>FACTIXA</t>
  </si>
  <si>
    <t>Factor IX Activity</t>
  </si>
  <si>
    <t>Christmas Factor Activity; Factor IX Activity</t>
  </si>
  <si>
    <t>A measurement of the biological activity of coagulation factor IX in a biological specimen.</t>
  </si>
  <si>
    <t>Factor IX Activity Measurement</t>
  </si>
  <si>
    <t>FACTV</t>
  </si>
  <si>
    <t>Factor V</t>
  </si>
  <si>
    <t>Factor V; Labile Factor</t>
  </si>
  <si>
    <t>A measurement of the coagulation factor V in a biological specimen.</t>
  </si>
  <si>
    <t>Factor V Measurement</t>
  </si>
  <si>
    <t>FACTVA</t>
  </si>
  <si>
    <t>Factor V Activity</t>
  </si>
  <si>
    <t>Factor V Activity; Labile Factor Activity</t>
  </si>
  <si>
    <t>A measurement of the biological activity of coagulation factor V in a biological specimen.</t>
  </si>
  <si>
    <t>Factor V Activity Measurement</t>
  </si>
  <si>
    <t>FACTVII</t>
  </si>
  <si>
    <t>Factor VII</t>
  </si>
  <si>
    <t>Factor VII; Proconvertin; Stable Factor</t>
  </si>
  <si>
    <t>A measurement of the coagulation factor VII in a biological specimen.</t>
  </si>
  <si>
    <t>Factor VII Measurement</t>
  </si>
  <si>
    <t>FACTVIIA</t>
  </si>
  <si>
    <t>Factor VII Activity</t>
  </si>
  <si>
    <t>Factor VII Activity; Proconvertin Activity; Stable Factor Activity</t>
  </si>
  <si>
    <t>A measurement of the biological activity of coagulation factor VII in a biological specimen.</t>
  </si>
  <si>
    <t>Factor VII Activity Measurement</t>
  </si>
  <si>
    <t>FACTVIII</t>
  </si>
  <si>
    <t>Factor VIII</t>
  </si>
  <si>
    <t>Anti-hemophilic Factor; Factor VIII</t>
  </si>
  <si>
    <t>A measurement of the coagulation factor VIII in a biological specimen.</t>
  </si>
  <si>
    <t>Factor VIII Measurement</t>
  </si>
  <si>
    <t>FACTVL</t>
  </si>
  <si>
    <t>Factor V Leiden</t>
  </si>
  <si>
    <t>A measurement of the coagulation factor V Leiden in a biological specimen.</t>
  </si>
  <si>
    <t>Factor V Leiden Measurement</t>
  </si>
  <si>
    <t>FACTVW</t>
  </si>
  <si>
    <t>von Willebrand Factor</t>
  </si>
  <si>
    <t>von Willebrand Factor; von Willebrand Factor Antigen</t>
  </si>
  <si>
    <t>A measurement of the von Willebrand coagulation factor in a biological specimen.</t>
  </si>
  <si>
    <t>von Willebrand Factor Measurement</t>
  </si>
  <si>
    <t>FACTVWA</t>
  </si>
  <si>
    <t>von Willebrand Factor Activity</t>
  </si>
  <si>
    <t>A measurement of the biological activity of von Willebrand coagulation factor in a biological specimen.</t>
  </si>
  <si>
    <t>von Willebrand Factor Activity Measurement</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</si>
  <si>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</si>
  <si>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</si>
  <si>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</si>
  <si>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</si>
  <si>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FACTX</t>
  </si>
  <si>
    <t>Factor X</t>
  </si>
  <si>
    <t>A measurement of the coagulation factor X in a biological specimen.</t>
  </si>
  <si>
    <t>Factor X Measurement</t>
  </si>
  <si>
    <t>FACTXA</t>
  </si>
  <si>
    <t>Factor X Activity</t>
  </si>
  <si>
    <t>A measurement of the biological activity of coagulation factor X in a biological specimen.</t>
  </si>
  <si>
    <t>Factor X Activity Measurement</t>
  </si>
  <si>
    <t>FACTXI</t>
  </si>
  <si>
    <t>Factor XI</t>
  </si>
  <si>
    <t>A measurement of the factor XI in a biological specimen.</t>
  </si>
  <si>
    <t>Factor XI Measurement</t>
  </si>
  <si>
    <t>FACTXIA</t>
  </si>
  <si>
    <t>Factor XI Activity</t>
  </si>
  <si>
    <t>Factor XI Activity; Factor XIa Activity</t>
  </si>
  <si>
    <t>A measurement of the biological activity of coagulation factor XI in a biological specimen.</t>
  </si>
  <si>
    <t>Factor XI Activity Measurement</t>
  </si>
  <si>
    <t>FACTXII</t>
  </si>
  <si>
    <t>Factor XII</t>
  </si>
  <si>
    <t>A measurement of the factor XII in a biological specimen.</t>
  </si>
  <si>
    <t>Factor XII Measurement</t>
  </si>
  <si>
    <t>FACTXIIA</t>
  </si>
  <si>
    <t>Factor XII Activity</t>
  </si>
  <si>
    <t>A measurement of the biological activity of coagulation factor XII in a biological specimen.</t>
  </si>
  <si>
    <t>Factor XII Activity Measurement</t>
  </si>
  <si>
    <t>FACTXIII</t>
  </si>
  <si>
    <t>Factor XIII</t>
  </si>
  <si>
    <t>Factor XIII; Fibrin Stabilizing Factor</t>
  </si>
  <si>
    <t>A measurement of the coagulation factor XIII in a biological specimen.</t>
  </si>
  <si>
    <t>Factor XIII Measurement</t>
  </si>
  <si>
    <t>FACTXIV</t>
  </si>
  <si>
    <t>Factor XIV</t>
  </si>
  <si>
    <t>Autoprothrombin IIA; Factor XIV; Protein C; Protein C Antigen; Protein C, Inactivator of Coagulation Factors Va and VIIIa</t>
  </si>
  <si>
    <t>A measurement of the coagulation factor XIV in a biological specimen.</t>
  </si>
  <si>
    <t>Factor XIV Measurement</t>
  </si>
  <si>
    <t>FACTXIVA</t>
  </si>
  <si>
    <t>Factor XIV Activity</t>
  </si>
  <si>
    <t>Factor XIV Activity; Protein C Activity; Protein C Function</t>
  </si>
  <si>
    <t>A measurement of the biological activity of coagulation factor XIV in a biological specimen.</t>
  </si>
  <si>
    <t>Factor XIV Activity Measurement</t>
  </si>
  <si>
    <t>FAI</t>
  </si>
  <si>
    <t>Free Androgen Index</t>
  </si>
  <si>
    <t>A measurement of the androgen status in a biological specimen. This is calculated by a mathematical formula that takes into account the total testosterone level, sex hormone binding globulin, and a constant.</t>
  </si>
  <si>
    <t>FARMCIR</t>
  </si>
  <si>
    <t>Forearm Circumference</t>
  </si>
  <si>
    <t>The distance around an individual's forearm.</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</si>
  <si>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</si>
  <si>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</si>
  <si>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</si>
  <si>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</si>
  <si>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</si>
  <si>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FASLG</t>
  </si>
  <si>
    <t>Fas Ligand</t>
  </si>
  <si>
    <t>Fas Ligand; Soluble CD178; Soluble CD95L; Tumor Necrosis Factor Ligand Superfamily Member 6</t>
  </si>
  <si>
    <t>A measurement of the Fas ligand in a biological specimen.</t>
  </si>
  <si>
    <t>Fas Ligand Measurement</t>
  </si>
  <si>
    <t>FAT</t>
  </si>
  <si>
    <t>Fat</t>
  </si>
  <si>
    <t>A measurement of the fat in a biological specimen.</t>
  </si>
  <si>
    <t>Fat Measurement</t>
  </si>
  <si>
    <t>FATACFR</t>
  </si>
  <si>
    <t>Free Fatty Acid</t>
  </si>
  <si>
    <t>Free Fatty Acid; Non-Esterified Fatty Acid, Free</t>
  </si>
  <si>
    <t>A measurement of the total non-esterified fatty acids in a biological specimen.</t>
  </si>
  <si>
    <t>Non-esterified Fatty Acids Measurement</t>
  </si>
  <si>
    <t>FATACFRS</t>
  </si>
  <si>
    <t>Free Fatty Acid, Saturated</t>
  </si>
  <si>
    <t>Free Fatty Acid, Saturated; Non-esterified Fatty Acid, Saturated</t>
  </si>
  <si>
    <t>A measurement of the saturated non-esterified fatty acids in a biological specimen.</t>
  </si>
  <si>
    <t>Saturated Non-esterified Fatty Acids Measurement</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</si>
  <si>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</si>
  <si>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</si>
  <si>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</si>
  <si>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</si>
  <si>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</si>
  <si>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FATACVLC</t>
  </si>
  <si>
    <t>Fatty Acids, Very Long Chain</t>
  </si>
  <si>
    <t>A measurement of the very long chain fatty acids (containing 22 or more carbon atoms) in a biological specimen.</t>
  </si>
  <si>
    <t>Very Long Chain Fatty Acids Measurement</t>
  </si>
  <si>
    <t>FATBODOV</t>
  </si>
  <si>
    <t>Fat Bodies, Oval</t>
  </si>
  <si>
    <t>A measurement of the oval-shaped fat bodies, usually renal proximal tubular cells with lipid aggregates in the cytoplasm, in a biological specimen.</t>
  </si>
  <si>
    <t>Oval Fat Body Measurement</t>
  </si>
  <si>
    <t>FATDROP</t>
  </si>
  <si>
    <t>Fat Droplet</t>
  </si>
  <si>
    <t>A measurement of the triglyceride aggregates within a biological specimen.</t>
  </si>
  <si>
    <t>Fat Droplet Measurement</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</si>
  <si>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</si>
  <si>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</si>
  <si>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</si>
  <si>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</si>
  <si>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FATTOTSD</t>
  </si>
  <si>
    <t>Fat/Total Solids</t>
  </si>
  <si>
    <t>A relative measurement (ratio or percentage) of the fat to total solid material in a biological specimen (for example a stool specimen).</t>
  </si>
  <si>
    <t>Fats to Total Solids Ratio Measurement</t>
  </si>
  <si>
    <t>FBNCTCE</t>
  </si>
  <si>
    <t>Fibronectin, Cellular</t>
  </si>
  <si>
    <t>Fibronectin, Cellular; Insoluble Fibronectin</t>
  </si>
  <si>
    <t>A measurement of the cellular fibronectin in a biological specimen.</t>
  </si>
  <si>
    <t>Cellular Fibronectin Measurement</t>
  </si>
  <si>
    <t>FBNCTFT</t>
  </si>
  <si>
    <t>Fibronectin, Fetal</t>
  </si>
  <si>
    <t>A measurement of the fetal isoform of fibronectin in a biological specimen</t>
  </si>
  <si>
    <t>Fetal Fibronectin Test</t>
  </si>
  <si>
    <t>FBNCTMFT</t>
  </si>
  <si>
    <t>Fibronectin, Maternal + Fetal</t>
  </si>
  <si>
    <t>A measurement of the maternal plasma fibronectin and fetal fibronectin in a biological specimen.</t>
  </si>
  <si>
    <t>Maternal and Fetal Fibronectin Measurement</t>
  </si>
  <si>
    <t>FBNCTPL</t>
  </si>
  <si>
    <t>Fibronectin, Plasma</t>
  </si>
  <si>
    <t>Fibronectin, Plasma; Soluble Fibronectin</t>
  </si>
  <si>
    <t>A measurement of the plasma fibronectin in a biological specimen.</t>
  </si>
  <si>
    <t>Plasma Fibronectin Measurement</t>
  </si>
  <si>
    <t>FBODYIND</t>
  </si>
  <si>
    <t>Observed Foreign Body Indicator</t>
  </si>
  <si>
    <t>An indication as to whether a medical or non-medical foreign body is present in a subject.</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</si>
  <si>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</si>
  <si>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</si>
  <si>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</si>
  <si>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</si>
  <si>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</si>
  <si>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</si>
  <si>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</si>
  <si>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</si>
  <si>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</si>
  <si>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</si>
  <si>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FCT8INH</t>
  </si>
  <si>
    <t>Factor VIII Inhibitor</t>
  </si>
  <si>
    <t>Alloantibody, Factor VIII Inhibitor; Factor VIII Antibody</t>
  </si>
  <si>
    <t>A measurement of the factor VIII inhibitor (antibody) in a biological specimen.</t>
  </si>
  <si>
    <t>Factor VIII Inhibitor Measurement</t>
  </si>
  <si>
    <t>FCT9INH</t>
  </si>
  <si>
    <t>Factor IX Inhibitor</t>
  </si>
  <si>
    <t>Alloantibody, Factor IX Inhibitor; Factor IX Antibody</t>
  </si>
  <si>
    <t>A measurement of the factor IX inhibitor (antibody) in a biological specimen.</t>
  </si>
  <si>
    <t>Factor IX Inhibitor Measurement</t>
  </si>
  <si>
    <t>FCTVIIAA</t>
  </si>
  <si>
    <t>Factor VIIa Activity</t>
  </si>
  <si>
    <t>A measurement of the biological activity of coagulation factor VIIa in a biological specimen.</t>
  </si>
  <si>
    <t>Factor VIIa Activity Measurement</t>
  </si>
  <si>
    <t>FCTVIIIA</t>
  </si>
  <si>
    <t>Factor VIII Activity</t>
  </si>
  <si>
    <t>Anti-hemophilic Factor Activity; Factor VIII Activity; Factor VIII:C</t>
  </si>
  <si>
    <t>A measurement of the biological activity of coagulation factor VIII in a biological specimen.</t>
  </si>
  <si>
    <t>Factor VIII Activity Measurement</t>
  </si>
  <si>
    <t>FCTXIIIA</t>
  </si>
  <si>
    <t>Factor XIII Activity</t>
  </si>
  <si>
    <t>A measurement of the biological activity of coagulation factor XIII in a biological specimen.</t>
  </si>
  <si>
    <t>Factor XIII Activity Measurement</t>
  </si>
  <si>
    <t>FDADEVCL</t>
  </si>
  <si>
    <t>FDA Device Classification</t>
  </si>
  <si>
    <t>The class of medical device as determined by the US Food and Drug Administration, based upon the level of control necessary to ensure safety and effectiveness (21 CFR 860).</t>
  </si>
  <si>
    <t>FDP</t>
  </si>
  <si>
    <t>Fibrin Degradation Products</t>
  </si>
  <si>
    <t>A measurement of the fibrin degradation products in a biological specimen.</t>
  </si>
  <si>
    <t>Fibrin Degradation Products Measurement</t>
  </si>
  <si>
    <t>FDP5PS</t>
  </si>
  <si>
    <t>FDG PET 5PS Score</t>
  </si>
  <si>
    <t>A 5 point scale originally devised by Barrington et al. (2014) to assess the response to treatment of lymphoma by FDG-PET scanning, and has since been validated to assess treatment responses in a number of additional solid and non-solid tumors.</t>
  </si>
  <si>
    <t>London Deauville Criteria Point Scale</t>
  </si>
  <si>
    <t>FECA</t>
  </si>
  <si>
    <t>Fractional Calcium Excretion</t>
  </si>
  <si>
    <t>A measurement of the fractional excretion of calcium that is computed based upon the concentrations of calcium and creatinine in both blood and urine.</t>
  </si>
  <si>
    <t>Fractional Excretion of Calcium</t>
  </si>
  <si>
    <t>FECL</t>
  </si>
  <si>
    <t>Fractional Chloride Excretion</t>
  </si>
  <si>
    <t>A measurement of the fractional excretion of chloride that is computed based upon the concentrations of chloride and creatinine in both blood and urine.</t>
  </si>
  <si>
    <t>Fractional Excretion of Chloride</t>
  </si>
  <si>
    <t>FEF_05</t>
  </si>
  <si>
    <t>Forced Expiratory Flow in 0.05 Second</t>
  </si>
  <si>
    <t>The forced expiratory flow rate during the first 0.05 second of a forced exhalation.</t>
  </si>
  <si>
    <t>FEF_1</t>
  </si>
  <si>
    <t>Forced Expiratory Flow in 0.1 Second</t>
  </si>
  <si>
    <t>The forced expiratory flow rate during the first 0.1 second of a forced exhalation.</t>
  </si>
  <si>
    <t>FEF_2</t>
  </si>
  <si>
    <t>Forced Expiratory Flow in 0.2 Second</t>
  </si>
  <si>
    <t>The forced expiratory flow rate during the first 0.2 second of a forced exhalation.</t>
  </si>
  <si>
    <t>FEF2575</t>
  </si>
  <si>
    <t>Forced Expiratory Flow 25-75%</t>
  </si>
  <si>
    <t>The mean forced expiratory flow rate at 25-75% of the forced vital capacity. (NCI)</t>
  </si>
  <si>
    <t>Forced Expiratory Flow at 25-75 Percent</t>
  </si>
  <si>
    <t>FEF2575P</t>
  </si>
  <si>
    <t>Percent Predicted FEF25-75</t>
  </si>
  <si>
    <t>The mean forced expiratory flow rate at 25-75% of the forced vital capacity as a proportion of the predicted normal value. (NCI)</t>
  </si>
  <si>
    <t>Percent Predicted Forced Expiratory Flow at 25-75 Percent</t>
  </si>
  <si>
    <t>FEF50</t>
  </si>
  <si>
    <t>Forced Expiratory Flow 50%</t>
  </si>
  <si>
    <t>The mean forced expiratory flow rate at 50% of the forced vital capacity. (NCI)</t>
  </si>
  <si>
    <t>Forced Expiratory Flow at 50 Percent Forced Vital Capacity</t>
  </si>
  <si>
    <t>FEK</t>
  </si>
  <si>
    <t>Fractional Potassium Excretion</t>
  </si>
  <si>
    <t>A measurement of the fractional excretion of potassium that is computed based upon the concentrations of potassium and creatinine in both blood and urine.</t>
  </si>
  <si>
    <t>Fractional Excretion of Potassium</t>
  </si>
  <si>
    <t>FEMG</t>
  </si>
  <si>
    <t>Fractional Magnesium Excretion</t>
  </si>
  <si>
    <t>A measurement of the fractional excretion of magnesium that is computed based upon the concentrations of magnesium and creatinine in both blood and urine.</t>
  </si>
  <si>
    <t>Fractional Excretion of Magnesium</t>
  </si>
  <si>
    <t>FEN3M</t>
  </si>
  <si>
    <t>3-Methylfentanyl</t>
  </si>
  <si>
    <t>A measurement of the 3-methylfentanyl in a biological specimen.</t>
  </si>
  <si>
    <t>3-Methylfentanyl Measurement</t>
  </si>
  <si>
    <t>FENA</t>
  </si>
  <si>
    <t>Fractional Sodium Excretion</t>
  </si>
  <si>
    <t>A measurement of the fractional excretion of sodium that is computed based upon the concentrations of sodium and creatinine in both blood and urine.</t>
  </si>
  <si>
    <t>Fractional Excretion of Sodium</t>
  </si>
  <si>
    <t>FENACE</t>
  </si>
  <si>
    <t>Acetylfentanyl</t>
  </si>
  <si>
    <t>Acetyl Fentanyl; Acetylfentanyl</t>
  </si>
  <si>
    <t>A measurement of the acetylfentanyl in a biological specimen.</t>
  </si>
  <si>
    <t>Acetylfentanyl Measurement</t>
  </si>
  <si>
    <t>FENAM</t>
  </si>
  <si>
    <t>Alpha-Methylfentanyl</t>
  </si>
  <si>
    <t>A measurement of the alpha-methylfentanyl in a biological specimen.</t>
  </si>
  <si>
    <t>Alpha-Methylfentanyl Measurement</t>
  </si>
  <si>
    <t>FENBOHT</t>
  </si>
  <si>
    <t>Beta-Hydroxythiofentanyl</t>
  </si>
  <si>
    <t>A measurement of the beta-hydroxythiofentanyl in a biological specimen.</t>
  </si>
  <si>
    <t>Beta-Hydroxythiofentanyl Measurement</t>
  </si>
  <si>
    <t>FENBUT</t>
  </si>
  <si>
    <t>Butyrylfentanyl</t>
  </si>
  <si>
    <t>Butyrfentanyl; Butyryl Fentanyl; Butyrylfentanyl</t>
  </si>
  <si>
    <t>A measurement of the butyrylfentanyl in a biological specimen.</t>
  </si>
  <si>
    <t>Butyrylfentanyl Measurement</t>
  </si>
  <si>
    <t>FENCMFMN</t>
  </si>
  <si>
    <t>Fencamfamin</t>
  </si>
  <si>
    <t>Fencamfamin; Fencamfamine</t>
  </si>
  <si>
    <t>A measurement of the fencamfamin in a biological specimen.</t>
  </si>
  <si>
    <t>Fencamfamin Measurement</t>
  </si>
  <si>
    <t>FENFLRMN</t>
  </si>
  <si>
    <t>Fenfluramine</t>
  </si>
  <si>
    <t>A measurement of the fenfluramine in a biological specimen.</t>
  </si>
  <si>
    <t>Fenfluramine Measurement</t>
  </si>
  <si>
    <t>FENFUR</t>
  </si>
  <si>
    <t>Furanylfentanyl</t>
  </si>
  <si>
    <t>Furanyl Fentanyl; Furanylfentanyl</t>
  </si>
  <si>
    <t>A measurement of the furanylfentanyl in a biological specimen.</t>
  </si>
  <si>
    <t>Furanylfentanyl Measurement</t>
  </si>
  <si>
    <t>FENPF</t>
  </si>
  <si>
    <t>Para-Fluorofentanyl</t>
  </si>
  <si>
    <t>A measurement of the para-fluorofentanyl in a biological specimen.</t>
  </si>
  <si>
    <t>Para-Fluorofentanyl Measurement</t>
  </si>
  <si>
    <t>FENPRPRX</t>
  </si>
  <si>
    <t>Fenproporex</t>
  </si>
  <si>
    <t>A measurement of the fenproporex in a biological specimen.</t>
  </si>
  <si>
    <t>Fenproporex Measurement</t>
  </si>
  <si>
    <t>FENTANYL</t>
  </si>
  <si>
    <t>Fentanyl</t>
  </si>
  <si>
    <t>A measurement of the fentanyl in a biological specimen.</t>
  </si>
  <si>
    <t>Fentanyl Measurement</t>
  </si>
  <si>
    <t>FENVAL</t>
  </si>
  <si>
    <t>Valerylfentanyl</t>
  </si>
  <si>
    <t>Valeryl Fentanyl; Valerylfentanyl</t>
  </si>
  <si>
    <t>A measurement of the valerylfentanyl in a biological specimen.</t>
  </si>
  <si>
    <t>Valerylfentanyl Measurement</t>
  </si>
  <si>
    <t>FEP</t>
  </si>
  <si>
    <t>Erythrocyte Protoporphyrin, Free</t>
  </si>
  <si>
    <t>A measurement of the free erythrocyte protoporphyrin (zinc bound plus unbound protoporphyrin) in a biological specimen.</t>
  </si>
  <si>
    <t>Free Erythrocyte Protoporphyrin Measurement</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</si>
  <si>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</si>
  <si>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</si>
  <si>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</si>
  <si>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</si>
  <si>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</si>
  <si>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FERRITIN</t>
  </si>
  <si>
    <t>Ferritin</t>
  </si>
  <si>
    <t>A measurement of the ferritin in a biological specimen.</t>
  </si>
  <si>
    <t>Ferritin Measurement</t>
  </si>
  <si>
    <t>FET</t>
  </si>
  <si>
    <t>Forced Expiratory Time</t>
  </si>
  <si>
    <t>The time taken to fully expirate air from the lungs.</t>
  </si>
  <si>
    <t>FETLDTHN</t>
  </si>
  <si>
    <t>Number of Late Fetal Deaths</t>
  </si>
  <si>
    <t>A measurement of the total number of fetal deaths (death of a fetus at 16 weeks, 0 days to 19 weeks, 6 days of gestation) experienced by a female subject.</t>
  </si>
  <si>
    <t>FEV_05</t>
  </si>
  <si>
    <t>Forced Expiratory Volume in 0.05 Second</t>
  </si>
  <si>
    <t>The volume of air that can be forcibly exhaled during the first 0.05 second following maximal inhalation.</t>
  </si>
  <si>
    <t>FEV_1</t>
  </si>
  <si>
    <t>Forced Expiratory Volume in 0.1 Second</t>
  </si>
  <si>
    <t>The volume of air that can be forcibly exhaled during the first 0.1 second following maximal inhalation.</t>
  </si>
  <si>
    <t>FEV_2</t>
  </si>
  <si>
    <t>Forced Expiratory Volume in 0.2 Second</t>
  </si>
  <si>
    <t>The volume of air that can be forcibly exhaled during the first 0.2 second following maximal inhalation.</t>
  </si>
  <si>
    <t>FEV_5</t>
  </si>
  <si>
    <t>Forced Expiratory Volume in 0.5 Second</t>
  </si>
  <si>
    <t>The volume of air that can be forcibly exhaled during the first half second following maximal inhalation.</t>
  </si>
  <si>
    <t>FEV_75</t>
  </si>
  <si>
    <t>Forced Expiratory Volume in 0.75 Second</t>
  </si>
  <si>
    <t>The volume of air that can be forcibly exhaled during the first 0.75 second following maximal inhalation.</t>
  </si>
  <si>
    <t>FEV_PEF</t>
  </si>
  <si>
    <t>FEV at PEF</t>
  </si>
  <si>
    <t>FEV at PEF; Forced Expiratory Volume at Peak Expiratory Flow</t>
  </si>
  <si>
    <t>The volume of gas that is forcibly exhaled at the peak of expiratory flow.</t>
  </si>
  <si>
    <t>Forced Expiratory Volume at Peak Expiratory Flow</t>
  </si>
  <si>
    <t>FEV1</t>
  </si>
  <si>
    <t>Forced Expiratory Volume in 1 Second</t>
  </si>
  <si>
    <t>The volume of air that can be forcibly exhaled during the first second following maximal inhalation.</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</si>
  <si>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</si>
  <si>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</si>
  <si>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</si>
  <si>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</si>
  <si>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</si>
  <si>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</si>
  <si>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</si>
  <si>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</si>
  <si>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FEV1FVCP</t>
  </si>
  <si>
    <t>Percent Predicted FEV1/FVC</t>
  </si>
  <si>
    <t>A measurement (ratio or percentage) of FEV1/FVC relative to the predicted normal value.</t>
  </si>
  <si>
    <t>Percent Predicted Forced Expiratory Volume in 1 Second Divided by Forced Vital Capacity</t>
  </si>
  <si>
    <t>FEV1PP</t>
  </si>
  <si>
    <t>Percent Predicted FEV1</t>
  </si>
  <si>
    <t>Forced expiratory volume in one second as a proportion of the predicted normal value.</t>
  </si>
  <si>
    <t>Percent Predicted Forced Expiratory Volume in 1 Second</t>
  </si>
  <si>
    <t>FEV1REV</t>
  </si>
  <si>
    <t>FEV1 Reversibility</t>
  </si>
  <si>
    <t>The change in FEV1 following administration of a bronchodilator relative to the pre-treatment FEV1 value.</t>
  </si>
  <si>
    <t>Forced Expiratory Volume in 1 Second Reversibility</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</si>
  <si>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</si>
  <si>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</si>
  <si>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</si>
  <si>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</si>
  <si>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FEV3</t>
  </si>
  <si>
    <t>Forced Expiratory Volume in 3 Seconds</t>
  </si>
  <si>
    <t>The volume of air that can be forcibly exhaled during the first three seconds following maximal inhalation.</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</si>
  <si>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</si>
  <si>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</si>
  <si>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</si>
  <si>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</si>
  <si>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FEV3PP</t>
  </si>
  <si>
    <t>Percent Predicted FEV3</t>
  </si>
  <si>
    <t>Forced expiratory volume in three seconds as a proportion of the predicted normal value.</t>
  </si>
  <si>
    <t>Percent Predicted Forced Expiratory Volume in 3 Seconds</t>
  </si>
  <si>
    <t>FEV6</t>
  </si>
  <si>
    <t>Forced Expiratory Volume in 6 Seconds</t>
  </si>
  <si>
    <t>The volume of air that can be forcibly exhaled during the first six seconds following maximal inhalation.</t>
  </si>
  <si>
    <t>FEV6PP</t>
  </si>
  <si>
    <t>Percent Predicted FEV6</t>
  </si>
  <si>
    <t>Forced expiratory volume in six seconds as a proportion of the predicted normal value.</t>
  </si>
  <si>
    <t>Percent Predicted Forced Expiratory Volume in 6 Seconds</t>
  </si>
  <si>
    <t>FGF19</t>
  </si>
  <si>
    <t>Fibroblast Growth Factor 19</t>
  </si>
  <si>
    <t>FGF 19; Fibroblast Growth Factor 19</t>
  </si>
  <si>
    <t>A measurement of the fibroblast growth factor 19 in a biological specimen.</t>
  </si>
  <si>
    <t>Fibroblast Growth Factor 19 Measurement</t>
  </si>
  <si>
    <t>FGF21</t>
  </si>
  <si>
    <t>Fibroblast Growth Factor 21</t>
  </si>
  <si>
    <t>FGF 21; Fibroblast Growth Factor 21</t>
  </si>
  <si>
    <t>A measurement of the fibroblast growth factor 21 in a biological specimen.</t>
  </si>
  <si>
    <t>Fibroblast Growth Factor 21 Measurement</t>
  </si>
  <si>
    <t>FGF23</t>
  </si>
  <si>
    <t>Fibroblast Growth Factor 23</t>
  </si>
  <si>
    <t>Fibroblast Growth Factor 23; Phosphatonin</t>
  </si>
  <si>
    <t>A measurement of the total fibroblast growth factor 23 in a biological specimen.</t>
  </si>
  <si>
    <t>Fibroblast Growth Factor 23 Measurement</t>
  </si>
  <si>
    <t>FGF23C</t>
  </si>
  <si>
    <t>Fibroblast Growth Factor 23, C-Terminal</t>
  </si>
  <si>
    <t>A measurement of the C-terminal fibroblast growth factor 23 in a biological specimen.</t>
  </si>
  <si>
    <t>C-Terminal Fibroblast Growth Factor 23 Measurement</t>
  </si>
  <si>
    <t>FGF23I</t>
  </si>
  <si>
    <t>Fibroblast Growth Factor 23, Intact</t>
  </si>
  <si>
    <t>A measurement of the intact fibroblast growth factor 23 in a biological specimen.</t>
  </si>
  <si>
    <t>Intact Fibroblast Growth Factor 23 Measurement</t>
  </si>
  <si>
    <t>FGF9</t>
  </si>
  <si>
    <t>Fibroblast Growth Factor 9</t>
  </si>
  <si>
    <t>FGF 9; Fibroblast Growth Factor 9</t>
  </si>
  <si>
    <t>A measurement of the fibroblast growth factor 9 in a biological specimen.</t>
  </si>
  <si>
    <t>Fibroblast Growth Factor 9 Measurement</t>
  </si>
  <si>
    <t>FGFBF</t>
  </si>
  <si>
    <t>Fibroblast Growth Factor Basic Form</t>
  </si>
  <si>
    <t>FGF2; Fibroblast Growth Factor Basic Form</t>
  </si>
  <si>
    <t>A measurement of the basic form of fibroblast growth factor in a biological specimen.</t>
  </si>
  <si>
    <t>Fibroblast Growth Factor Basic Form Measurement</t>
  </si>
  <si>
    <t>FIBB</t>
  </si>
  <si>
    <t>Fibroblasts</t>
  </si>
  <si>
    <t>A measurement of the fibroblasts in a biological specimen.</t>
  </si>
  <si>
    <t>Fibroblast Count</t>
  </si>
  <si>
    <t>FIBERV</t>
  </si>
  <si>
    <t>Vegetable Fiber</t>
  </si>
  <si>
    <t>Vegetable Fiber; Vegetable Fibers</t>
  </si>
  <si>
    <t>A measurement of the vegetable fiber in a biological specimen.</t>
  </si>
  <si>
    <t>Vegetable Fiber Measurement</t>
  </si>
  <si>
    <t>FIBLIND</t>
  </si>
  <si>
    <t>Fibrotic Lesion Indicator</t>
  </si>
  <si>
    <t>An indication as to whether a fibrotic lesion is present.</t>
  </si>
  <si>
    <t>FIBMONO</t>
  </si>
  <si>
    <t>Fibrin Monomer</t>
  </si>
  <si>
    <t>Fibrin Monomer; Soluble Fibrin Monomer</t>
  </si>
  <si>
    <t>A measurement of the fibrin monomer in a biological specimen.</t>
  </si>
  <si>
    <t>Fibrin Monomer Measurement</t>
  </si>
  <si>
    <t>FIBRINO</t>
  </si>
  <si>
    <t>Fibrinogen</t>
  </si>
  <si>
    <t>Fibrinogen; Fibrinogen Antigen</t>
  </si>
  <si>
    <t>A measurement of the total fibrinogen (functional and non-functional) in a biological specimen.</t>
  </si>
  <si>
    <t>Fibrinogen Measurement</t>
  </si>
  <si>
    <t>FIBRINOF</t>
  </si>
  <si>
    <t>Fibrinogen, Functional</t>
  </si>
  <si>
    <t>A measurement of the functional fibrinogen (fibrinogen that is capable of being converted to fibrin) in a biological specimen.</t>
  </si>
  <si>
    <t>Functional Fibrinogen Measurement</t>
  </si>
  <si>
    <t>FICOLIN3</t>
  </si>
  <si>
    <t>Ficolin-3</t>
  </si>
  <si>
    <t>FCN3; Ficolin-3</t>
  </si>
  <si>
    <t>A measurement of the ficolin-3 in a biological specimen.</t>
  </si>
  <si>
    <t>Ficolin-3 Measurement</t>
  </si>
  <si>
    <t>FIF25</t>
  </si>
  <si>
    <t>Forced Inspiratory Flow at 25%</t>
  </si>
  <si>
    <t>The forced inspiratory flow rate at the point on the inspiratory flow-volume curve where 25 percent of the total volume of air has been inhaled.</t>
  </si>
  <si>
    <t>FIF50</t>
  </si>
  <si>
    <t>Forced Inspiratory Flow at 50%</t>
  </si>
  <si>
    <t>The forced inspiratory flow rate at the point on the inspiratory flow-volume curve where 50 percent of the total volume of air has been inhaled.</t>
  </si>
  <si>
    <t>FIF75</t>
  </si>
  <si>
    <t>Forced Inspiratory Flow at 75%</t>
  </si>
  <si>
    <t>The forced inspiratory flow rate at the point on the inspiratory flow-volume curve where 75 percent of the total volume of air has been inhaled.</t>
  </si>
  <si>
    <t>FIFMAX</t>
  </si>
  <si>
    <t>Maximum Forced Inspiratory Flow</t>
  </si>
  <si>
    <t>The fastest rate of inspired air achieved during a forced inspiration maneuver.</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</si>
  <si>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</si>
  <si>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</si>
  <si>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</si>
  <si>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</si>
  <si>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FIO2</t>
  </si>
  <si>
    <t>Fraction of Inspired Oxygen</t>
  </si>
  <si>
    <t>A measurement of the volumetric fraction of oxygen in the inhaled gas.</t>
  </si>
  <si>
    <t>FIRMBCRA</t>
  </si>
  <si>
    <t>Firmicutes/Bacteroidetes Ratio</t>
  </si>
  <si>
    <t>A ratio measurement of the members from the phylum Firmicutes to the members from the phylum Bacteroidetes in a biological specimen.</t>
  </si>
  <si>
    <t>Firmicutes to Bacteroidetes Ratio Measurement</t>
  </si>
  <si>
    <t>FISTATYP</t>
  </si>
  <si>
    <t>Fistula Anatomical Type</t>
  </si>
  <si>
    <t>A classification based on the anatomical location(s) of the fistula.</t>
  </si>
  <si>
    <t>Fistula Anatomical Site</t>
  </si>
  <si>
    <t>FISTNUM</t>
  </si>
  <si>
    <t>Number of Fistulas</t>
  </si>
  <si>
    <t>The number of fistulas observed.</t>
  </si>
  <si>
    <t>FIV1</t>
  </si>
  <si>
    <t>Forced Inspiratory Volume in 1 Second</t>
  </si>
  <si>
    <t>The volume of air that a subject can breathe in during the first second of inhalation after maximum exhalation.</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</si>
  <si>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</si>
  <si>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</si>
  <si>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</si>
  <si>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</si>
  <si>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FIVC</t>
  </si>
  <si>
    <t>Forced Inspiratory Vital Capacity</t>
  </si>
  <si>
    <t>The difference in lung volume between maximal expiration to residual volume followed immediately by full inspiration to total lung capacity during forceful inhalation.</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</si>
  <si>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</si>
  <si>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</si>
  <si>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</si>
  <si>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</si>
  <si>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</si>
  <si>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FIXNAM</t>
  </si>
  <si>
    <t>Fixative Name</t>
  </si>
  <si>
    <t>The name of the substance or material that preserves tissues and cells for study.</t>
  </si>
  <si>
    <t>Name of Fixative</t>
  </si>
  <si>
    <t>FLAGEL</t>
  </si>
  <si>
    <t>Flagellates</t>
  </si>
  <si>
    <t>A measurement of the flagellates (protozoans that possess flagella) in a biological specimen.</t>
  </si>
  <si>
    <t>Flagellates Measurement</t>
  </si>
  <si>
    <t>FLARESZ</t>
  </si>
  <si>
    <t>Flare Size</t>
  </si>
  <si>
    <t>The size of the area of redness that forms around the site of an antigenic challenge to the skin.</t>
  </si>
  <si>
    <t>Antigenic Skin Flare Size</t>
  </si>
  <si>
    <t>FLDVIEW</t>
  </si>
  <si>
    <t>Field of View</t>
  </si>
  <si>
    <t>The extent of an area that is visible. (NCI)</t>
  </si>
  <si>
    <t>FLIPANGL</t>
  </si>
  <si>
    <t>Flip Angle</t>
  </si>
  <si>
    <t>In magnetic resonance imaging, the rotation of the average axis of the protons, relative to the main magnetic field direction, induced by radiofrequency signals. (NCI)</t>
  </si>
  <si>
    <t>FLMUTIND</t>
  </si>
  <si>
    <t>Flagged Mutations Present Indicator</t>
  </si>
  <si>
    <t>An indication as to whether the pre-specified mutations of interest are present in the subject.</t>
  </si>
  <si>
    <t>FLNTRZPM</t>
  </si>
  <si>
    <t>Flunitrazepam</t>
  </si>
  <si>
    <t>A measurement of the flunitrazepam present in a biological specimen.</t>
  </si>
  <si>
    <t>Flunitrazepam Measurement</t>
  </si>
  <si>
    <t>FLRLDIAM</t>
  </si>
  <si>
    <t>Flare Longest Diameter</t>
  </si>
  <si>
    <t>The longest diameter of the area of redness that forms around the site of an antigenic challenge to the skin.</t>
  </si>
  <si>
    <t>Antigenic Skin Flare Longest Diameter</t>
  </si>
  <si>
    <t>FLRMDIAM</t>
  </si>
  <si>
    <t>Flare Mean Diameter</t>
  </si>
  <si>
    <t>The mean diameter of the area of redness that forms around the site of an antigenic challenge to the skin.</t>
  </si>
  <si>
    <t>Antigenic Skin Flare Mean Diameter</t>
  </si>
  <si>
    <t>FLRZPM</t>
  </si>
  <si>
    <t>Flurazepam</t>
  </si>
  <si>
    <t>A measurement of the flurazepam present in a biological specimen.</t>
  </si>
  <si>
    <t>Flurazepam Measurement</t>
  </si>
  <si>
    <t>FLT3</t>
  </si>
  <si>
    <t>FMS-like Receptor Tyrosine Kinase 3</t>
  </si>
  <si>
    <t>FMS-like Receptor Tyrosine Kinase 3; Soluble CD135</t>
  </si>
  <si>
    <t>A measurement of the FMS-like receptor tyrosine kinase 3 in a biological specimen.</t>
  </si>
  <si>
    <t>FMS-like Receptor Tyrosine Kinase 3 Measurement</t>
  </si>
  <si>
    <t>FLT3L</t>
  </si>
  <si>
    <t>FMS-like Tyrosine Kinase 3 Ligand</t>
  </si>
  <si>
    <t>A measurement of the FMS-like tyrosine kinase 3 ligand in a biological specimen.</t>
  </si>
  <si>
    <t>FMS-like Tyrosine Kinase 3 Ligand Measurement</t>
  </si>
  <si>
    <t>FLTRDEN</t>
  </si>
  <si>
    <t>Filter Density</t>
  </si>
  <si>
    <t>The mass of filter media per unit volume.</t>
  </si>
  <si>
    <t>FLTRDRP</t>
  </si>
  <si>
    <t>Filter Pressure Drop</t>
  </si>
  <si>
    <t>A measure of a filter's resistance to airflow.</t>
  </si>
  <si>
    <t>FLTREFF</t>
  </si>
  <si>
    <t>Filter Efficiency</t>
  </si>
  <si>
    <t>The percentage of contaminants removed by a filter medium.</t>
  </si>
  <si>
    <t>FLTRLGTH</t>
  </si>
  <si>
    <t>Filter Length</t>
  </si>
  <si>
    <t>The length of a product filter.</t>
  </si>
  <si>
    <t>Product Filter Length</t>
  </si>
  <si>
    <t>FLUDOUTE</t>
  </si>
  <si>
    <t>Fluid Output, Estimated</t>
  </si>
  <si>
    <t>An estimate of the total volume of fluid discharged over a set period of time.</t>
  </si>
  <si>
    <t>Estimated Fluid Output</t>
  </si>
  <si>
    <t>FLUID</t>
  </si>
  <si>
    <t>Fluid</t>
  </si>
  <si>
    <t>A evaluation of fluid in a biological specimen or location.</t>
  </si>
  <si>
    <t>Fluid Assessment</t>
  </si>
  <si>
    <t>FLUIDOUT</t>
  </si>
  <si>
    <t>Fluid Output</t>
  </si>
  <si>
    <t>A measurement of the total volume of fluid discharged over a set period of time.</t>
  </si>
  <si>
    <t>FLUORIDE</t>
  </si>
  <si>
    <t>Fluoride</t>
  </si>
  <si>
    <t>A measurement of the fluoride in a biological specimen.</t>
  </si>
  <si>
    <t>Fluoride Measurement</t>
  </si>
  <si>
    <t>FLUORLBL</t>
  </si>
  <si>
    <t>Fluorescent Label</t>
  </si>
  <si>
    <t>The type of fluorescent label or dye that is used in a fluorescence-based assay.</t>
  </si>
  <si>
    <t>Fluorescent Tag Type</t>
  </si>
  <si>
    <t>FLUOXTN</t>
  </si>
  <si>
    <t>Fluoxetine</t>
  </si>
  <si>
    <t>A measurement of the fluoxetine drug present in a biological specimen.</t>
  </si>
  <si>
    <t>Fluoxetine Measurement</t>
  </si>
  <si>
    <t>FLUOXTNN</t>
  </si>
  <si>
    <t>Norfluoxetine</t>
  </si>
  <si>
    <t>A measurement of the norfluoxetine in a biological specimen.</t>
  </si>
  <si>
    <t>Norfluoxetine Measurement</t>
  </si>
  <si>
    <t>FLUPHZN</t>
  </si>
  <si>
    <t>Fluphenazine</t>
  </si>
  <si>
    <t>A measurement of the fluphenazine in a biological specimen.</t>
  </si>
  <si>
    <t>Fluphenazine Measurement</t>
  </si>
  <si>
    <t>FLUVOXAM</t>
  </si>
  <si>
    <t>Fluvoxamine</t>
  </si>
  <si>
    <t>A measurement of the fluvoxamine present in a biological specimen.</t>
  </si>
  <si>
    <t>Fluvoxamine Measurement</t>
  </si>
  <si>
    <t>FLXMSTRN</t>
  </si>
  <si>
    <t>Fluoxymesterone</t>
  </si>
  <si>
    <t>A measurement of the fluoxymesterone in a biological specimen.</t>
  </si>
  <si>
    <t>Fluoxymesterone Measurement</t>
  </si>
  <si>
    <t>FMPSTDTC</t>
  </si>
  <si>
    <t>First Menstrual Period Start Date</t>
  </si>
  <si>
    <t>The date of the first day of the first menstrual cycle.</t>
  </si>
  <si>
    <t>FNDOSAMT</t>
  </si>
  <si>
    <t>Final Dose Amount</t>
  </si>
  <si>
    <t>A determination of the final amount of a substance taken as a dose by a subject.</t>
  </si>
  <si>
    <t>FNDOSFRQ</t>
  </si>
  <si>
    <t>Frequency of Final Dose Amount</t>
  </si>
  <si>
    <t>A determination of how often a subject takes a substance at the final dose amount.</t>
  </si>
  <si>
    <t>FNU</t>
  </si>
  <si>
    <t>Fusobacterium nucleatum</t>
  </si>
  <si>
    <t>A measurement of the Fusobacterium nucleatum in a biological specimen.</t>
  </si>
  <si>
    <t>Fusobacterium nucleatum Measurement</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</si>
  <si>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</si>
  <si>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</si>
  <si>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</si>
  <si>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</si>
  <si>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FOLHMRNA</t>
  </si>
  <si>
    <t>Folate Hydrolase mRNA</t>
  </si>
  <si>
    <t>A measurement of the folate hydrolase mRNA in a biological specimen.</t>
  </si>
  <si>
    <t>Folate Hydrolase mRNA Measurement</t>
  </si>
  <si>
    <t>FORMALD</t>
  </si>
  <si>
    <t>Formaldehyde</t>
  </si>
  <si>
    <t>Formaldehyde; Formic Aldehyde; Methanal</t>
  </si>
  <si>
    <t>A measurement of the formaldehyde in a specimen.</t>
  </si>
  <si>
    <t>Formaldehyde Measurement</t>
  </si>
  <si>
    <t>FOXP3X</t>
  </si>
  <si>
    <t>FoxP3 Expression</t>
  </si>
  <si>
    <t>FoxP3 Expression; FP3 Expression</t>
  </si>
  <si>
    <t>A measurement of cellular FoxP3 expression in a biological specimen.</t>
  </si>
  <si>
    <t>FoxP3 Expression Measurement</t>
  </si>
  <si>
    <t>FPP</t>
  </si>
  <si>
    <t>Protoporphyrin, Free</t>
  </si>
  <si>
    <t>A measurement of the free protoporphyrin (unbound to iron in hemoglobin) in a biological specimen.</t>
  </si>
  <si>
    <t>Free Protoporphyrin Measurement</t>
  </si>
  <si>
    <t>FRC</t>
  </si>
  <si>
    <t>Functional Residual Capacity</t>
  </si>
  <si>
    <t>The volume of air remaining in the lungs after a normal exhalation. (NCI)</t>
  </si>
  <si>
    <t>FRCPP</t>
  </si>
  <si>
    <t>Percent Predicted FRC</t>
  </si>
  <si>
    <t>The functional residual capacity as a proportion of the predicted normal value.</t>
  </si>
  <si>
    <t>Percent Predicted Functional Residual Capacity</t>
  </si>
  <si>
    <t>FRFEABS</t>
  </si>
  <si>
    <t>Fractional Iron Absorption</t>
  </si>
  <si>
    <t>A relative measurement (ratio or percentage) of the iron absorbed into tissue or cells to the total available iron.</t>
  </si>
  <si>
    <t>FRMSIZE</t>
  </si>
  <si>
    <t>Body Frame Size</t>
  </si>
  <si>
    <t>The categorization of a person's body frame into small, medium and large based on the measurement of wrist circumference or the breadth of the elbow. (NCI)</t>
  </si>
  <si>
    <t>FRNG</t>
  </si>
  <si>
    <t>Glycated Ferritin</t>
  </si>
  <si>
    <t>A measurement of the glycated ferritin in a biological specimen.</t>
  </si>
  <si>
    <t>Glycated Ferritin Measurement</t>
  </si>
  <si>
    <t>FRNGFRN</t>
  </si>
  <si>
    <t>Glycated Ferritin/Ferritin</t>
  </si>
  <si>
    <t>A relative measurement (ratio or percentage) of the glycated ferritin to total ferritin in a biological specimen.</t>
  </si>
  <si>
    <t>Glycated Ferritin to Ferritin Ratio Measurement</t>
  </si>
  <si>
    <t>FRNGO</t>
  </si>
  <si>
    <t>Glycosylated Ferritin</t>
  </si>
  <si>
    <t>A measurement of the glycosylated ferritin in a biological specimen.</t>
  </si>
  <si>
    <t>Glycosylated Ferritin Measurement</t>
  </si>
  <si>
    <t>FRNGOFRN</t>
  </si>
  <si>
    <t>Glycosylated Ferritin/Ferritin</t>
  </si>
  <si>
    <t>A relative measurement (ratio or percentage) of the glycosylated ferritin to total ferritin in a biological specimen.</t>
  </si>
  <si>
    <t>Glycosylated Ferritin to Ferritin Ratio Measurement</t>
  </si>
  <si>
    <t>FRTLSTAT</t>
  </si>
  <si>
    <t>Fertility Status</t>
  </si>
  <si>
    <t>The status of an individual with respect to their ability to produce offspring.</t>
  </si>
  <si>
    <t>FRTNHC</t>
  </si>
  <si>
    <t>Ferritin Heavy Chain</t>
  </si>
  <si>
    <t>Apoferritin; Ferritin Heavy Chain; FTH; FTH1</t>
  </si>
  <si>
    <t>A measurement of the ferritin heavy chain in a biological specimen.</t>
  </si>
  <si>
    <t>Ferritin Heavy Chain Measurement</t>
  </si>
  <si>
    <t>FRTNLC</t>
  </si>
  <si>
    <t>Ferritin Light Chain</t>
  </si>
  <si>
    <t>Ferritin Light Chain; FTL; L Apoferritin</t>
  </si>
  <si>
    <t>A measurement of the ferritin light chain in a biological specimen.</t>
  </si>
  <si>
    <t>Ferritin Light Chain Measurement</t>
  </si>
  <si>
    <t>FRUCT</t>
  </si>
  <si>
    <t>Fructosamine</t>
  </si>
  <si>
    <t>Fructosamine; Glycated Serum Protein</t>
  </si>
  <si>
    <t>A measurement of the fructosamine in a biological specimen.</t>
  </si>
  <si>
    <t>Fructosamine Measurement</t>
  </si>
  <si>
    <t>FRUCTOSE</t>
  </si>
  <si>
    <t>Fructose</t>
  </si>
  <si>
    <t>A measurement of the fructose in a biological specimen.</t>
  </si>
  <si>
    <t>Fructose Measurement</t>
  </si>
  <si>
    <t>FRUMCRTP</t>
  </si>
  <si>
    <t>Fructosamine Corrected for Total Protein</t>
  </si>
  <si>
    <t>A measurement of fructosamine, which has been corrected for total protein, in a biological specimen.</t>
  </si>
  <si>
    <t>Fructosamine Corrected for Total Protein Measurement</t>
  </si>
  <si>
    <t>FRZPMAOM</t>
  </si>
  <si>
    <t>Flurazepam and/or Metabolites</t>
  </si>
  <si>
    <t>A measurement of the flurazepam and/or its metabolite(s) present in a biological specimen, for an assay that can measure both flurazepam and its metabolites.</t>
  </si>
  <si>
    <t>Flurazepam and/or Metabolites Measurement</t>
  </si>
  <si>
    <t>FSH</t>
  </si>
  <si>
    <t>Follicle Stimulating Hormone</t>
  </si>
  <si>
    <t>A measurement of the follicle stimulating hormone (FSH) in a biological specimen.</t>
  </si>
  <si>
    <t>Follicle Stimulating Hormone Measurement</t>
  </si>
  <si>
    <t>FSXIAGE</t>
  </si>
  <si>
    <t>Age at First Sexual Intercourse</t>
  </si>
  <si>
    <t>The age at which first sexual intercourse occurred.</t>
  </si>
  <si>
    <t>FSXOAGE</t>
  </si>
  <si>
    <t>Age at First Oral Sex</t>
  </si>
  <si>
    <t>The age at which first oral sex occurred.</t>
  </si>
  <si>
    <t>FTEWT</t>
  </si>
  <si>
    <t>Fetal Estimated Weight</t>
  </si>
  <si>
    <t>An approximate determination of the weight of the fetus.</t>
  </si>
  <si>
    <t>FTHDCIRC</t>
  </si>
  <si>
    <t>Fetal Head Circumference</t>
  </si>
  <si>
    <t>A circumferential measurement of the fetal head at the widest point.</t>
  </si>
  <si>
    <t>FTHR</t>
  </si>
  <si>
    <t>Fetal Heart Rate</t>
  </si>
  <si>
    <t>Fetal Heart Rate; Fetal HR</t>
  </si>
  <si>
    <t>The number of fetal heartbeats per unit of time.</t>
  </si>
  <si>
    <t>FTMANDL</t>
  </si>
  <si>
    <t>Fetal Mandibular Length</t>
  </si>
  <si>
    <t>A measurement of the length of the fetal mandible.</t>
  </si>
  <si>
    <t>FTSAD</t>
  </si>
  <si>
    <t>Fetal Sagittal Abdominal Diameter</t>
  </si>
  <si>
    <t>Fetal SAD; Fetal Sagittal Abdominal Diameter</t>
  </si>
  <si>
    <t>A measurement of the sagittal abdominal diameter of the fetus.</t>
  </si>
  <si>
    <t>FTSTUIND</t>
  </si>
  <si>
    <t>Full-Time Student Indicator</t>
  </si>
  <si>
    <t>An indication as to whether the subject is a full-time student.</t>
  </si>
  <si>
    <t>FTSZGAC</t>
  </si>
  <si>
    <t>Fetal Size-for-Gestational Age Category</t>
  </si>
  <si>
    <t>An assessed relationship of the fetal size and gestational age to that of a reference population, expressed as a category.</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</si>
  <si>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</si>
  <si>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</si>
  <si>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</si>
  <si>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</si>
  <si>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</si>
  <si>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SS</t>
  </si>
  <si>
    <t>FUAVSTAT</t>
  </si>
  <si>
    <t>Follow-Up Availability Status</t>
  </si>
  <si>
    <t>The state or condition of the subject's availability to provide information about their health status after they are no longer receiving study treatment.</t>
  </si>
  <si>
    <t>FULLTRMN</t>
  </si>
  <si>
    <t>Number of Full Term Births</t>
  </si>
  <si>
    <t>A measurement of the total number of birth events (both live and dead) at which the gestational age of the neonate is 39 weeks and 0 days through 40 weeks and 6 days.</t>
  </si>
  <si>
    <t>FUNDHT</t>
  </si>
  <si>
    <t>Fundal Height</t>
  </si>
  <si>
    <t>A measurement of the distance between the pubic symphysis and the top of the palpable uterus.</t>
  </si>
  <si>
    <t>FUNGI</t>
  </si>
  <si>
    <t>Fungi</t>
  </si>
  <si>
    <t>Fungi; Fungus</t>
  </si>
  <si>
    <t>A measurement of the fungi in a biological specimen.</t>
  </si>
  <si>
    <t>Fungi Measurement</t>
  </si>
  <si>
    <t>FUNGIFIL</t>
  </si>
  <si>
    <t>Fungi, Filamentous</t>
  </si>
  <si>
    <t>A measurement of the filamentous fungi in a biological specimen.</t>
  </si>
  <si>
    <t>Filamentous Fungi Count</t>
  </si>
  <si>
    <t>FUNGYLK</t>
  </si>
  <si>
    <t>Fungi, Yeast-Like</t>
  </si>
  <si>
    <t>A measurement of the yeast-like fungi in a biological specimen.</t>
  </si>
  <si>
    <t>Yeast-Like Fungi Count</t>
  </si>
  <si>
    <t>FURAN</t>
  </si>
  <si>
    <t>Furan</t>
  </si>
  <si>
    <t>A measurement of the furan in a specimen.</t>
  </si>
  <si>
    <t>Furan Measurement</t>
  </si>
  <si>
    <t>FURAZBL</t>
  </si>
  <si>
    <t>Furazabol</t>
  </si>
  <si>
    <t>A measurement of the furazabol in a biological specimen.</t>
  </si>
  <si>
    <t>Furazabol Measurement</t>
  </si>
  <si>
    <t>FURFURAL</t>
  </si>
  <si>
    <t>Furfural</t>
  </si>
  <si>
    <t>2-Furaldehyde; Furfural</t>
  </si>
  <si>
    <t>A measurement of the furfural in a specimen.</t>
  </si>
  <si>
    <t>Furfural Measurement</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</si>
  <si>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</si>
  <si>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</si>
  <si>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</si>
  <si>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</si>
  <si>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</si>
  <si>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FVC</t>
  </si>
  <si>
    <t>Forced Vital Capacity</t>
  </si>
  <si>
    <t>The volume of air that can be forcibly exhaled following maximal inhalation.</t>
  </si>
  <si>
    <t>FVC6</t>
  </si>
  <si>
    <t>Forced Vital Capacity in 6 Seconds</t>
  </si>
  <si>
    <t>FVCPP</t>
  </si>
  <si>
    <t>Percent Predicted Forced Vital Capacity</t>
  </si>
  <si>
    <t>Forced vital capacity as a proportion of the predicted normal value.</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</si>
  <si>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</si>
  <si>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</si>
  <si>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</si>
  <si>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</si>
  <si>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</si>
  <si>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</si>
  <si>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</si>
  <si>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</si>
  <si>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</si>
  <si>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</si>
  <si>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</si>
  <si>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</si>
  <si>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</si>
  <si>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</si>
  <si>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</si>
  <si>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</si>
  <si>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</si>
  <si>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</si>
  <si>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</si>
  <si>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</si>
  <si>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</si>
  <si>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</si>
  <si>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</si>
  <si>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</si>
  <si>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</si>
  <si>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</si>
  <si>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</si>
  <si>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</si>
  <si>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</si>
  <si>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</si>
  <si>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G6PD</t>
  </si>
  <si>
    <t>Glucose-6-Phosphate Dehydrogenase</t>
  </si>
  <si>
    <t>A measurement of the glucose-6-phosphate dehydrogenase in a biological specimen.</t>
  </si>
  <si>
    <t>Glucose-6-Phosphate Dehydrogenase Measurement</t>
  </si>
  <si>
    <t>G6PDA</t>
  </si>
  <si>
    <t>Glucose-6-Phosphate Dehydrogenase Act</t>
  </si>
  <si>
    <t>A measurement of the biological activity of glucose-6-phosphate dehydrogenase in a biological specimen.</t>
  </si>
  <si>
    <t>Glucose-6-Phosphate Dehydrogenase Activity</t>
  </si>
  <si>
    <t>G6PDRBC</t>
  </si>
  <si>
    <t>G6PD-Deficient Erythrocytes</t>
  </si>
  <si>
    <t>A measurement of the glucose-6-phosphate dehydrogenase deficient erythrocytes in a biological specimen.</t>
  </si>
  <si>
    <t>G6PD-Deficient Erythrocytes Count</t>
  </si>
  <si>
    <t>G6PDRBRB</t>
  </si>
  <si>
    <t>G6PD-Deficient Erythrocytes/Erythrocytes</t>
  </si>
  <si>
    <t>A relative measurement (ratio or percentage) of G6PD-deficient erythrocytes to total erythrocytes in a biological specimen.</t>
  </si>
  <si>
    <t>G6PD-Deficient Erythrocytes to Erythrocytes Ratio Measurement</t>
  </si>
  <si>
    <t>GAA</t>
  </si>
  <si>
    <t>Acid Alpha-Glucosidase</t>
  </si>
  <si>
    <t>Acid Alpha-Glucosidase; Acid Maltase; Alpha-1,4-glucosidase</t>
  </si>
  <si>
    <t>A measurement of the acid alpha-glucosidase in a biological specimen.</t>
  </si>
  <si>
    <t>Acid Alpha-Glucosidase Measurement</t>
  </si>
  <si>
    <t>GAD1</t>
  </si>
  <si>
    <t>Glutamic Acid Decarboxylase 1</t>
  </si>
  <si>
    <t>Glutamic Acid Decarboxylase 1; Glutamic Acid Decarboxylase 67</t>
  </si>
  <si>
    <t>A measurement of the glutamic acid decarboxylase 1 in a biological specimen.</t>
  </si>
  <si>
    <t>Glutamic Acid Decarboxylase 1 Measurement</t>
  </si>
  <si>
    <t>GAD2</t>
  </si>
  <si>
    <t>Glutamic Acid Decarboxylase 2</t>
  </si>
  <si>
    <t>Glutamic Acid Decarboxylase 2; Glutamic Acid Decarboxylase 65</t>
  </si>
  <si>
    <t>A measurement of the glutamic acid decarboxylase 2 in a biological specimen.</t>
  </si>
  <si>
    <t>Glutamic Acid Decarboxylase 2 Measurement</t>
  </si>
  <si>
    <t>GAL</t>
  </si>
  <si>
    <t>Galactose</t>
  </si>
  <si>
    <t>A measurement of the galactose in a biological specimen.</t>
  </si>
  <si>
    <t>Galactose Measurement</t>
  </si>
  <si>
    <t>GAL1PHOS</t>
  </si>
  <si>
    <t>Galactose-1-Phosphate</t>
  </si>
  <si>
    <t>A measurement of the galactose-1-phosphate in a biological specimen.</t>
  </si>
  <si>
    <t>Galactose-1-Phosphate Measurement</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</si>
  <si>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</si>
  <si>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</si>
  <si>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</si>
  <si>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</si>
  <si>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</si>
  <si>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GALANIN</t>
  </si>
  <si>
    <t>Galanin</t>
  </si>
  <si>
    <t>A measurement of the galanin in a biological specimen.</t>
  </si>
  <si>
    <t>Galanin Measurement</t>
  </si>
  <si>
    <t>GALM</t>
  </si>
  <si>
    <t>Galactose Mutarotase</t>
  </si>
  <si>
    <t>A measurement of the galactose mutarotase in a biological specimen.</t>
  </si>
  <si>
    <t>Galactose Mutarotase Measurement</t>
  </si>
  <si>
    <t>GAMBTAC</t>
  </si>
  <si>
    <t>Gamma-Aminobutyric Acid</t>
  </si>
  <si>
    <t>GABA; Gamma-aminobutyrate; Gamma-Aminobutyric Acid</t>
  </si>
  <si>
    <t>A measurement of the gamma-aminobutyric acid in a biological specimen.</t>
  </si>
  <si>
    <t>Gamma-Aminobutyric Acid Measurement</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</si>
  <si>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</si>
  <si>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</si>
  <si>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</si>
  <si>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</si>
  <si>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</si>
  <si>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GAS</t>
  </si>
  <si>
    <t>Streptococcus Group A</t>
  </si>
  <si>
    <t>A measurement of the Streptococcus group A in a biological specimen.</t>
  </si>
  <si>
    <t>Group A Streptococcus Measurement</t>
  </si>
  <si>
    <t>GASTRIN</t>
  </si>
  <si>
    <t>Gastrin</t>
  </si>
  <si>
    <t>A measurement of the gastrin hormone in a biological specimen.</t>
  </si>
  <si>
    <t>Gastrin Measurement</t>
  </si>
  <si>
    <t>GATCPHRL</t>
  </si>
  <si>
    <t>Gamma Tocopherol</t>
  </si>
  <si>
    <t>A measurement of the gamma tocopherol in a biological specimen.</t>
  </si>
  <si>
    <t>Gamma Tocopherol Measurement</t>
  </si>
  <si>
    <t>GAW</t>
  </si>
  <si>
    <t>Airway Conductance</t>
  </si>
  <si>
    <t>The instantaneous rate of air flow in the airway, expressed as the pressure difference between any given part of the airway and the alveoli; it is the reciprocal of airway resistance (Raw).</t>
  </si>
  <si>
    <t>GB3</t>
  </si>
  <si>
    <t>Globotriaosylceramide</t>
  </si>
  <si>
    <t>Gb3; GL-3; GL3; Globotriaosylceramide; sCD77; Soluble CD77</t>
  </si>
  <si>
    <t>A measurement of the globotriaosylceramide in a biological specimen.</t>
  </si>
  <si>
    <t>Globotriaosylceramide Measurement</t>
  </si>
  <si>
    <t>GBA</t>
  </si>
  <si>
    <t>Glucosylceramidase Beta</t>
  </si>
  <si>
    <t>Beta-Glucocerebrosidase; GBA; Glucocerebrosidase Beta; Glucosylceramidase; Glucosylceramidase Beta</t>
  </si>
  <si>
    <t>A measurement of the glucosylceramidase beta in a biological specimen.</t>
  </si>
  <si>
    <t>Glucosylceramidase Beta Measurement</t>
  </si>
  <si>
    <t>GBP1</t>
  </si>
  <si>
    <t>Guanylate Binding Protein 1</t>
  </si>
  <si>
    <t>A measurement of the guanylate binding protein 1 in a biological specimen.</t>
  </si>
  <si>
    <t>Guanylate Binding Protein 1 Measurement</t>
  </si>
  <si>
    <t>GBP2</t>
  </si>
  <si>
    <t>Guanylate Binding Protein 2</t>
  </si>
  <si>
    <t>A measurement of the guanylate binding protein 2 in a biological specimen.</t>
  </si>
  <si>
    <t>Guanylate Binding Protein 2 Measurement</t>
  </si>
  <si>
    <t>GBS</t>
  </si>
  <si>
    <t>Streptococcus Group B</t>
  </si>
  <si>
    <t>A measurement of the Streptococcus group B in a biological specimen.</t>
  </si>
  <si>
    <t>Group B Streptococcus Measurement</t>
  </si>
  <si>
    <t>GCDCA</t>
  </si>
  <si>
    <t>Glycochenodeoxycholate</t>
  </si>
  <si>
    <t>Glycochenodeoxycholate; Glycochenodeoxycholic Acid</t>
  </si>
  <si>
    <t>A measurement of the glycochenodeoxycholate in a biological specimen.</t>
  </si>
  <si>
    <t>Glycochenodeoxycholate Measurement</t>
  </si>
  <si>
    <t>GCHT</t>
  </si>
  <si>
    <t>Glycocholate</t>
  </si>
  <si>
    <t>Cholylglycine; Glycocholate; Glycocholic Acid</t>
  </si>
  <si>
    <t>A measurement of the glycocholate in a biological specimen.</t>
  </si>
  <si>
    <t>Glycocholate Measurement</t>
  </si>
  <si>
    <t>GCIRCPI</t>
  </si>
  <si>
    <t>Greatest Circ at Point of Interest</t>
  </si>
  <si>
    <t>Greatest Circ at Point of Interest; Greatest Circumference at Point of Interest; Largest Circumference at Point of Interest</t>
  </si>
  <si>
    <t>The circumferential measurement of an entity or object of interest at its widest point.</t>
  </si>
  <si>
    <t>Greatest Circumference at Point of Interest</t>
  </si>
  <si>
    <t>GCS</t>
  </si>
  <si>
    <t>Global Circumferential Strain</t>
  </si>
  <si>
    <t>A measurement of the global myocardial circumferential strain of the ventricle or atrium, via an automated algorithm.</t>
  </si>
  <si>
    <t>Global Circumferential Strain Measurement</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</si>
  <si>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</si>
  <si>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</si>
  <si>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</si>
  <si>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</si>
  <si>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</si>
  <si>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GCSF</t>
  </si>
  <si>
    <t>Granulocyte Colony Stimulating Factor</t>
  </si>
  <si>
    <t>A measurement of the granulocyte colony stimulating factor in a biological specimen.</t>
  </si>
  <si>
    <t>Granulocyte Colony Stimulating Factor Measurement</t>
  </si>
  <si>
    <t>GDA</t>
  </si>
  <si>
    <t>Guanine Deaminase</t>
  </si>
  <si>
    <t>Guanase; Guanine Aminohydrolase; Guanine Deaminase</t>
  </si>
  <si>
    <t>A measurement of the guanine deaminase in a biological specimen.</t>
  </si>
  <si>
    <t>Guanine Deaminase Measurement</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</si>
  <si>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</si>
  <si>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</si>
  <si>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</si>
  <si>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</si>
  <si>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</si>
  <si>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</si>
  <si>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</si>
  <si>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</si>
  <si>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</si>
  <si>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</si>
  <si>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</si>
  <si>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</si>
  <si>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</si>
  <si>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</si>
  <si>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</si>
  <si>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GDF8</t>
  </si>
  <si>
    <t>Growth Differentiation Factor 8</t>
  </si>
  <si>
    <t>Growth Differentiation Factor 8; Myostatin</t>
  </si>
  <si>
    <t>A measurement of the growth differentiation factor 8 in a biological specimen.</t>
  </si>
  <si>
    <t>Growth Differentiation Factor 8 Measurement</t>
  </si>
  <si>
    <t>GDIGA1</t>
  </si>
  <si>
    <t>Galactose-Deficient IgA1</t>
  </si>
  <si>
    <t>Galactose-Deficient IgA1; Gd-IgA1</t>
  </si>
  <si>
    <t>A measurement of the galactose-deficient IgA1 in a biological specimen.</t>
  </si>
  <si>
    <t>Galactose-Deficient IgA1 Measurement</t>
  </si>
  <si>
    <t>GEC</t>
  </si>
  <si>
    <t>Galactose Elimination Capacity</t>
  </si>
  <si>
    <t>A liver function test that measures galactose elimination capacity in a biological specimen.</t>
  </si>
  <si>
    <t>GENESIG</t>
  </si>
  <si>
    <t>Gene Signature</t>
  </si>
  <si>
    <t>Gene Expression Signature; Gene Signature</t>
  </si>
  <si>
    <t>An assessment of the unique pattern of gene expression of one to many genes associated with a normal or abnormal biological process.</t>
  </si>
  <si>
    <t>Gene Signature Assessment</t>
  </si>
  <si>
    <t>GENIDENT</t>
  </si>
  <si>
    <t>Gender Identity</t>
  </si>
  <si>
    <t>A person's internally held sense of their gender, which may or may not correspond to the individual's genotypic or phenotypic sex.</t>
  </si>
  <si>
    <t>GFAP</t>
  </si>
  <si>
    <t>Glial Fibrillary Acidic Protein</t>
  </si>
  <si>
    <t>A measurement of the glial fibrillary acidic protein in a biological specimen.</t>
  </si>
  <si>
    <t>Glial Fibrillary Acidic Protein Measurement</t>
  </si>
  <si>
    <t>GFR</t>
  </si>
  <si>
    <t>Glomerular Filtration Rate</t>
  </si>
  <si>
    <t>A kidney function test that measures the fluid volume that is filtered from the kidney glomeruli to the Bowman's capsule per unit of time.</t>
  </si>
  <si>
    <t>GFRBSA</t>
  </si>
  <si>
    <t>Glomerular Filtration Rate Adj for BSA</t>
  </si>
  <si>
    <t>A measurement of the glomerular filtration rate adjusted for body surface area.</t>
  </si>
  <si>
    <t>Glomerular Filtration Rate Adjusted for BSA</t>
  </si>
  <si>
    <t>GFRBSB2M</t>
  </si>
  <si>
    <t>GFR from B-2 Microglobulin Adj for BSA</t>
  </si>
  <si>
    <t>A direct measurement of the glomerular filtration rate (GFR) based on the clearance of beta-2 microglobulin after adjusting it for the standard body surface area value 1.73m2.</t>
  </si>
  <si>
    <t>Direct Glomerular Filtration Rate from Beta-Trace Protein Adjusted for Standard BSA Measurement</t>
  </si>
  <si>
    <t>GFRBSBTP</t>
  </si>
  <si>
    <t>GFR from Beta-Trace Protein Adj for BSA</t>
  </si>
  <si>
    <t>A direct measurement of the glomerular filtration rate (GFR) based on the clearance of beta-trace protein after adjusting it for the standard body surface area value 1.73m2.</t>
  </si>
  <si>
    <t>GFRBSCCC</t>
  </si>
  <si>
    <t>GFR from Cystatin C and Creat Adj BSA</t>
  </si>
  <si>
    <t>An estimation of the glomerular filtration rate adjusted for standard body surface area (1.73m2) based on cystatin C and creatinine.</t>
  </si>
  <si>
    <t>Estimated Glomeluar Filtration Rate from Cystatin C and Creatinine Adjusted for Standard BSA</t>
  </si>
  <si>
    <t>GFRBSCRT</t>
  </si>
  <si>
    <t>GFR from Creatinine Adjusted for BSA</t>
  </si>
  <si>
    <t>An estimation of the glomerular filtration rate adjusted for standard body surface area (1.73m2) based on creatinine.</t>
  </si>
  <si>
    <t>Estimated Glomerular Filtration Rate from Creatinine Adjusted for Standard BSA</t>
  </si>
  <si>
    <t>GFRBSCU</t>
  </si>
  <si>
    <t>GFR from Creat and UreaN Adj BSA</t>
  </si>
  <si>
    <t>GFR from Creat and UreaN Adj BSA; GFR from Creatinine and Urea Nitrogen Adjusted for BSA</t>
  </si>
  <si>
    <t>An estimation of the glomerular filtration rate adjusted for standard body surface area (1.73m2) based on creatinine and urea nitrogen.</t>
  </si>
  <si>
    <t>Estimated Glomerular Filtration Rate from Creatinine and Urea Nitrogen Adjusted for Standard BSA</t>
  </si>
  <si>
    <t>GFRBSCUA</t>
  </si>
  <si>
    <t>GFR from Creat,UreaN,Alb Adj BSA</t>
  </si>
  <si>
    <t>GFR from Creat,UreaN,Alb Adj BSA; GFR from Creatinine, Urea Nitrogen and Albumin Adjusted for BSA</t>
  </si>
  <si>
    <t>An estimation of the glomerular filtration rate adjusted for standard body surface area (1.73m2) based on creatinine, urea nitrogen, and albumin.</t>
  </si>
  <si>
    <t>Estimated Glomerular Filtration Rate from Creatinine, Urea Nitrogen, and Albumin Adjusted for Standard BSA</t>
  </si>
  <si>
    <t>GFRBSCYC</t>
  </si>
  <si>
    <t>GFR from Cystatin C Adjusted for BSA</t>
  </si>
  <si>
    <t>An estimation of the glomerular filtration rate adjusted for standard body surface area (1.73m2) based on cystatin C.</t>
  </si>
  <si>
    <t>Estimated Glomerular Filtration Rate from Cystatin C Adjusted for Standard BSA</t>
  </si>
  <si>
    <t>GFRE</t>
  </si>
  <si>
    <t>Glomerular Filtration Rate, Estimated</t>
  </si>
  <si>
    <t>eGFR; Glomerular Filtration Rate, Estimated</t>
  </si>
  <si>
    <t>A kidney function test that estimates the fluid volume that is filtered from the kidney glomeruli to the Bowman's capsule per unit of time, which may or may not be indexed for body surface area.</t>
  </si>
  <si>
    <t>Estimated Glomerular Filtration Rate</t>
  </si>
  <si>
    <t>GFREI</t>
  </si>
  <si>
    <t>GFR, Estimated Indexed</t>
  </si>
  <si>
    <t>eGFR, Indexed; Estimated Glomerular Filtration Rate Adj for 1.73m2; GFR, Estimated Indexed; Indexed eGFR; Indexed Estimated Glomerular Filtration Rate</t>
  </si>
  <si>
    <t>An estimated GFR (eGFR) that takes into account a standardized body surface area (BSA) value of 1.73m2.</t>
  </si>
  <si>
    <t>Indexed Estimated Glomerular Filtration Rate</t>
  </si>
  <si>
    <t>GFRENI</t>
  </si>
  <si>
    <t>GFR, Estimated Non-Indexed</t>
  </si>
  <si>
    <t>Absolute GFR; De-Indexed eGFR; eGFR, Non-Indexed; Estimated Glomerular Filtration Rate Adj for BSA; GFR, Estimated Non-Indexed; Individual eGFR; Non-Indexed eGFR; Non-Indexed Estimated Glomerular Filtration Rate</t>
  </si>
  <si>
    <t>An estimated GFR (eGFR) that takes into account the individual's actual body surface area (BSA) value.</t>
  </si>
  <si>
    <t>Non-Indexed Estimated Glomerular Filtration Rate</t>
  </si>
  <si>
    <t>GFRNIB2M</t>
  </si>
  <si>
    <t>GFR from B-2 Microglobulin Adj for aBSA</t>
  </si>
  <si>
    <t>GFR from B-2 Microglobulin Adj for aBSA; GFR from B-2 Microglobulin Adjusted for Actual BSA</t>
  </si>
  <si>
    <t>A direct measurement of the glomerular filtration rate (GFR) based on the clearance of beta-2 microglobulin after adjusting it for the individual's actual body surface area value.</t>
  </si>
  <si>
    <t>Glomerular Filtration Rate from B-2 Microglobulin Adjusted for Actual BSA Measurement</t>
  </si>
  <si>
    <t>GFRNIBTP</t>
  </si>
  <si>
    <t>GFR from Beta-Trace Protein Adj for aBSA</t>
  </si>
  <si>
    <t>GFR from Beta-Trace Protein Adj for aBSA; GFR from Beta-Trace Protein Adjusted for Actual BSA</t>
  </si>
  <si>
    <t>A direct measurement of the glomerular filtration rate (GFR) based on the clearance of beta-trace protein after adjusting it for the individual's actual body surface area value.</t>
  </si>
  <si>
    <t>Glomerular Filtration Rate from Beta-Trace Protein Adjusted for Actual BSA Measurement</t>
  </si>
  <si>
    <t>GFRNICCC</t>
  </si>
  <si>
    <t>GFR from Cystatin C and Creat Adj aBSA</t>
  </si>
  <si>
    <t>An estimation of the glomerular filtration rate adjusted for an individual's actual body surface area based on cystatin C and creatinine.</t>
  </si>
  <si>
    <t>Glomerular Filtration Rate from Cystatin C and Creatinine Adjusted for Actual BSA</t>
  </si>
  <si>
    <t>GFRNICRT</t>
  </si>
  <si>
    <t>GFR from Creatinine Adjusted for aBSA</t>
  </si>
  <si>
    <t>GFR from Creatinine Adjusted for aBSA; GFR from Creatinine Adjusted for Actual BSA</t>
  </si>
  <si>
    <t>An estimation of the glomerular filtration rate adjusted for an individual's actual body surface area based on creatinine.</t>
  </si>
  <si>
    <t>Glomerular Filtration Rate from Creatinine Adjusted for Actual BSA</t>
  </si>
  <si>
    <t>GFRNICU</t>
  </si>
  <si>
    <t>GFR from Creat and UreaN Adj aBSA</t>
  </si>
  <si>
    <t>GFR from Creat and UreaN Adj aBSA; GFR from Creatinine and Urea Nitrogen Adjusted for Actual BSA</t>
  </si>
  <si>
    <t>An estimation of the glomerular filtration rate adjusted for an individual's actual body surface area based on creatinine and urea nitrogen.</t>
  </si>
  <si>
    <t>Glomerular Filtration Rate from Creatinine and Urea Nitrogen Adjusted for Actual Body Surface Area Measurement</t>
  </si>
  <si>
    <t>GFRNICUA</t>
  </si>
  <si>
    <t>GFR from Creat,UreaN,Alb Adj aBSA</t>
  </si>
  <si>
    <t>GFR from Creat,UreaN,Alb Adj aBSA; GFR from Creatinine, Urea Nitrogen and Albumin Adjusted for Actual BSA</t>
  </si>
  <si>
    <t>An estimation of the glomerular filtration rate adjusted for an individual's actual body surface area based on creatinine, urea nitrogen, and albumin.</t>
  </si>
  <si>
    <t>Glomerular Filtration Rate from Creatinine, Urea Nitrogen, and Albumin Adjusted for Actual Body Surface Area Measurement</t>
  </si>
  <si>
    <t>GFRNICYC</t>
  </si>
  <si>
    <t>GFR from Cystatin C Adjusted for aBSA</t>
  </si>
  <si>
    <t>GFR from Cystatin C Adjusted for aBSA; GFR from Cystatin C Adjusted for Actual BSA</t>
  </si>
  <si>
    <t>An estimation of the glomerular filtration rate adjusted for an individual's actual body surface area based on cystatin C.</t>
  </si>
  <si>
    <t>Glomerular Filtration Rate from Cystatin C Adjusted for Actual BSA</t>
  </si>
  <si>
    <t>GGT</t>
  </si>
  <si>
    <t>Gamma Glutamyl Transferase</t>
  </si>
  <si>
    <t>A measurement of the gamma glutamyl transferase in a biological specimen.</t>
  </si>
  <si>
    <t>Gamma Glutamyl Transpeptidase Measurement</t>
  </si>
  <si>
    <t>GGTCREAT</t>
  </si>
  <si>
    <t>Gamma Glutamyl Transferase/Creatinine</t>
  </si>
  <si>
    <t>A relative measurement (ratio or percentage) of the gamma glutamyl transferase to creatinine in a biological specimen.</t>
  </si>
  <si>
    <t>Gamma Glutamyl Transferase to Creatinine Ratio Measurement</t>
  </si>
  <si>
    <t>GGTEXR</t>
  </si>
  <si>
    <t>GammaGlutamyl Transferase Excretion Rate</t>
  </si>
  <si>
    <t>Gamma Glutamyl Transferase Excretion Rate</t>
  </si>
  <si>
    <t>A measurement of the amount of gamma glutamyl transferase being excreted in a biological specimen over a defined amount of time (e.g. one hour).</t>
  </si>
  <si>
    <t>GHB</t>
  </si>
  <si>
    <t>Gamma-Hydroxybutyrate</t>
  </si>
  <si>
    <t>4-Hydroxybutanoic Acid; Gamma-Hydroxybutyrate; Gamma-Hydroxybutyric Acid</t>
  </si>
  <si>
    <t>A measurement of the gamma-hydroxybutyrate in a biological specimen.</t>
  </si>
  <si>
    <t>Gamma-Hydroxybutyrate Measurement</t>
  </si>
  <si>
    <t>GHBP</t>
  </si>
  <si>
    <t>Growth Hormone Binding Protein</t>
  </si>
  <si>
    <t>GH Binding Protein; Growth Hormone Binding Protein; Somatotropin Receptor</t>
  </si>
  <si>
    <t>A measurement of the growth hormone binding protein in a biological specimen.</t>
  </si>
  <si>
    <t>Growth Hormone Binding Protein Measurement</t>
  </si>
  <si>
    <t>GHRELIN</t>
  </si>
  <si>
    <t>Ghrelin</t>
  </si>
  <si>
    <t>Ghrelin; Growth Hormone Secretagogue Receptor Ligand; Motilin-related Peptide; Total Ghrelin</t>
  </si>
  <si>
    <t>A measurement of total ghrelin in a biological specimen.</t>
  </si>
  <si>
    <t>Ghrelin Measurement</t>
  </si>
  <si>
    <t>GHRELINA</t>
  </si>
  <si>
    <t>Active Ghrelin</t>
  </si>
  <si>
    <t>A measurement of active ghrelin in a biological specimen.</t>
  </si>
  <si>
    <t>Active Ghrelin Measurement</t>
  </si>
  <si>
    <t>GIARDDNA</t>
  </si>
  <si>
    <t>Giardia DNA</t>
  </si>
  <si>
    <t>A measurement of the DNA from any member of the genus Giardia in a biological specimen.</t>
  </si>
  <si>
    <t>Giardia DNA Measurement</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</si>
  <si>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</si>
  <si>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</si>
  <si>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</si>
  <si>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</si>
  <si>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</si>
  <si>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GL1</t>
  </si>
  <si>
    <t>Glucosylceramide</t>
  </si>
  <si>
    <t>GL1; Glucocerebroside; Glucosylceramide</t>
  </si>
  <si>
    <t>A measurement of the glucosylceramide in a biological specimen.</t>
  </si>
  <si>
    <t>Glucosylceramide Measurement</t>
  </si>
  <si>
    <t>GLAAG</t>
  </si>
  <si>
    <t>Giardia lamblia Antigen</t>
  </si>
  <si>
    <t>A measurement of the Giardia lamblia antigen in a biological specimen.</t>
  </si>
  <si>
    <t>Giardia lamblia Antigen Measurement</t>
  </si>
  <si>
    <t>GLACRAG</t>
  </si>
  <si>
    <t>Giardia lamblia/Cryptosporidium Antigen</t>
  </si>
  <si>
    <t>A measurement of the antigen from Giardia lamblia and/or any member of the genus Cryptosporidium in a biological specimen.</t>
  </si>
  <si>
    <t>Giardia lamblia/Cryptosporidium Antigen Measurement</t>
  </si>
  <si>
    <t>GLADNA</t>
  </si>
  <si>
    <t>Giardia lamblia DNA</t>
  </si>
  <si>
    <t>Giardia duodenalis DNA; Giardia intestinalis DNA; Giardia lamblia DNA</t>
  </si>
  <si>
    <t>A measurement of the Giardia lamblia DNA in a biological specimen.</t>
  </si>
  <si>
    <t>Giardia lamblia DNA Measurement</t>
  </si>
  <si>
    <t>GLBCREAT</t>
  </si>
  <si>
    <t>Globulin/Creatinine</t>
  </si>
  <si>
    <t>A relative measurement (ratio or percentage) of the globulin to creatinine in a biological specimen.</t>
  </si>
  <si>
    <t>Globulin to Creatinine Ratio Measurement</t>
  </si>
  <si>
    <t>GLCHT</t>
  </si>
  <si>
    <t>Glycolithocholate</t>
  </si>
  <si>
    <t>Glycolithocholate; Glycolithocholic Acid</t>
  </si>
  <si>
    <t>A measurement of the glycolithocholate in a biological specimen.</t>
  </si>
  <si>
    <t>Glycolithocholate Measurement</t>
  </si>
  <si>
    <t>GLCTN3</t>
  </si>
  <si>
    <t>Galectin-3</t>
  </si>
  <si>
    <t>Galactose-Specific Lectin 3; Galectin-3; GALIG; MAC-2</t>
  </si>
  <si>
    <t>A measurement of the galectin-3 in a biological specimen.</t>
  </si>
  <si>
    <t>Galectin-3 Measurement</t>
  </si>
  <si>
    <t>GLCTN3BP</t>
  </si>
  <si>
    <t>Galectin-3 Binding Protein</t>
  </si>
  <si>
    <t>Galectin-3 Binding Protein; LGALS3BP; M2BP; Mac-2 Binding Protein</t>
  </si>
  <si>
    <t>A measurement of the galectin-3 binding protein in a biological specimen.</t>
  </si>
  <si>
    <t>Galectin-3 Binding Protein Measurement</t>
  </si>
  <si>
    <t>GLDH</t>
  </si>
  <si>
    <t>Glutamate Dehydrogenase</t>
  </si>
  <si>
    <t>A measurement of the glutamate dehydrogenase in a biological specimen.</t>
  </si>
  <si>
    <t>Glutamate Dehydrogenase Measurement</t>
  </si>
  <si>
    <t>GLMC4</t>
  </si>
  <si>
    <t>Glutamate C4 Enriched</t>
  </si>
  <si>
    <t>A measurement of the C4 enriched glutamate in a biological specimen.</t>
  </si>
  <si>
    <t>C4 Enriched Glutamate Measurement</t>
  </si>
  <si>
    <t>GLMC4GLM</t>
  </si>
  <si>
    <t>Glutamate C4 Enriched/Glutamate</t>
  </si>
  <si>
    <t>A relative measurement (ratio or percentage) of the C4 enriched glutamate to total glutamate in a biological specimen.</t>
  </si>
  <si>
    <t>C4 Enriched Glutamate to Total Glutamate Ratio Measurement</t>
  </si>
  <si>
    <t>GLN</t>
  </si>
  <si>
    <t>Glutamine</t>
  </si>
  <si>
    <t>A measurement of the glutamine in a biological specimen.</t>
  </si>
  <si>
    <t>Glutamine Measurement</t>
  </si>
  <si>
    <t>GLNC4</t>
  </si>
  <si>
    <t>Glutamine C4 Enriched</t>
  </si>
  <si>
    <t>A measurement of the C4 enriched glutamine in a biological specimen.</t>
  </si>
  <si>
    <t>C4 Enriched Glutamine Measurement</t>
  </si>
  <si>
    <t>GLNC4GLN</t>
  </si>
  <si>
    <t>Glutamine C4 Enriched/Glutamine</t>
  </si>
  <si>
    <t>A relative measurement (ratio or percentage) of the C4 enriched glutamine to total glutamine in a biological specimen.</t>
  </si>
  <si>
    <t>C4 Enriched Glutamine to Total Glutamine Ratio Measurement</t>
  </si>
  <si>
    <t>GLNCTN</t>
  </si>
  <si>
    <t>Glutamine/Creatine</t>
  </si>
  <si>
    <t>A relative measurement (ratio or percentage) of the glutamine to creatine in a biological specimen.</t>
  </si>
  <si>
    <t>Glutamine to Creatine Ratio Measurement</t>
  </si>
  <si>
    <t>GLNTRFX</t>
  </si>
  <si>
    <t>Galant Reflex</t>
  </si>
  <si>
    <t>An involuntary, primal response in the neonate in which a finger is run down one side of the spine and the neonate laterally flexes toward that side.</t>
  </si>
  <si>
    <t>GLOBA</t>
  </si>
  <si>
    <t>Alpha Globulin</t>
  </si>
  <si>
    <t>A measurement of the total alpha globulins in a biological specimen.</t>
  </si>
  <si>
    <t>Alpha Globulin Measurement</t>
  </si>
  <si>
    <t>GLOBA1</t>
  </si>
  <si>
    <t>Alpha-1 Globulin</t>
  </si>
  <si>
    <t>A1-Globulin; Alpha-1 Globulin</t>
  </si>
  <si>
    <t>A measurement of the proteins contributing to the alpha 1 fraction in a biological specimen.</t>
  </si>
  <si>
    <t>Alpha-1 Globulin Measurement</t>
  </si>
  <si>
    <t>GLOBA1PT</t>
  </si>
  <si>
    <t>Alpha-1 Globulin/Total Protein</t>
  </si>
  <si>
    <t>A relative measurement (ratio or percentage) of alpha-1-fraction proteins to total proteins in a biological specimen.</t>
  </si>
  <si>
    <t>Alpha-1 Globulin to Total Protein Ratio Measurement</t>
  </si>
  <si>
    <t>GLOBA2</t>
  </si>
  <si>
    <t>Alpha-2 Globulin</t>
  </si>
  <si>
    <t>A2-Globulin; Alpha-2 Globulin</t>
  </si>
  <si>
    <t>A measurement of the proteins contributing to the alpha 2 fraction in a biological specimen.</t>
  </si>
  <si>
    <t>Alpha-2 Globulin Measurement</t>
  </si>
  <si>
    <t>GLOBA2PT</t>
  </si>
  <si>
    <t>Alpha-2 Globulin/Total Protein</t>
  </si>
  <si>
    <t>A relative measurement (ratio or percentage) of alpha-2-fraction proteins to total proteins in a biological specimen.</t>
  </si>
  <si>
    <t>Alpha-2 Globulin to Total Protein Ratio Measurement</t>
  </si>
  <si>
    <t>GLOBB</t>
  </si>
  <si>
    <t>Beta Globulin</t>
  </si>
  <si>
    <t>A measurement of the proteins contributing to the beta fraction in a biological specimen.</t>
  </si>
  <si>
    <t>Beta Globulin Measurement</t>
  </si>
  <si>
    <t>GLOBB1</t>
  </si>
  <si>
    <t>Beta-1 Globulin</t>
  </si>
  <si>
    <t>A measurement of the beta-1 globulin in a biological specimen.</t>
  </si>
  <si>
    <t>Beta-1 Globulin Measurement</t>
  </si>
  <si>
    <t>GLOBB1BP</t>
  </si>
  <si>
    <t>Beta-1 Globulin/Beta Protein</t>
  </si>
  <si>
    <t>A relative measurement (ratio or percentage) of the beta-1-fraction proteins to the total beta protein fraction in a biological specimen.</t>
  </si>
  <si>
    <t>Beta-1 Globulin to Total Beta Protein Ratio Measurement</t>
  </si>
  <si>
    <t>GLOBB1PT</t>
  </si>
  <si>
    <t>Beta-1 Globulin/Total Protein</t>
  </si>
  <si>
    <t>A relative measurement (ratio or percentage) of beta-1-fraction proteins to total proteins in a biological specimen.</t>
  </si>
  <si>
    <t>Beta-1 Globulin to Total Protein Ratio Measurement</t>
  </si>
  <si>
    <t>GLOBB2</t>
  </si>
  <si>
    <t>Beta-2 Globulin</t>
  </si>
  <si>
    <t>A measurement of the beta-2 globulin in a biological specimen.</t>
  </si>
  <si>
    <t>Beta-2 Globulin Measurement</t>
  </si>
  <si>
    <t>GLOBB2PT</t>
  </si>
  <si>
    <t>Beta-2 Globulin/Total Protein</t>
  </si>
  <si>
    <t>A relative measurement (ratio or percentage) of beta-2-fraction proteins to total proteins in a biological specimen.</t>
  </si>
  <si>
    <t>Beta-2 Globulin to Total Protein Ratio Measurement</t>
  </si>
  <si>
    <t>GLOBBPT</t>
  </si>
  <si>
    <t>Beta Globulin/Total Protein</t>
  </si>
  <si>
    <t>A relative measurement (ratio or percentage) of beta fraction proteins to total proteins in a biological specimen.</t>
  </si>
  <si>
    <t>Beta Globulin to Total Protein Ratio Measurement</t>
  </si>
  <si>
    <t>GLOBG</t>
  </si>
  <si>
    <t>Gamma Globulin</t>
  </si>
  <si>
    <t>A measurement of the proteins contributing to the gamma fraction in a biological specimen.</t>
  </si>
  <si>
    <t>Gamma Globulin Measurement</t>
  </si>
  <si>
    <t>GLOBGPT</t>
  </si>
  <si>
    <t>Gamma Globulin/Total Protein</t>
  </si>
  <si>
    <t>A relative measurement (ratio or percentage) of gamma fraction proteins to total proteins in a biological specimen.</t>
  </si>
  <si>
    <t>Gamma Globulin to Total Protein Ratio Measurement</t>
  </si>
  <si>
    <t>GLOBUL</t>
  </si>
  <si>
    <t>Globulin</t>
  </si>
  <si>
    <t>A measurement of the globulin protein in a biological specimen.</t>
  </si>
  <si>
    <t>Globulin Protein Measurement</t>
  </si>
  <si>
    <t>GLP1</t>
  </si>
  <si>
    <t>Glucagon-Like Peptide-1</t>
  </si>
  <si>
    <t>Glucagon-Like Peptide-1; Total Glucagon-Like Peptide-1</t>
  </si>
  <si>
    <t>A measurement of the total glucagon-like peptide-1 in a biological specimen.</t>
  </si>
  <si>
    <t>Glucagon-like Peptide-1 Measurement</t>
  </si>
  <si>
    <t>GLP1AC</t>
  </si>
  <si>
    <t>Glucagon-Like Peptide-1, Active Form</t>
  </si>
  <si>
    <t>A measurement of the active form of glucagon-like peptide-1 in a biological specimen.</t>
  </si>
  <si>
    <t>Active Glucagon-like Peptide-1 Measurement</t>
  </si>
  <si>
    <t>GLP1IAC</t>
  </si>
  <si>
    <t>Glucagon-Like Peptide-1, Inactive Form</t>
  </si>
  <si>
    <t>A measurement of the inactive form of glucagon-like peptide-1 in a biological specimen.</t>
  </si>
  <si>
    <t>Inactive Glucagon-Like Peptide-1 Measurement</t>
  </si>
  <si>
    <t>GLS</t>
  </si>
  <si>
    <t>Global Longitudinal Strain</t>
  </si>
  <si>
    <t>A measurement of the global myocardial longitudinal strain of the ventricle or atrium, via an automated algorithm.</t>
  </si>
  <si>
    <t>Global Longitudinal Strain Measurement</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</si>
  <si>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</si>
  <si>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</si>
  <si>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</si>
  <si>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</si>
  <si>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</si>
  <si>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GLTAG</t>
  </si>
  <si>
    <t>Galactomannan Antigen</t>
  </si>
  <si>
    <t>A measurement of the galactomannan antigen in a biological specimen.</t>
  </si>
  <si>
    <t>Galactomannan Antigen Measurement</t>
  </si>
  <si>
    <t>GLTRCE</t>
  </si>
  <si>
    <t>Glitter Cells</t>
  </si>
  <si>
    <t>A measurement of the glitter cells in a biological specimen.</t>
  </si>
  <si>
    <t>Glitter Cell Count</t>
  </si>
  <si>
    <t>GLTTHMD</t>
  </si>
  <si>
    <t>Glutethimide</t>
  </si>
  <si>
    <t>A measurement of the glutethimide in a biological specimen.</t>
  </si>
  <si>
    <t>Glutethimide Measurement</t>
  </si>
  <si>
    <t>GLUBD13</t>
  </si>
  <si>
    <t>1,3-Beta-D-Glucan</t>
  </si>
  <si>
    <t>A measurement of the 1,3-beta-D-glucan in a biological specimen.</t>
  </si>
  <si>
    <t>1,3-Beta-D-Glucan Measurement</t>
  </si>
  <si>
    <t>GLUC</t>
  </si>
  <si>
    <t>Glucose</t>
  </si>
  <si>
    <t>A measurement of the glucose in a biological specimen.</t>
  </si>
  <si>
    <t>Glucose Measurement</t>
  </si>
  <si>
    <t>GLUCAGON</t>
  </si>
  <si>
    <t>Glucagon</t>
  </si>
  <si>
    <t>A measurement of the glucagon hormone in a biological specimen.</t>
  </si>
  <si>
    <t>Glucagon Measurement</t>
  </si>
  <si>
    <t>GLUCALTH</t>
  </si>
  <si>
    <t>Glucose Alert Threshold</t>
  </si>
  <si>
    <t>A setting on a device that triggers the onset of an alarm when a pre-specified value of glucose level has been reached.</t>
  </si>
  <si>
    <t>GLUCCLR</t>
  </si>
  <si>
    <t>Glucose Clearance</t>
  </si>
  <si>
    <t>A measurement of the volume of serum or plasma that would be cleared of glucose by excretion of urine for a specified unit of time (e.g. one minute).</t>
  </si>
  <si>
    <t>Glucose Clearance Measurement</t>
  </si>
  <si>
    <t>GLUCCRT</t>
  </si>
  <si>
    <t>Glucose/Creatinine</t>
  </si>
  <si>
    <t>A relative measurement (ratio or percentage) of the glucose to creatinine in a biological specimen.</t>
  </si>
  <si>
    <t>Glucose to Creatinine Ratio Measurement</t>
  </si>
  <si>
    <t>GLUCEXR</t>
  </si>
  <si>
    <t>Glucose Excretion Rate</t>
  </si>
  <si>
    <t>A measurement of the amount of glucose being excreted in a biological specimen over a defined amount of time (e.g. one hour).</t>
  </si>
  <si>
    <t>GLUCPE</t>
  </si>
  <si>
    <t>Plasma Equivalent Glucose</t>
  </si>
  <si>
    <t>A measurement of the plasma equivalent glucose in a biological specimen.</t>
  </si>
  <si>
    <t>Plasma Equivalent Glucose Measurement</t>
  </si>
  <si>
    <t>GLUCPED</t>
  </si>
  <si>
    <t>Plasma Equivalent Glucose Distribution</t>
  </si>
  <si>
    <t>A measurement of the plasma equivalent glucose distribution in a biological specimen.</t>
  </si>
  <si>
    <t>Plasma Equivalent Glucose Distribution Measurement</t>
  </si>
  <si>
    <t>GLUCTLEV</t>
  </si>
  <si>
    <t>Glucose Target Level</t>
  </si>
  <si>
    <t>A setting on a device where one can set and adjust the target value of blood glucose level.</t>
  </si>
  <si>
    <t>GLUCTN</t>
  </si>
  <si>
    <t>Glutamate/Creatine</t>
  </si>
  <si>
    <t>Glutamate/Creatine; Glutamic Acid/Creatine</t>
  </si>
  <si>
    <t>A relative measurement (ratio or percentage) of the glutamate to creatine in a biological specimen.</t>
  </si>
  <si>
    <t>Glutamate to Creatine Ratio Measurement</t>
  </si>
  <si>
    <t>GLUCWBE</t>
  </si>
  <si>
    <t>Whole Blood Equivalent Glucose</t>
  </si>
  <si>
    <t>A measurement of the whole blood equivalent glucose in a biological specimen.</t>
  </si>
  <si>
    <t>Whole Blood Equivalent Glucose Measurement</t>
  </si>
  <si>
    <t>GLUP1</t>
  </si>
  <si>
    <t>Glu-P-1</t>
  </si>
  <si>
    <t>2-Amino-6-methyldipyrido[1,2-a:3',2'-d]imidazole; Glu-P-1</t>
  </si>
  <si>
    <t>A measurement of the Glu-P-1 in a specimen.</t>
  </si>
  <si>
    <t>Glu-P-1 Measurement</t>
  </si>
  <si>
    <t>GLUP2</t>
  </si>
  <si>
    <t>Glu-P-2</t>
  </si>
  <si>
    <t>2-Aminodipyrido[1,2-a:3',2'-d]imidazole; Glu-P-2</t>
  </si>
  <si>
    <t>A measurement of the Glu-P-2 in a specimen.</t>
  </si>
  <si>
    <t>Glu-P-2 Measurement</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</si>
  <si>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</si>
  <si>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</si>
  <si>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</si>
  <si>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</si>
  <si>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</si>
  <si>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GLUTAM</t>
  </si>
  <si>
    <t>Glutamate</t>
  </si>
  <si>
    <t>Glutamate; Glutamic Acid</t>
  </si>
  <si>
    <t>A measurement of the glutamate in a biological specimen.</t>
  </si>
  <si>
    <t>Glutamate Measurement</t>
  </si>
  <si>
    <t>GLUTENIP</t>
  </si>
  <si>
    <t>Gluten Immunogenic Peptide</t>
  </si>
  <si>
    <t>GIP; Gluten Immunogenic Peptide; Gluten Immunogenic Peptides</t>
  </si>
  <si>
    <t>A measurement of gluten immunogenic peptide in a biological specimen.</t>
  </si>
  <si>
    <t>Gluten Immunogenic Peptide Measurement</t>
  </si>
  <si>
    <t>GLX</t>
  </si>
  <si>
    <t>Glutamate and Glutamine</t>
  </si>
  <si>
    <t>A measurement of the glutamate and glutamine in a biological specimen.</t>
  </si>
  <si>
    <t>Glutamate and Glutamine Measurement</t>
  </si>
  <si>
    <t>GLXC3</t>
  </si>
  <si>
    <t>Glutamate and Glutamine C3 Enriched</t>
  </si>
  <si>
    <t>A measurement of the C3 enriched glutamate and glutamine in a biological specimen.</t>
  </si>
  <si>
    <t>C3 Enriched Glutamate and Glutamine Measurement</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</si>
  <si>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</si>
  <si>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</si>
  <si>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</si>
  <si>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</si>
  <si>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</si>
  <si>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</si>
  <si>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</si>
  <si>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</si>
  <si>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</si>
  <si>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</si>
  <si>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GLY</t>
  </si>
  <si>
    <t>Glycine</t>
  </si>
  <si>
    <t>A measurement of the glycine in a biological specimen.</t>
  </si>
  <si>
    <t>Glycine Measurement</t>
  </si>
  <si>
    <t>GLYCIDOL</t>
  </si>
  <si>
    <t>Glycidol</t>
  </si>
  <si>
    <t>A measurement of the glycidol in a specimen.</t>
  </si>
  <si>
    <t>Glycidol Measurement</t>
  </si>
  <si>
    <t>GLYCREAT</t>
  </si>
  <si>
    <t>Glycine/Creatinine</t>
  </si>
  <si>
    <t>A relative measurement (ratio) of the glycine to the creatinine in a biological specimen.</t>
  </si>
  <si>
    <t>Glycine to Creatinine Ratio Measurement</t>
  </si>
  <si>
    <t>GLYCRL</t>
  </si>
  <si>
    <t>Glycerol</t>
  </si>
  <si>
    <t>A measurement of the total glycerol in a specimen.</t>
  </si>
  <si>
    <t>Glycerol Measurement</t>
  </si>
  <si>
    <t>GLYCRLFR</t>
  </si>
  <si>
    <t>Free Glycerol</t>
  </si>
  <si>
    <t>Free Glycerin; Free Glycerol</t>
  </si>
  <si>
    <t>A measurement of the amount of unbound glycerol in a biological specimen.</t>
  </si>
  <si>
    <t>Free Glycerol Measurement</t>
  </si>
  <si>
    <t>GM3</t>
  </si>
  <si>
    <t>Ganglioside GM3</t>
  </si>
  <si>
    <t>Ganglioside GM3; Monosialodihexosylganglioside</t>
  </si>
  <si>
    <t>A measurement of the ganglioside GM3 in a biological specimen.</t>
  </si>
  <si>
    <t>Ganglioside GM3 Measurement</t>
  </si>
  <si>
    <t>GMCSF</t>
  </si>
  <si>
    <t>Granulocyte Macrophage Colony Stm Factor</t>
  </si>
  <si>
    <t>A measurement of the granulocyte macrophage colony stimulating factor in a biological specimen.</t>
  </si>
  <si>
    <t>Granulocyte Macrophage Colony Stm Factor Measurement</t>
  </si>
  <si>
    <t>GMI</t>
  </si>
  <si>
    <t>Glucose Management Indicator</t>
  </si>
  <si>
    <t>An approximate measure (expressed as a % or mmol/mol) of an individual's expected hemoglobin A1c/hemoglobin level, based on the mean glucose measured over a period of at least 10 days by continuous glucose monitoring.</t>
  </si>
  <si>
    <t>GMNBAC</t>
  </si>
  <si>
    <t>Gram Negative Bacteria</t>
  </si>
  <si>
    <t>A measurement of the gram negative bacteria in a biological specimen.</t>
  </si>
  <si>
    <t>Gram Negative Bacteria Measurement</t>
  </si>
  <si>
    <t>GMNCOC</t>
  </si>
  <si>
    <t>Gram Negative Cocci</t>
  </si>
  <si>
    <t>A measurement of the gram negative cocci-shaped bacteria in a biological specimen.</t>
  </si>
  <si>
    <t>Gram Negative Cocci Measurement</t>
  </si>
  <si>
    <t>GMPBAC</t>
  </si>
  <si>
    <t>Gram Positive Bacteria</t>
  </si>
  <si>
    <t>A measurement of the gram positive bacteria in a biological specimen.</t>
  </si>
  <si>
    <t>Gram Positive Bacteria Measurement</t>
  </si>
  <si>
    <t>GNRH</t>
  </si>
  <si>
    <t>Gonadotropin Releasing Hormone</t>
  </si>
  <si>
    <t>Gonadotropin Releasing Hormone; Luteinising Hormone Releasing Hormone</t>
  </si>
  <si>
    <t>A measurement of the gonadotropin releasing hormone in a biological specimen.</t>
  </si>
  <si>
    <t>Gonadotropin Releasing Hormone Measurement</t>
  </si>
  <si>
    <t>GOLD</t>
  </si>
  <si>
    <t>Gold</t>
  </si>
  <si>
    <t>A measurement of the gold in a biological specimen.</t>
  </si>
  <si>
    <t>Gold Measurement</t>
  </si>
  <si>
    <t>GPBB</t>
  </si>
  <si>
    <t>Glycogen Phosphorylase Isoenzyme BB</t>
  </si>
  <si>
    <t>A measurement of the glycogen phosphorylase isoenzyme BB in a biological specimen.</t>
  </si>
  <si>
    <t>Glycogen Phosphorylase Isoenzyme BB Measurement</t>
  </si>
  <si>
    <t>GPCPC</t>
  </si>
  <si>
    <t>GPC+PCh</t>
  </si>
  <si>
    <t>Glycerophosphorylcholine + Phosphorylcholine; GPC+PCh</t>
  </si>
  <si>
    <t>A measurement of the glycerophosphorylcholine (GPC) plus phosphorylcholine (PC) in a biological specimen.</t>
  </si>
  <si>
    <t>Glycerophosphorylcholine and Phosphorylcholine Measurement</t>
  </si>
  <si>
    <t>GPDA</t>
  </si>
  <si>
    <t>Glycylproline Dipeptidyl Aminopeptidase</t>
  </si>
  <si>
    <t>Glycylproline Dipeptidyl Aminopeptidase; GPDA</t>
  </si>
  <si>
    <t>A measurement of the glycylproline dipeptidyl aminopeptidase in a biological specimen.</t>
  </si>
  <si>
    <t>Glycylproline Dipeptidyl Aminopeptidase Measurement</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</si>
  <si>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</si>
  <si>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</si>
  <si>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</si>
  <si>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</si>
  <si>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</si>
  <si>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GRAESTHE</t>
  </si>
  <si>
    <t>Graphesthesia</t>
  </si>
  <si>
    <t>An evaluation of graphesthesia (the ability to recognize symbols when they're traced on the skin).</t>
  </si>
  <si>
    <t>Graphesthesia Evaluation</t>
  </si>
  <si>
    <t>GRAN</t>
  </si>
  <si>
    <t>Granulocytes</t>
  </si>
  <si>
    <t>Granulocytes; Polymorphonuclear Leukocytes</t>
  </si>
  <si>
    <t>A measurement of the granulocytes in a biological specimen.</t>
  </si>
  <si>
    <t>Granulocyte Count</t>
  </si>
  <si>
    <t>GRANB</t>
  </si>
  <si>
    <t>Granulocytes Band Form</t>
  </si>
  <si>
    <t>Banded Granulocytes; Granulocytes Band Form</t>
  </si>
  <si>
    <t>A measurement of the banded granulocytes in a biological specimen.</t>
  </si>
  <si>
    <t>Granulocytes Band Form Count</t>
  </si>
  <si>
    <t>GRANBCE</t>
  </si>
  <si>
    <t>Granulocytes Band Form/Total Cells</t>
  </si>
  <si>
    <t>A relative measurement (ratio or percentage) of the banded granulocytes to total cells in a biological specimen.</t>
  </si>
  <si>
    <t>Band Form Granulocyte to Total Cell Ratio Measurement</t>
  </si>
  <si>
    <t>GRANCE</t>
  </si>
  <si>
    <t>Granulocytes/Total Cells</t>
  </si>
  <si>
    <t>A relative measurement (ratio or percentage) of the granulocytes to total cells in a biological specimen (for example a bone marrow specimen).</t>
  </si>
  <si>
    <t>Granulocyte to Total Cell Ratio Measurement</t>
  </si>
  <si>
    <t>GRANIM</t>
  </si>
  <si>
    <t>Immature Granulocytes</t>
  </si>
  <si>
    <t>A measurement of the total immature granulocytes in a biological specimen.</t>
  </si>
  <si>
    <t>Immature Granulocyte Count</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</si>
  <si>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</si>
  <si>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</si>
  <si>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</si>
  <si>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</si>
  <si>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GRANLE</t>
  </si>
  <si>
    <t>Gran/Leuk</t>
  </si>
  <si>
    <t>Gran/Leuk; Granulocytes/Leukocytes; Polymorphonuclear Leukocytes/Leukocytes</t>
  </si>
  <si>
    <t>A relative measurement (ratio or percentage) of the granulocytes to total leukocytes in a biological specimen.</t>
  </si>
  <si>
    <t>Granulocytes to Leukocytes Ratio Measurement</t>
  </si>
  <si>
    <t>Granulocytes/Leukocytes</t>
  </si>
  <si>
    <t>GRANS</t>
  </si>
  <si>
    <t>Granulocytes Sub</t>
  </si>
  <si>
    <t>Granulocytes Sub; Granulocytes Sub-Population</t>
  </si>
  <si>
    <t>A measurement of a sub-population of granulocytes in a biological specimen.</t>
  </si>
  <si>
    <t>Granulocyte Subpopulation Count</t>
  </si>
  <si>
    <t>GRANSG</t>
  </si>
  <si>
    <t>Granulocytes Segmented</t>
  </si>
  <si>
    <t>A measurement of the segmented granulocytes in a biological specimen.</t>
  </si>
  <si>
    <t>Segmented Granulocyte Count</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</si>
  <si>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</si>
  <si>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</si>
  <si>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</si>
  <si>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</si>
  <si>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</si>
  <si>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GRANSP</t>
  </si>
  <si>
    <t>Granulocytes Sub/Granulocytes</t>
  </si>
  <si>
    <t>Granulocytes Sub-Population/Granulocytes; Granulocytes Sub/Granulocytes</t>
  </si>
  <si>
    <t>A relative measurement (ratio or percentage) of a sub-population of granulocytes to total granulocytes in a biological specimen.</t>
  </si>
  <si>
    <t>Granulocytes Subpopulation to Granulocytes Ratio Measurement</t>
  </si>
  <si>
    <t>GRANULIN</t>
  </si>
  <si>
    <t>Granulin</t>
  </si>
  <si>
    <t>A measurement of the granulin in a biological specimen.</t>
  </si>
  <si>
    <t>Granulin Measurement</t>
  </si>
  <si>
    <t>GRAVIND</t>
  </si>
  <si>
    <t>Gravida Indicator</t>
  </si>
  <si>
    <t>Gravida; Gravida Indicator</t>
  </si>
  <si>
    <t>An indication as to whether the subject is or has ever been pregnant.</t>
  </si>
  <si>
    <t>Gravida</t>
  </si>
  <si>
    <t>GRLIDENT</t>
  </si>
  <si>
    <t>Graft Lesion Identification</t>
  </si>
  <si>
    <t>An indication that a graft with a lesion has been located and characterized.</t>
  </si>
  <si>
    <t>GRN</t>
  </si>
  <si>
    <t>Progranulin</t>
  </si>
  <si>
    <t>A measurement of the progranulin in a biological specimen.</t>
  </si>
  <si>
    <t>Progranulin Measurement</t>
  </si>
  <si>
    <t>GRO</t>
  </si>
  <si>
    <t>Growth Regulated Oncogene</t>
  </si>
  <si>
    <t>A measurement of the total growth regulated oncogene proteins in a biological specimen.</t>
  </si>
  <si>
    <t>Growth Regulated Oncogene Measurement</t>
  </si>
  <si>
    <t>GRWHIH</t>
  </si>
  <si>
    <t>Growth Hormone Inhibiting Hormone</t>
  </si>
  <si>
    <t>Growth Hormone Inhibiting Hormone; Somatostatin</t>
  </si>
  <si>
    <t>A measurement of the growth hormone inhibiting hormone in a biological specimen.</t>
  </si>
  <si>
    <t>Growth Hormone Inhibiting Hormone Measurement</t>
  </si>
  <si>
    <t>GRWHRH</t>
  </si>
  <si>
    <t>Growth Hormone Releasing Hormone</t>
  </si>
  <si>
    <t>Growth Hormone Releasing Hormone; Somatocrinin</t>
  </si>
  <si>
    <t>A measurement of the growth hormone releasing hormone in a biological specimen.</t>
  </si>
  <si>
    <t>Growth Hormone Releasing Hormone Measurement</t>
  </si>
  <si>
    <t>GST</t>
  </si>
  <si>
    <t>Glutathione S-Transferase, Total</t>
  </si>
  <si>
    <t>A measurement of the total glutathione-s-transferase in a biological specimen.</t>
  </si>
  <si>
    <t>Glutathione-S-Transferase Measurement</t>
  </si>
  <si>
    <t>GSTABRTH</t>
  </si>
  <si>
    <t>Gestational Age at Birth</t>
  </si>
  <si>
    <t>The gestational age of the subject at birth.</t>
  </si>
  <si>
    <t>GSTAL</t>
  </si>
  <si>
    <t>Alpha Glutathione-S-Transferase</t>
  </si>
  <si>
    <t>A measurement of the alpha form of glutathione S-transferase in a biological specimen.</t>
  </si>
  <si>
    <t>Alpha Glutathione-S-Transferase Measurement</t>
  </si>
  <si>
    <t>GSTALCRT</t>
  </si>
  <si>
    <t>Glutathione S-Transferase, Alpha/Creat</t>
  </si>
  <si>
    <t>A relative measurement (ratio or percentage) of the alpha glutathione-S-transferase to creatinine in a biological specimen.</t>
  </si>
  <si>
    <t>Alpha Glutathione-S-Transferase to Creatinine Ratio Measurement</t>
  </si>
  <si>
    <t>GSTALEXR</t>
  </si>
  <si>
    <t>Alpha-GST Excretion Rate</t>
  </si>
  <si>
    <t>A measurement of the amount of Alpha Glutathione-S-Transferase being excreted in a biological specimen over a defined period of time (e.g. one hour).</t>
  </si>
  <si>
    <t>GSTCREAT</t>
  </si>
  <si>
    <t>Glutathione-S-Transferase/Creatinine</t>
  </si>
  <si>
    <t>A relative measurement (ratio or percentage) of the glutathione S-transferase to creatinine in a biological specimen.</t>
  </si>
  <si>
    <t>Glutathione-S-Transferase to Creatinine Ratio Measurement</t>
  </si>
  <si>
    <t>GSTMU</t>
  </si>
  <si>
    <t>Mu Glutathione-S-Transferase</t>
  </si>
  <si>
    <t>A measurement of the mu form of glutathione S-transferase in a biological specimen.</t>
  </si>
  <si>
    <t>Mu Glutathione-S-Transferase Measurement</t>
  </si>
  <si>
    <t>GSTMUCRT</t>
  </si>
  <si>
    <t>Mu Glutathione-S-Transferase/Creatinine</t>
  </si>
  <si>
    <t>A relative measurement (ratio or percentage) of the mu gamma glutamyl transpeptidase to creatinine in a biological specimen.</t>
  </si>
  <si>
    <t>Mu Glutathione-S-Transferase to Creatinine Ratio Measurement</t>
  </si>
  <si>
    <t>GSTPI</t>
  </si>
  <si>
    <t>Glutathione S-Transferase, Pi</t>
  </si>
  <si>
    <t>A measurement of the Pi glutathione-s-transferase in a biological specimen.</t>
  </si>
  <si>
    <t>Pi Glutathione S-Transferase Measurement</t>
  </si>
  <si>
    <t>GSTPIEXR</t>
  </si>
  <si>
    <t>Pi-GST Excretion Rate</t>
  </si>
  <si>
    <t>A measurement of the amount of Pi Glutathione-S-Transferase being excreted in a biological specimen over a defined period of time (e.g. one hour).</t>
  </si>
  <si>
    <t>GSTTH</t>
  </si>
  <si>
    <t>Glutathione S-Transferase, Theta</t>
  </si>
  <si>
    <t>A measurement of the theta glutathione-s-transferase in a biological specimen.</t>
  </si>
  <si>
    <t>Theta Glutathione S-Transferase Measurement</t>
  </si>
  <si>
    <t>GSTY1</t>
  </si>
  <si>
    <t>Glutathione S-Transferase, Y1</t>
  </si>
  <si>
    <t>A measurement of the Y1 subunit of glutathione-s-transferase in a biological specimen.</t>
  </si>
  <si>
    <t>Glutathione S-Transferase Y1 Subunit Measurement</t>
  </si>
  <si>
    <t>GUDCA</t>
  </si>
  <si>
    <t>Glycoursodeoxycholate</t>
  </si>
  <si>
    <t>Glycoursodeoxycholate; Glycoursodeoxycholic Acid</t>
  </si>
  <si>
    <t>A measurement of the glycoursodeoxycholate in a biological specimen.</t>
  </si>
  <si>
    <t>Glycoursodeoxycholate Measurement</t>
  </si>
  <si>
    <t>GUSA</t>
  </si>
  <si>
    <t>Glucuronidase, Alpha</t>
  </si>
  <si>
    <t>A measurement of the alpha glucuronidase in a biological specimen.</t>
  </si>
  <si>
    <t>Alpha Glucuronidase Measurement</t>
  </si>
  <si>
    <t>GUSB</t>
  </si>
  <si>
    <t>Glucuronidase, Beta</t>
  </si>
  <si>
    <t>A measurement of the beta glucuronidase in a biological specimen.</t>
  </si>
  <si>
    <t>Beta Glucuronidase Measurement</t>
  </si>
  <si>
    <t>GVA</t>
  </si>
  <si>
    <t>Gardnerella vaginalis</t>
  </si>
  <si>
    <t>Corynebacterium vaginalis; Gardnerella vaginalis</t>
  </si>
  <si>
    <t>A measurement of the Gardnerella vaginalis in a biological specimen.</t>
  </si>
  <si>
    <t>Gardnerella vaginalis Measurement</t>
  </si>
  <si>
    <t>GVADNA</t>
  </si>
  <si>
    <t>Gardnerella vaginalis DNA</t>
  </si>
  <si>
    <t>A measurement of the Gardnerella vaginalis DNA in a biological specimen.</t>
  </si>
  <si>
    <t>Gardnerella vaginalis DNA Measurement</t>
  </si>
  <si>
    <t>GZBX</t>
  </si>
  <si>
    <t>GZB Expression</t>
  </si>
  <si>
    <t>Granzyme B Expression; GZB Expression; GzmB Expression</t>
  </si>
  <si>
    <t>A measurement of cellular granzyme b expression in a biological specimen.</t>
  </si>
  <si>
    <t>GZB Expression Measurement</t>
  </si>
  <si>
    <t>GZMB</t>
  </si>
  <si>
    <t>Granzyme B</t>
  </si>
  <si>
    <t>C11; CCPI; CGL1; CSPB; CTLA1; CTSGL1; Granzyme B; HLP; SECT</t>
  </si>
  <si>
    <t>A measurement of the granzyme B in a biological specimen.</t>
  </si>
  <si>
    <t>Granzyme B Measurement</t>
  </si>
  <si>
    <t>H2FLRZPM</t>
  </si>
  <si>
    <t>Hydroxyethylflurazepam</t>
  </si>
  <si>
    <t>2-Hydroxyethylflurazepam; Hydroxyethylflurazepam</t>
  </si>
  <si>
    <t>A measurement of the hydroxyethylflurazepam a biological specimen.</t>
  </si>
  <si>
    <t>Hydroxyethylflurazepam Measurement</t>
  </si>
  <si>
    <t>H2OACT</t>
  </si>
  <si>
    <t>Water Activity</t>
  </si>
  <si>
    <t>aw; Water Activity</t>
  </si>
  <si>
    <t>A measurement of the  ratio of water vapor pressure in the sample to water vapor pressure of pure water</t>
  </si>
  <si>
    <t>Water Activity Measurement</t>
  </si>
  <si>
    <t>H2OSUPPR</t>
  </si>
  <si>
    <t>Water Signal Suppression Method</t>
  </si>
  <si>
    <t>The technique used to mitigate the signal that is generated from body water during imaging.</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</si>
  <si>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</si>
  <si>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</si>
  <si>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</si>
  <si>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</si>
  <si>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</si>
  <si>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</si>
  <si>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</si>
  <si>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</si>
  <si>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</si>
  <si>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</si>
  <si>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HAEMINF</t>
  </si>
  <si>
    <t>Haemophilus influenzae</t>
  </si>
  <si>
    <t>H. influenzae; Haemophilus influenzae</t>
  </si>
  <si>
    <t>A measurement of the Haemophilus influenza virus in a biological specimen.</t>
  </si>
  <si>
    <t>Haemophilus influenzae Measurement</t>
  </si>
  <si>
    <t>HAEMOPH</t>
  </si>
  <si>
    <t>Haemophilus</t>
  </si>
  <si>
    <t>A measurement of the organisms that are not assigned to the species level but are assigned to the Haemophilus genus level in a biological specimen.</t>
  </si>
  <si>
    <t>Haemophilus Measurement</t>
  </si>
  <si>
    <t>HAHA</t>
  </si>
  <si>
    <t>Human Anti-Human Antibody</t>
  </si>
  <si>
    <t>A measurement of the total human anti-human antibody in a biological specimen.</t>
  </si>
  <si>
    <t>Human Anti-Human Antibody Measurement</t>
  </si>
  <si>
    <t>HAIRYCE</t>
  </si>
  <si>
    <t>Hairy Cells</t>
  </si>
  <si>
    <t>A measurement of the hairy cells (b-cell lymphocytes with hairy projections from the cytoplasm) in a biological specimen.</t>
  </si>
  <si>
    <t>Hairy Cell Count</t>
  </si>
  <si>
    <t>HALLUC</t>
  </si>
  <si>
    <t>Hallucinogen</t>
  </si>
  <si>
    <t>A measurement of any hallucinogenic class drug present in a biological specimen.</t>
  </si>
  <si>
    <t>Hallucinogen Measurement</t>
  </si>
  <si>
    <t>HALOPRDL</t>
  </si>
  <si>
    <t>Haloperidol</t>
  </si>
  <si>
    <t>A measurement of the haloperidol in a biological specimen.</t>
  </si>
  <si>
    <t>Haloperidol Measurement</t>
  </si>
  <si>
    <t>HALPRZLA</t>
  </si>
  <si>
    <t>Alpha-Hydroxyalprazolam</t>
  </si>
  <si>
    <t>A measurement of the alpha-hydroxyalprazolam in a biological specimen.</t>
  </si>
  <si>
    <t>Alpha-Hydroxyalprazolam Measurement</t>
  </si>
  <si>
    <t>HALPRZLM</t>
  </si>
  <si>
    <t>Hydroxyalprazolam</t>
  </si>
  <si>
    <t>A measurement of the total hydroxyalprazolam present in a biological specimen.</t>
  </si>
  <si>
    <t>Hydroxyalprazolam Measurement</t>
  </si>
  <si>
    <t>HAMAB</t>
  </si>
  <si>
    <t>Human Anti-Mouse Antibody</t>
  </si>
  <si>
    <t>HAMA; Human Anti-Mouse Antibody</t>
  </si>
  <si>
    <t>A measurement of the human anti-mouse antibody in a biological specimen.</t>
  </si>
  <si>
    <t>Human Anti-Mouse Antibody Measurement</t>
  </si>
  <si>
    <t>HANDDOM</t>
  </si>
  <si>
    <t>Dominant Hand</t>
  </si>
  <si>
    <t>The preferred hand of use for controlled and efficient performance of motor tasks.</t>
  </si>
  <si>
    <t>HAPTOG</t>
  </si>
  <si>
    <t>Haptoglobin</t>
  </si>
  <si>
    <t>A measurement of the haptoglobin protein in a biological specimen.</t>
  </si>
  <si>
    <t>Haptoglobin Protein Measurement</t>
  </si>
  <si>
    <t>HASAG</t>
  </si>
  <si>
    <t>Hepatitis A Virus Surface Antigen</t>
  </si>
  <si>
    <t>HAsAg; Hepatitis A Virus Surface Antigen</t>
  </si>
  <si>
    <t>A measurement of the surface antigen reaction of a biological specimen to the Hepatitis A virus.</t>
  </si>
  <si>
    <t>Hepatits A Virus Surface Antigen Measurement</t>
  </si>
  <si>
    <t>HASIGEAB</t>
  </si>
  <si>
    <t>Human Anti-Sheep IgE Antibody</t>
  </si>
  <si>
    <t>A measurement of the human anti-sheep IgE antibodies in a biological specimen.</t>
  </si>
  <si>
    <t>Human Anti-Sheep IgE Antibody Measurement</t>
  </si>
  <si>
    <t>HASIGGAB</t>
  </si>
  <si>
    <t>Human Anti-Sheep IgG Antibody</t>
  </si>
  <si>
    <t>A measurement of the human anti-sheep IgG antibodies in a biological specimen.</t>
  </si>
  <si>
    <t>Human Anti-Sheep IgG Antibody Measurement</t>
  </si>
  <si>
    <t>HASIGMAB</t>
  </si>
  <si>
    <t>Human Anti-Sheep IgM Antibody</t>
  </si>
  <si>
    <t>A measurement of the human anti-sheep IgM antibodies in a biological specimen.</t>
  </si>
  <si>
    <t>Human Anti-Sheep IgM Antibody Measurement</t>
  </si>
  <si>
    <t>HAVRNA</t>
  </si>
  <si>
    <t>Hepatitis A Virus RNA</t>
  </si>
  <si>
    <t>A measurement of the hepatitis A virus RNA in a biological specimen.</t>
  </si>
  <si>
    <t>Hepatitis A Virus RNA Measurement</t>
  </si>
  <si>
    <t>HBA1A</t>
  </si>
  <si>
    <t>Hemoglobin A1A</t>
  </si>
  <si>
    <t>Glycated Hemoglobin 1A; Hemoglobin A1A</t>
  </si>
  <si>
    <t>A measurement of the glycated hemoglobin A1A in a biological specimen.</t>
  </si>
  <si>
    <t>Hemoglobin A1A Measurement</t>
  </si>
  <si>
    <t>HBA1B</t>
  </si>
  <si>
    <t>Hemoglobin A1B</t>
  </si>
  <si>
    <t>Glycated Hemoglobin 1B; Hemoglobin A1B</t>
  </si>
  <si>
    <t>A measurement of the glycated hemoglobin A1B in a biological specimen.</t>
  </si>
  <si>
    <t>Hemoglobin A1B Measurement</t>
  </si>
  <si>
    <t>HBA1C</t>
  </si>
  <si>
    <t>Hemoglobin A1C</t>
  </si>
  <si>
    <t>HbA1c; Hemoglobin A1C</t>
  </si>
  <si>
    <t>A measurement of the glycated hemoglobin A1C in a biological specimen.</t>
  </si>
  <si>
    <t>Hemoglobin A1C Measurement</t>
  </si>
  <si>
    <t>HBA1CHGB</t>
  </si>
  <si>
    <t>Hemoglobin A1C/Hemoglobin</t>
  </si>
  <si>
    <t>A relative measurement (ratio or percentage) of the glycosylated hemoglobin to total hemoglobin in a biological specimen.</t>
  </si>
  <si>
    <t>Hemoglobin A1C to Hemoglobin Ratio Measurement</t>
  </si>
  <si>
    <t>HBA2PHB</t>
  </si>
  <si>
    <t>Hemoglobin A2 Prime/Total Hemoglobin</t>
  </si>
  <si>
    <t>A relative measurement (ratio or percentage) of the hemoglobin A2 prime to total hemoglobin in a biological specimen.</t>
  </si>
  <si>
    <t>Hemoglobin A2 Prime to Total Hemoglobin Ratio Measurement</t>
  </si>
  <si>
    <t>HBBARTHB</t>
  </si>
  <si>
    <t>Hemoglobin Barts/Total Hemoglobin</t>
  </si>
  <si>
    <t>A relative measurement (ratio or percentage) of the hemoglobin Barts to total hemoglobin in a biological specimen.</t>
  </si>
  <si>
    <t>Hemoglobin Barts to Total Hemoglobin Ratio Measurement</t>
  </si>
  <si>
    <t>HBCAG</t>
  </si>
  <si>
    <t>Hepatitis B Virus Core Antigen</t>
  </si>
  <si>
    <t>A measurement of the Hepatitis B virus core antigen in a biological specimen.</t>
  </si>
  <si>
    <t>Hepatitis B Virus Core Antigen Measurement</t>
  </si>
  <si>
    <t>HBCOHGB</t>
  </si>
  <si>
    <t>Carboxyhemoglobin/Total Hemoglobin</t>
  </si>
  <si>
    <t>A relative measurement (ratio or percentage) of the amount of carboxyhemoglobin compared to total hemoglobin in a biological specimen.</t>
  </si>
  <si>
    <t>Carboxyhemoglobin to Total Hemoglobin Ratio Measurement</t>
  </si>
  <si>
    <t>HBDNA</t>
  </si>
  <si>
    <t>Hepatitis B Virus DNA</t>
  </si>
  <si>
    <t>A measurement of the Hepatitis B virus DNA in a biological specimen.</t>
  </si>
  <si>
    <t>Hepatitis B DNA Measurement</t>
  </si>
  <si>
    <t>HBEAG</t>
  </si>
  <si>
    <t>Hepatitis B Virus e Antigen</t>
  </si>
  <si>
    <t>A measurement of the hepatitis B e antigen in a biological specimen.</t>
  </si>
  <si>
    <t>Hepatitis B Virus e Antigen Measurement</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</si>
  <si>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</si>
  <si>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</si>
  <si>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</si>
  <si>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</si>
  <si>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</si>
  <si>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HBGCHTHB</t>
  </si>
  <si>
    <t>Hemoglobin G Coushatta/Total Hemoglobin</t>
  </si>
  <si>
    <t>A relative measurement (ratio or percentage) of the hemoglobin G Coushatta to total hemoglobin in a biological specimen.</t>
  </si>
  <si>
    <t>Hemoglobin G Coushatta to Total Hemoglobin Ratio Measurement</t>
  </si>
  <si>
    <t>HBHIB</t>
  </si>
  <si>
    <t>Hemoglobin H Inclusion Bodies</t>
  </si>
  <si>
    <t>HBH Inclusion Bodies; Hemoglobin H Inclusion Bodies; HGH Inclusion Bodies</t>
  </si>
  <si>
    <t>A measurement of the hemoglobin H inclusion bodies in a biological specimen.</t>
  </si>
  <si>
    <t>Hemoglobin H Inclusion Bodies Measurement</t>
  </si>
  <si>
    <t>HBLEPRHB</t>
  </si>
  <si>
    <t>Hemoglobin Lepore/Total Hemoglobin</t>
  </si>
  <si>
    <t>A relative measurement (ratio or percentage) of the Lepore hemoglobin to total hemoglobin in a biological specimen.</t>
  </si>
  <si>
    <t>Hemoglobin Lepore to Total Hemoglobin Ratio Measurement</t>
  </si>
  <si>
    <t>HBNUAC</t>
  </si>
  <si>
    <t>Hepatitis B Virus Nucleic Acid</t>
  </si>
  <si>
    <t>A measurement of the hepatitis B virus nucleic acid in a biological specimen.</t>
  </si>
  <si>
    <t>Hepatitis B Virus Nucleic Acid Measurement</t>
  </si>
  <si>
    <t>HBOARBHB</t>
  </si>
  <si>
    <t>Hemoglobin O-Arab/Total Hemoglobin</t>
  </si>
  <si>
    <t>A relative measurement (ratio or percentage) of the hemoglobin O-Arab to total hemoglobin in a biological specimen.</t>
  </si>
  <si>
    <t>Hemoglobin O-Arab to Total Hemoglobin Ratio Measurement</t>
  </si>
  <si>
    <t>HBOVAG</t>
  </si>
  <si>
    <t>Human Bocavirus Antigen</t>
  </si>
  <si>
    <t>A measurement of the Human bocavirus antigen in a biological specimen.</t>
  </si>
  <si>
    <t>Human Bocavirus Antigen Measurement</t>
  </si>
  <si>
    <t>HBOVDNA</t>
  </si>
  <si>
    <t>Human bocavirus DNA</t>
  </si>
  <si>
    <t>A measurement of the Human bocavirus DNA in a biological specimen.</t>
  </si>
  <si>
    <t>Human Bocavirus DNA Measurement</t>
  </si>
  <si>
    <t>HBOVNUAC</t>
  </si>
  <si>
    <t>Human Bocavirus Nucleic Acid</t>
  </si>
  <si>
    <t>A measurement of the Human bocavirus nucleic acid in a biological specimen.</t>
  </si>
  <si>
    <t>Human Bocavirus Nucleic Acid Measurement</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</si>
  <si>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</si>
  <si>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</si>
  <si>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</si>
  <si>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</si>
  <si>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</si>
  <si>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HBRNA</t>
  </si>
  <si>
    <t>Hepatitis B Virus RNA</t>
  </si>
  <si>
    <t>A measurement of the Hepatitis B virus RNA in a biological specimen.</t>
  </si>
  <si>
    <t>Hepatitis B Virus RNA Measurement</t>
  </si>
  <si>
    <t>HBSAG</t>
  </si>
  <si>
    <t>Hepatitis B Virus Surface Antigen</t>
  </si>
  <si>
    <t>HBsAg; Hepatitis B Virus Surface Antigen</t>
  </si>
  <si>
    <t>A measurement of the surface antigen reaction of a biological specimen to the Hepatitis B virus.</t>
  </si>
  <si>
    <t>Hepatitis B Virus Surface Antigen Measurement</t>
  </si>
  <si>
    <t>HBV</t>
  </si>
  <si>
    <t>Hepatitis B Virus</t>
  </si>
  <si>
    <t>A measurement of the hepatitis B virus in a biological specimen.</t>
  </si>
  <si>
    <t>Hepatitis B Virus Measurement</t>
  </si>
  <si>
    <t>HCAG</t>
  </si>
  <si>
    <t>Hepatitis C Virus Antigen</t>
  </si>
  <si>
    <t>A measurement of the hepatitis C virus antigen in a biological specimen.</t>
  </si>
  <si>
    <t>Hepatitis C Virus Antigen Measurement</t>
  </si>
  <si>
    <t>HCCAG</t>
  </si>
  <si>
    <t>Hepatitis C Virus Core Antigen</t>
  </si>
  <si>
    <t>A measurement of the hepatitis C virus core antigen in a biological specimen.</t>
  </si>
  <si>
    <t>Hepatitis C Virus Core Antigen Measurement</t>
  </si>
  <si>
    <t>HCENLIND</t>
  </si>
  <si>
    <t>Heart Chamber Enlargement Indicator</t>
  </si>
  <si>
    <t>An indication as to whether there is an enlarged heart chamber.</t>
  </si>
  <si>
    <t>HCG</t>
  </si>
  <si>
    <t>Choriogonadotropin Beta</t>
  </si>
  <si>
    <t>Choriogonadotropin Beta; Pregnancy Test</t>
  </si>
  <si>
    <t>A measurement of the Choriogonadotropin Beta in a biological specimen.</t>
  </si>
  <si>
    <t>Choriogonadotropin Beta Measurement</t>
  </si>
  <si>
    <t>HCGFR</t>
  </si>
  <si>
    <t>Choriogonadotropin Beta, Free</t>
  </si>
  <si>
    <t>A measurement of the free choriogonadotropin beta in a biological specimen.</t>
  </si>
  <si>
    <t>Free Choriogonadotropin Beta Measurement</t>
  </si>
  <si>
    <t>HCGND</t>
  </si>
  <si>
    <t>Choriogonadotropin</t>
  </si>
  <si>
    <t>A measurement of the total choriogonadotropin in a biological specimen.</t>
  </si>
  <si>
    <t>Choriogonadotropin Measurement</t>
  </si>
  <si>
    <t>HCGNDI</t>
  </si>
  <si>
    <t>Choriogonadotropin, Intact</t>
  </si>
  <si>
    <t>A measurement of the intact choriogonadotropin in a biological specimen.</t>
  </si>
  <si>
    <t>Intact Choriogonadotropin Measurement</t>
  </si>
  <si>
    <t>HCH4</t>
  </si>
  <si>
    <t>Hydrogen+Methane</t>
  </si>
  <si>
    <t>H+CH4; Hydrogen+Methane</t>
  </si>
  <si>
    <t>A measurement of the hydrogen and methane in a biological specimen.</t>
  </si>
  <si>
    <t>Hydrogen and Methane Measurement</t>
  </si>
  <si>
    <t>HCHT</t>
  </si>
  <si>
    <t>Hyocholate</t>
  </si>
  <si>
    <t>Hyocholate; Hyocholic Acid</t>
  </si>
  <si>
    <t>A measurement of the hyocholate in a biological specimen.</t>
  </si>
  <si>
    <t>Hyocholate Measurement</t>
  </si>
  <si>
    <t>HCN</t>
  </si>
  <si>
    <t>Hydrogen Cyanide</t>
  </si>
  <si>
    <t>A measurement of the hydrogen cyanide in a specimen.</t>
  </si>
  <si>
    <t>Hydrogen Cyanide Measurement</t>
  </si>
  <si>
    <t>HCNUAC</t>
  </si>
  <si>
    <t>Hepatitis C Virus Nucleic Acid</t>
  </si>
  <si>
    <t>A measurement of the hepatitis C virus nucleic acid in a biological specimen.</t>
  </si>
  <si>
    <t>Hepatitis C Virus Nucleic Acid Measurement</t>
  </si>
  <si>
    <t>HCOA3</t>
  </si>
  <si>
    <t>3beta-Hydroxy-5-Cholestenoic Acid</t>
  </si>
  <si>
    <t>3-HCOA; 3-Hydroxy-5-cholestenoic acid; 3beta-Hydroxy-5-Cholestenoic Acid</t>
  </si>
  <si>
    <t>A measurement of the 3beta-hydroxy-5-cholestenoic acid in a biological specimen.</t>
  </si>
  <si>
    <t>3beta-Hydroxy-5-Cholestenoic Acid Measurement</t>
  </si>
  <si>
    <t>HCOV229E</t>
  </si>
  <si>
    <t>Human Coronavirus 229E</t>
  </si>
  <si>
    <t>A measurement of the Human coronavirus 229E in a biological specimen.</t>
  </si>
  <si>
    <t>Human Coronavirus 229E Measurement</t>
  </si>
  <si>
    <t>HCOVHKU1</t>
  </si>
  <si>
    <t>Human Coronavirus HKU1</t>
  </si>
  <si>
    <t>A measurement of the Human coronavirus HKU1 in a biological specimen.</t>
  </si>
  <si>
    <t>Human Coronavirus HKU1 Measurement</t>
  </si>
  <si>
    <t>HCOVNL63</t>
  </si>
  <si>
    <t>Human Coronavirus NL63</t>
  </si>
  <si>
    <t>A measurement of the Human coronavirus NL63 in a biological specimen.</t>
  </si>
  <si>
    <t>Human Coronavirus NL63 Measurement</t>
  </si>
  <si>
    <t>HCOVOC43</t>
  </si>
  <si>
    <t>Human Coronavirus OC43</t>
  </si>
  <si>
    <t>A measurement of the Human coronavirus OC43 in a biological specimen.</t>
  </si>
  <si>
    <t>Human Coronavirus OC43 Measurement</t>
  </si>
  <si>
    <t>HCPAG</t>
  </si>
  <si>
    <t>Histoplasma capsulatum Antigen</t>
  </si>
  <si>
    <t>A measurement of the Histoplasma capsulatum antigen in a biological specimen.</t>
  </si>
  <si>
    <t>Histoplasma capsulatum Antigen Measurement</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</si>
  <si>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</si>
  <si>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</si>
  <si>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</si>
  <si>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</si>
  <si>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HCRNA</t>
  </si>
  <si>
    <t>Hepatitis C Virus RNA</t>
  </si>
  <si>
    <t>A measurement of the Hepatitis C virus RNA in a biological specimen.</t>
  </si>
  <si>
    <t>Hepatitis C Virus RNA Measurement</t>
  </si>
  <si>
    <t>HCT</t>
  </si>
  <si>
    <t>Hematocrit</t>
  </si>
  <si>
    <t>Erythrocyte Volume Fraction; EVF; Hematocrit; Packed Cell Volume; PCV</t>
  </si>
  <si>
    <t>The percentage of a whole blood specimen that is composed of red blood cells (erythrocytes).</t>
  </si>
  <si>
    <t>Hematocrit Measurement</t>
  </si>
  <si>
    <t>HCV</t>
  </si>
  <si>
    <t>Hepatitis C Virus</t>
  </si>
  <si>
    <t>A measurement of the hepatitis C virus in a biological specimen.</t>
  </si>
  <si>
    <t>Hepatitis C Virus Measurement</t>
  </si>
  <si>
    <t>HDCIRC</t>
  </si>
  <si>
    <t>Head Circumference</t>
  </si>
  <si>
    <t>A circumferential measurement of the head at the widest point.</t>
  </si>
  <si>
    <t>HDL</t>
  </si>
  <si>
    <t>HDL Cholesterol</t>
  </si>
  <si>
    <t>A measurement of the high density lipoprotein cholesterol in a biological specimen.</t>
  </si>
  <si>
    <t>High Density Lipoprotein Cholesterol Measurement</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</si>
  <si>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</si>
  <si>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</si>
  <si>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</si>
  <si>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</si>
  <si>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HDL2</t>
  </si>
  <si>
    <t>HDL-Cholesterol Subclass 2</t>
  </si>
  <si>
    <t>A measurement of the high-density lipoprotein (HDL) cholesterol subclass 2 in a biological specimen.</t>
  </si>
  <si>
    <t>HDL-Cholesterol Subclass 2 Measurement</t>
  </si>
  <si>
    <t>HDL3</t>
  </si>
  <si>
    <t>HDL-Cholesterol Subclass 3</t>
  </si>
  <si>
    <t>A measurement of the high-density lipoprotein (HDL) cholesterol subclass 3 in a biological specimen.</t>
  </si>
  <si>
    <t>HDL-Cholesterol Subclass 3 Measurement</t>
  </si>
  <si>
    <t>HDLCCHOL</t>
  </si>
  <si>
    <t>HDL Cholesterol/Total Cholesterol</t>
  </si>
  <si>
    <t>A relative measurement (ratio or percentage) of the amount of HDL cholesterol compared to total cholesterol in a biological specimen.</t>
  </si>
  <si>
    <t>HDL Cholesterol to Total Cholesterol Ratio Measurement</t>
  </si>
  <si>
    <t>HDLCLDLC</t>
  </si>
  <si>
    <t>HDL Cholesterol/LDL Cholesterol</t>
  </si>
  <si>
    <t>A relative measurement (ratio or percentage) of the amount of HDL cholesterol compared to LDL cholesterol in a biological specimen.</t>
  </si>
  <si>
    <t>HDL Cholesterol to LDL Cholesterol Ratio Measurement</t>
  </si>
  <si>
    <t>HDLPL</t>
  </si>
  <si>
    <t>HDL Phospholipid</t>
  </si>
  <si>
    <t>HDL Phospholipid; HDL-PL</t>
  </si>
  <si>
    <t>A measurement of the high density lipoprotein phospholipid in a biological specimen.</t>
  </si>
  <si>
    <t>HDL Phospholipid Measurement</t>
  </si>
  <si>
    <t>HDLPSZ</t>
  </si>
  <si>
    <t>HDL Particle Size</t>
  </si>
  <si>
    <t>A measurement of the average particle size of high-density lipoprotein in a biological specimen.</t>
  </si>
  <si>
    <t>HDL Particle Size Measurement</t>
  </si>
  <si>
    <t>HDR51AGT</t>
  </si>
  <si>
    <t>HLA-DR51 Antigen Type</t>
  </si>
  <si>
    <t>The identification of the type of human leukocyte antigen, class II, antigen-D-related 51 (HLA-DR51), in a biological specimen.</t>
  </si>
  <si>
    <t>HLA-DR51 Antigen Measurement</t>
  </si>
  <si>
    <t>HDR52AGT</t>
  </si>
  <si>
    <t>HLA-DR52 Antigen Type</t>
  </si>
  <si>
    <t>The identification of the type of human leukocyte antigen, class II, antigen-D-related 52 (HLA-DR52), in a biological specimen.</t>
  </si>
  <si>
    <t>HLA-DR52 Antigen Measurement</t>
  </si>
  <si>
    <t>HDR53AGT</t>
  </si>
  <si>
    <t>HLA-DR53 Antigen Type</t>
  </si>
  <si>
    <t>The identification of the type of human leukocyte antigen, class II, antigen-D-related 53 (HLA-DR53), in a biological specimen.</t>
  </si>
  <si>
    <t>HLA-DR53 Antigen Measurement</t>
  </si>
  <si>
    <t>HDVRNA</t>
  </si>
  <si>
    <t>Hepatitis D Virus RNA</t>
  </si>
  <si>
    <t>A measurement of the hepatitis D virus RNA in a biological specimen.</t>
  </si>
  <si>
    <t>Hepatitis D Virus RNA Measurement</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</si>
  <si>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</si>
  <si>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</si>
  <si>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</si>
  <si>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</si>
  <si>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</si>
  <si>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</si>
  <si>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</si>
  <si>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</si>
  <si>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</si>
  <si>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</si>
  <si>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HE4</t>
  </si>
  <si>
    <t>Human Epididymis Protein 4</t>
  </si>
  <si>
    <t>A measurement of the human epididymis protein 4 in a biological specimen.</t>
  </si>
  <si>
    <t>Human Epididymis Protein 4 Measurement</t>
  </si>
  <si>
    <t>HEAG</t>
  </si>
  <si>
    <t>Hepatitis E Virus Antigen</t>
  </si>
  <si>
    <t>A measurement of the Hepatitis E virus antigen in a biological specimen.</t>
  </si>
  <si>
    <t>Hepatitis E Virus Antigen Measurement</t>
  </si>
  <si>
    <t>HEARLATN</t>
  </si>
  <si>
    <t>Hearing Lateralization</t>
  </si>
  <si>
    <t>Auditory Lateralization; Hearing Lateralization</t>
  </si>
  <si>
    <t>An auditory assessment that determines the perceived relative volume of sound in the left and right cochlea.</t>
  </si>
  <si>
    <t>HEARLTYP</t>
  </si>
  <si>
    <t>Hearing Loss Type</t>
  </si>
  <si>
    <t>Hearing Loss Type; Type of Hearing Loss</t>
  </si>
  <si>
    <t>A classification or categorization of hearing loss experienced by an individual.</t>
  </si>
  <si>
    <t>HEIGHT</t>
  </si>
  <si>
    <t>Height</t>
  </si>
  <si>
    <t>The vertical measurement or distance from the base to the top of an object; the vertical dimension of extension. (NCI)</t>
  </si>
  <si>
    <t>HEINZ</t>
  </si>
  <si>
    <t>Heinz Bodies</t>
  </si>
  <si>
    <t>Heinz Bodies; Heinz-Erhlich Bodies</t>
  </si>
  <si>
    <t>A measurement of the Heinz bodies (small round inclusions within the body of a red blood cell) in a biological specimen.</t>
  </si>
  <si>
    <t>Heinz-Ehrlich Body Measurement</t>
  </si>
  <si>
    <t>HEINZRBC</t>
  </si>
  <si>
    <t>Heinz Bodies/Erythrocytes</t>
  </si>
  <si>
    <t>A relative measurement (ratio or percentage) of the erythrocytes that contain heinz bodies to total erythrocytes in a biological specimen.</t>
  </si>
  <si>
    <t>Heinz Body to Erythrocyte Ratio Measurement</t>
  </si>
  <si>
    <t>HELMETCE</t>
  </si>
  <si>
    <t>Helmet Cells</t>
  </si>
  <si>
    <t>A measurement of the Helmet cells (specialized Keratocytes with two projections on either end that are tapered and hornlike) in a biological specimen.</t>
  </si>
  <si>
    <t>Helmet Cell Count</t>
  </si>
  <si>
    <t>HELMOV10</t>
  </si>
  <si>
    <t>Helicase MOV-10 Protein</t>
  </si>
  <si>
    <t>Helicase MOV-10 Protein; Moloney Leukemia Virus 10 Protein</t>
  </si>
  <si>
    <t>A measurement of helicase MOV-10 protein in a biological specimen.</t>
  </si>
  <si>
    <t>Helicase MOV-10 Protein Measurement</t>
  </si>
  <si>
    <t>HEMOLYSI</t>
  </si>
  <si>
    <t>Hemolytic Index</t>
  </si>
  <si>
    <t>Hemolysis; Hemolytic Index</t>
  </si>
  <si>
    <t>A measurement of the destruction of red blood cells in a biological specimen.</t>
  </si>
  <si>
    <t>HEMOZOIN</t>
  </si>
  <si>
    <t>Hemozoin</t>
  </si>
  <si>
    <t>A measurement of hemozoin in a biological specimen. Hemozoin is a breakdown product of hemoglobin and iron-containing pigment that accumulates as cytoplasmic granules in blood-feeding parasites.</t>
  </si>
  <si>
    <t>Hemozoin Measurement</t>
  </si>
  <si>
    <t>HEPARIN</t>
  </si>
  <si>
    <t>Heparin</t>
  </si>
  <si>
    <t>A measurement of the heparin in a biological specimen.</t>
  </si>
  <si>
    <t>Heparin Measurement</t>
  </si>
  <si>
    <t>HEPBP</t>
  </si>
  <si>
    <t>Heparin-Binding Protein</t>
  </si>
  <si>
    <t>Azurocidin; CAP37; Cationic Antimicrobial Protein CAP37; HBP; Heparin-Binding Protein</t>
  </si>
  <si>
    <t>A measurement of the heparin-binding protein in a biological specimen.</t>
  </si>
  <si>
    <t>Heparin-Binding Protein Measurement</t>
  </si>
  <si>
    <t>HEPCIDIN</t>
  </si>
  <si>
    <t>Hepcidin</t>
  </si>
  <si>
    <t>A measurement of the total hepcidin in a biological specimen.</t>
  </si>
  <si>
    <t>Hepcidin Measurement</t>
  </si>
  <si>
    <t>HEPSIN</t>
  </si>
  <si>
    <t>Hepsin</t>
  </si>
  <si>
    <t>HEPS; Hepsin; Serine Protease Hepsin; TMPRSS1; Transmembrane Protease Serine 1</t>
  </si>
  <si>
    <t>A measurement of the hepsin in a biological specimen.</t>
  </si>
  <si>
    <t>Hepsin Measurement</t>
  </si>
  <si>
    <t>HER2</t>
  </si>
  <si>
    <t>Human Epidermal Growth Factor Receptor 2</t>
  </si>
  <si>
    <t>ERBB2; HER2/NEU; Human Epidermal Growth Factor Receptor 2</t>
  </si>
  <si>
    <t>A measurement of HER2 protein in a biological specimen.</t>
  </si>
  <si>
    <t>Human Epidermal Growth Factor Receptor 2 Measurement</t>
  </si>
  <si>
    <t>HER2S</t>
  </si>
  <si>
    <t>Soluble HER2</t>
  </si>
  <si>
    <t>HER2 Antigen; HER2/NEU Antigen; HER2/NEU Shed Antigen; Soluble HER2; Soluble HER2/NEU</t>
  </si>
  <si>
    <t>A measurement of the soluble HER2 protein in a biological specimen.</t>
  </si>
  <si>
    <t>Soluble HER2 Antigen Measurement</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</si>
  <si>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</si>
  <si>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</si>
  <si>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</si>
  <si>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</si>
  <si>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</si>
  <si>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HERNA</t>
  </si>
  <si>
    <t>Hepatitis E Virus RNA</t>
  </si>
  <si>
    <t>A measurement of the Hepatitis E virus RNA in a biological specimen.</t>
  </si>
  <si>
    <t>Hepatitis E Virus RNA Measurement</t>
  </si>
  <si>
    <t>HETRPH</t>
  </si>
  <si>
    <t>Heterophils</t>
  </si>
  <si>
    <t>A measurement of heterophils (granular leukocytes) in a biological specimen from avian species.</t>
  </si>
  <si>
    <t>Heterophil Measurement</t>
  </si>
  <si>
    <t>HETRPHLE</t>
  </si>
  <si>
    <t>Heterophils/Leukocytes</t>
  </si>
  <si>
    <t>A relative measurement (ratio or percentage) of heterophils to leukocytes in a biological specimen from avian species.</t>
  </si>
  <si>
    <t>Heterophils to Leukocytes Ratio Measurement</t>
  </si>
  <si>
    <t>HETYPE</t>
  </si>
  <si>
    <t>Healthcare Encounter Type</t>
  </si>
  <si>
    <t>Categorization of the type of healthcare encounter.</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</si>
  <si>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</si>
  <si>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</si>
  <si>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</si>
  <si>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</si>
  <si>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</si>
  <si>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HEXK</t>
  </si>
  <si>
    <t>Hexokinase</t>
  </si>
  <si>
    <t>A measurement of the hexokinase in a biological specimen.</t>
  </si>
  <si>
    <t>Hexokinase Measurement</t>
  </si>
  <si>
    <t>HFLBFNW</t>
  </si>
  <si>
    <t>Heart Failure New/Worsening Lab Findings</t>
  </si>
  <si>
    <t>Categorization of the type(s) of new and/or worsening laboratory findings of heart failure present at the time of patient presentation.</t>
  </si>
  <si>
    <t>Lab Findings of New or Worsening Heart Failure</t>
  </si>
  <si>
    <t>HFPEFNW</t>
  </si>
  <si>
    <t>Heart Failure New/Worsening PE Findings</t>
  </si>
  <si>
    <t>Categorization of the type(s) of new and/or worsening physical exam findings of heart failure present at the time of patient presentation.</t>
  </si>
  <si>
    <t>Physical Examination Findings of New or Worsening Heart Failure</t>
  </si>
  <si>
    <t>HFTHERIN</t>
  </si>
  <si>
    <t>Heart Failure Therapy, Intensification</t>
  </si>
  <si>
    <t>Categorization of the type(s) of new and/or intensified treatment administered for heart failure management.</t>
  </si>
  <si>
    <t>Heart Failure Therapy Intensification Type</t>
  </si>
  <si>
    <t>HGB</t>
  </si>
  <si>
    <t>Hemoglobin</t>
  </si>
  <si>
    <t>Hemoglobin; Hemoglobin Monomer</t>
  </si>
  <si>
    <t>A measurement of the total erythrocyte associated hemoglobin in a biological specimen.</t>
  </si>
  <si>
    <t>Hemoglobin Measurement</t>
  </si>
  <si>
    <t>HGBA</t>
  </si>
  <si>
    <t>Hemoglobin A</t>
  </si>
  <si>
    <t>A measurement of the hemoglobin A in a biological specimen.</t>
  </si>
  <si>
    <t>Hemoglobin A Measurement</t>
  </si>
  <si>
    <t>HGBA1HGB</t>
  </si>
  <si>
    <t>Hemoglobin A1/Total Hemoglobin</t>
  </si>
  <si>
    <t>A relative measurement (ratio or percentage) of the hemoglobin A1 to total hemoglobin in a biological specimen.</t>
  </si>
  <si>
    <t>Hemoglobin A1 to Total Hemoglobin Ratio Measurement</t>
  </si>
  <si>
    <t>HGBA2</t>
  </si>
  <si>
    <t>Hemoglobin A2</t>
  </si>
  <si>
    <t>A measurement of the hemoglobin A2 in a biological specimen.</t>
  </si>
  <si>
    <t>Hemoglobin A2 Measurement</t>
  </si>
  <si>
    <t>HGBA2HGB</t>
  </si>
  <si>
    <t>Hemoglobin A2/Total Hemoglobin</t>
  </si>
  <si>
    <t>A relative measurement (ratio or percentage) of the hemoglobin A2 to total hemoglobin in a biological specimen.</t>
  </si>
  <si>
    <t>Hemoglobin A2 to Total Hemoglobin Ratio Measurement</t>
  </si>
  <si>
    <t>HGBAHGB</t>
  </si>
  <si>
    <t>Hemoglobin A/Total Hemoglobin</t>
  </si>
  <si>
    <t>A relative measurement (ratio or percentage) of the hemoglobin A to total hemoglobin in a biological specimen.</t>
  </si>
  <si>
    <t>Hemoglobin A to Total Hemoglobin Ratio Measurement</t>
  </si>
  <si>
    <t>HGBB</t>
  </si>
  <si>
    <t>Hemoglobin B</t>
  </si>
  <si>
    <t>A measurement of the hemoglobin B in a biological specimen.</t>
  </si>
  <si>
    <t>Hemoglobin B Measurement</t>
  </si>
  <si>
    <t>HGBC</t>
  </si>
  <si>
    <t>Hemoglobin C</t>
  </si>
  <si>
    <t>A measurement of the hemoglobin C in a biological specimen.</t>
  </si>
  <si>
    <t>Hemoglobin C Measurement</t>
  </si>
  <si>
    <t>HGBCHGB</t>
  </si>
  <si>
    <t>Hemoglobin C/Total Hemoglobin</t>
  </si>
  <si>
    <t>A relative measurement (ratio or percentage) of the hemoglobin C to total hemoglobin in a biological specimen.</t>
  </si>
  <si>
    <t>Hemoglobin C to Total Hemoglobin Ratio Measurement</t>
  </si>
  <si>
    <t>HGBCS</t>
  </si>
  <si>
    <t>Hemoglobin Casts</t>
  </si>
  <si>
    <t>A measurement of the hemoglobin casts present in a biological specimen.</t>
  </si>
  <si>
    <t>Hemoglobin Cast Measurement</t>
  </si>
  <si>
    <t>HGBDHGB</t>
  </si>
  <si>
    <t>Hemoglobin D/Total Hemoglobin</t>
  </si>
  <si>
    <t>A relative measurement (ratio or percentage) of the hemoglobin D to total hemoglobin in a biological specimen.</t>
  </si>
  <si>
    <t>Hemoglobin D to Total Hemoglobin Ratio Measurement</t>
  </si>
  <si>
    <t>HGBDOXY</t>
  </si>
  <si>
    <t>Deoxyhemoglobin</t>
  </si>
  <si>
    <t>A measurement of the deoxyhemoglobin, hemoglobin without oxygen, in a biological specimen.</t>
  </si>
  <si>
    <t>Deoxyhemoglobin Measurement</t>
  </si>
  <si>
    <t>HGBEHGB</t>
  </si>
  <si>
    <t>Hemoglobin E/Total Hemoglobin</t>
  </si>
  <si>
    <t>A relative measurement (ratio or percentage) of the hemoglobin E to total hemoglobin in a biological specimen.</t>
  </si>
  <si>
    <t>Hemoglobin E to Total Hemoglobin Ratio Measurement</t>
  </si>
  <si>
    <t>HGBF</t>
  </si>
  <si>
    <t>Hemoglobin F</t>
  </si>
  <si>
    <t>Fetal Hemoglobin; Hemoglobin F</t>
  </si>
  <si>
    <t>A measurement of the hemoglobin F in a biological specimen.</t>
  </si>
  <si>
    <t>Hemoglobin F Measurement</t>
  </si>
  <si>
    <t>HGBFHGB</t>
  </si>
  <si>
    <t>Hemoglobin F/Total Hemoglobin</t>
  </si>
  <si>
    <t>A relative measurement (ratio or percentage) of the fetal hemoglobin (hemoglobin F) to total hemoglobin in a biological specimen.</t>
  </si>
  <si>
    <t>Hemoglobin F to Total Hemoglobin Ratio Measurement</t>
  </si>
  <si>
    <t>HGBFPATN</t>
  </si>
  <si>
    <t>Hemoglobin Fraction Pattern</t>
  </si>
  <si>
    <t>A description of the hemoglobin fraction pattern in a biological specimen.</t>
  </si>
  <si>
    <t>HGBFR</t>
  </si>
  <si>
    <t>Hemoglobin, Free</t>
  </si>
  <si>
    <t>A measurement of the hemoglobin external to erythrocytes in a biological specimen.</t>
  </si>
  <si>
    <t>Free Hemoglobin Measurement</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</si>
  <si>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</si>
  <si>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</si>
  <si>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</si>
  <si>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</si>
  <si>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</si>
  <si>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HGBMET</t>
  </si>
  <si>
    <t>Methemoglobin</t>
  </si>
  <si>
    <t>A measurement of the methemoglobin in a biological specimen.</t>
  </si>
  <si>
    <t>Methemoglobin Measurement</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</si>
  <si>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</si>
  <si>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</si>
  <si>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</si>
  <si>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</si>
  <si>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</si>
  <si>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HGBOXY</t>
  </si>
  <si>
    <t>Oxyhemoglobin</t>
  </si>
  <si>
    <t>A measurement of the oxyhemoglobin, oxygen-bound hemoglobin, in a biological specimen.</t>
  </si>
  <si>
    <t>Oxyhemoglobin Measurement</t>
  </si>
  <si>
    <t>HGBS</t>
  </si>
  <si>
    <t>Hemoglobin S</t>
  </si>
  <si>
    <t>Hemoglobin S; Sickle Hemoglobin</t>
  </si>
  <si>
    <t>A measurement of the hemoglobin S in a biological specimen.</t>
  </si>
  <si>
    <t>Hemoglobin S Measurement</t>
  </si>
  <si>
    <t>HGBSHGB</t>
  </si>
  <si>
    <t>Hemoglobin S/Total Hemoglobin</t>
  </si>
  <si>
    <t>A relative measurement (ratio or percentage) of the hemoglobin S to total hemoglobin in a biological specimen.</t>
  </si>
  <si>
    <t>Hemoglobin S to Total Hemoglobin Ratio Measurement</t>
  </si>
  <si>
    <t>HGBTET</t>
  </si>
  <si>
    <t>Hemoglobin Tetramer</t>
  </si>
  <si>
    <t>A measurement of the hemoglobin tetramer in a biological specimen.</t>
  </si>
  <si>
    <t>Hemoglobin Tetramer Measurement</t>
  </si>
  <si>
    <t>HGBVAR</t>
  </si>
  <si>
    <t>Hemoglobin Variants</t>
  </si>
  <si>
    <t>A statement that indicates a defined set of hemoglobin variants were looked for in a biological specimen.</t>
  </si>
  <si>
    <t>Hemoglobin Variant Measurement</t>
  </si>
  <si>
    <t>HGF</t>
  </si>
  <si>
    <t>Hepatocyte Growth Factor</t>
  </si>
  <si>
    <t>A measurement of the hepatocyte growth factor in a biological specimen.</t>
  </si>
  <si>
    <t>Hepatocyte Growth Factor Measurement</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</si>
  <si>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</si>
  <si>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</si>
  <si>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</si>
  <si>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</si>
  <si>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</si>
  <si>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HGFRFR</t>
  </si>
  <si>
    <t>Hepatocyte Growth Factor Receptor, Free</t>
  </si>
  <si>
    <t>A measurement of the free (unbound) hepatocyte growth factor receptor in a biological specimen.</t>
  </si>
  <si>
    <t>Free Hepatocyte Growth Factor Receptor Measurement</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</si>
  <si>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</si>
  <si>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</si>
  <si>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</si>
  <si>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</si>
  <si>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</si>
  <si>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HHV6</t>
  </si>
  <si>
    <t>Human Herpesvirus 6</t>
  </si>
  <si>
    <t>A measurement of the human herpesvirus 6 in a biological specimen.</t>
  </si>
  <si>
    <t>Human Herpesvirus 6 Measurement</t>
  </si>
  <si>
    <t>HHV6DNA</t>
  </si>
  <si>
    <t>Human Herpesvirus 6 DNA</t>
  </si>
  <si>
    <t>A measurement of the human herpesvirus 6 DNA in a biological specimen.</t>
  </si>
  <si>
    <t>Human Herpesvirus 6 DNA Measurement</t>
  </si>
  <si>
    <t>HHV7</t>
  </si>
  <si>
    <t>Human Herpesvirus 7</t>
  </si>
  <si>
    <t>A measurement of the human herpesvirus 7 in a biological specimen.</t>
  </si>
  <si>
    <t>Human Herpesvirus 7 Measurement</t>
  </si>
  <si>
    <t>HHV7DNA</t>
  </si>
  <si>
    <t>Human Herpesvirus 7 DNA</t>
  </si>
  <si>
    <t>A measurement of the human herpesvirus 7 DNA in a biological specimen.</t>
  </si>
  <si>
    <t>Human Herpesvirus 7 DNA Measurement</t>
  </si>
  <si>
    <t>HHV8</t>
  </si>
  <si>
    <t>Human Herpes Virus 8</t>
  </si>
  <si>
    <t>Human Herpes Virus 8; Human Herpesvirus 8</t>
  </si>
  <si>
    <t>A measurement of the human herpes virus 8 in a biological specimen.</t>
  </si>
  <si>
    <t>Human Herpesvirus 8 Measurement</t>
  </si>
  <si>
    <t>HHV8DNA</t>
  </si>
  <si>
    <t>Human Herpesvirus 8 DNA</t>
  </si>
  <si>
    <t>A measurement of the human herpesvirus 8 DNA in a biological specimen.</t>
  </si>
  <si>
    <t>Human Herpesvirus 8 DNA Measurement</t>
  </si>
  <si>
    <t>HIEMPIND</t>
  </si>
  <si>
    <t>Employer Based Health Insurance Ind</t>
  </si>
  <si>
    <t>An indication as to whether the subject is covered by their own or a family member's employer-based health insurance.</t>
  </si>
  <si>
    <t>Employer Based Health Insurance Indicator</t>
  </si>
  <si>
    <t>HIIHSIND</t>
  </si>
  <si>
    <t>Indian Health Service Insurance Ind</t>
  </si>
  <si>
    <t>An indication as to whether the subject is covered by their own or a family member's U.S. Indian Health Service insurance.</t>
  </si>
  <si>
    <t>Indian Health Service Insurance Indicator</t>
  </si>
  <si>
    <t>HIIND</t>
  </si>
  <si>
    <t>Health Insurance Indicator</t>
  </si>
  <si>
    <t>An indication as to whether the subject is covered by health insurance.</t>
  </si>
  <si>
    <t>HIMILIND</t>
  </si>
  <si>
    <t>Military Health Insurance Indicator</t>
  </si>
  <si>
    <t>An indication as to whether the subject is covered by their own or a family member's military-based health insurance.</t>
  </si>
  <si>
    <t>HINDNA</t>
  </si>
  <si>
    <t>Haemophilus influenzae DNA</t>
  </si>
  <si>
    <t>A measurement of the Haemophilus influenza virus DNA in a biological specimen.</t>
  </si>
  <si>
    <t>Haemophilus influenzae DNA Measurement</t>
  </si>
  <si>
    <t>HIPCIR</t>
  </si>
  <si>
    <t>Hip Circumference</t>
  </si>
  <si>
    <t>The distance around an individual's pelvic area or hips.</t>
  </si>
  <si>
    <t>HIPRVIND</t>
  </si>
  <si>
    <t>Private Health Insurance Indicator</t>
  </si>
  <si>
    <t>An indication as to whether the subject is covered by their own or a family member's privately-bought health insurance.</t>
  </si>
  <si>
    <t>HIS</t>
  </si>
  <si>
    <t>Histidine</t>
  </si>
  <si>
    <t>A measurement of the histidine in a biological specimen.</t>
  </si>
  <si>
    <t>Histidine Measurement</t>
  </si>
  <si>
    <t>HISTAMIN</t>
  </si>
  <si>
    <t>Histamine</t>
  </si>
  <si>
    <t>A measurement of the histamine in a biological specimen.</t>
  </si>
  <si>
    <t>Histamine Measurement</t>
  </si>
  <si>
    <t>HIV</t>
  </si>
  <si>
    <t>Human Immunodeficiency Virus</t>
  </si>
  <si>
    <t>A measurement of the Human Immunodeficiency Virus in a biological specimen.</t>
  </si>
  <si>
    <t>Human Immunodeficiency Virus Measurement</t>
  </si>
  <si>
    <t>HIV124AG</t>
  </si>
  <si>
    <t>HIV-1 p24 Antigen</t>
  </si>
  <si>
    <t>A measurement of the HIV-1 p24 antigen in a biological specimen.</t>
  </si>
  <si>
    <t>HIV-1 p24 Antigen Measurement</t>
  </si>
  <si>
    <t>HIV12AGB</t>
  </si>
  <si>
    <t>HIV-1/2 Antigen/Antibody</t>
  </si>
  <si>
    <t>A measurement of the HIV-1/HIV-2 antigens and/or HIV-1/HIV-2 antibodies in a biological specimen (to be used when the antigen is not specified).</t>
  </si>
  <si>
    <t>HIV-1/2 Antigen/Antibody Measurement</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</si>
  <si>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</si>
  <si>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</si>
  <si>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</si>
  <si>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</si>
  <si>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HIV12RNA</t>
  </si>
  <si>
    <t>HIV-1/2 RNA</t>
  </si>
  <si>
    <t>A measurement of the HIV-1 and/or HIV-2 RNA in a biological specimen.</t>
  </si>
  <si>
    <t>HIV-1/2 RNA Measurement</t>
  </si>
  <si>
    <t>HIV1AB24</t>
  </si>
  <si>
    <t>HIV-1 Antibody + HIV-1 p24 Antigen</t>
  </si>
  <si>
    <t>A measurement of the antibody reaction to the HIV-1 virus and the measurement of HIV-1 p24 antigen in a biological specimen.</t>
  </si>
  <si>
    <t>HIV-1 Antibody and HIV-1 p24 Antigen Measurement</t>
  </si>
  <si>
    <t>HIV1AG</t>
  </si>
  <si>
    <t>HIV-1 Antigen</t>
  </si>
  <si>
    <t>A measurement of the HIV-1 antigen in a biological specimen.</t>
  </si>
  <si>
    <t>HIV-1 Antigen Measurement</t>
  </si>
  <si>
    <t>HIV1MONA</t>
  </si>
  <si>
    <t>HIV-1 Group M and O Nucleic Acid</t>
  </si>
  <si>
    <t>A measurement of the HIV-1 group M and O nucleic acids in a biological specimen.</t>
  </si>
  <si>
    <t>HIV-1 Group M and O Nucleic Acid Measurement</t>
  </si>
  <si>
    <t>HIV1NUAC</t>
  </si>
  <si>
    <t>HIV-1 Nucleic Acid</t>
  </si>
  <si>
    <t>A measurement of the HIV-1 nucleic acid in a biological specimen.</t>
  </si>
  <si>
    <t>HIV-1 Nucleic Acid Measurement</t>
  </si>
  <si>
    <t>HIV1RNA</t>
  </si>
  <si>
    <t>HIV-1 RNA</t>
  </si>
  <si>
    <t>A measurement of the HIV-1 RNA in a biological specimen.</t>
  </si>
  <si>
    <t>HIV-1 RNA Measurement</t>
  </si>
  <si>
    <t>HIV1SR</t>
  </si>
  <si>
    <t>HIV-1 Seroreactivity</t>
  </si>
  <si>
    <t>A measurement of the HIV-1 seroreactivity in a biological specimen.</t>
  </si>
  <si>
    <t>HIV-1 Seroreactivity Measurement</t>
  </si>
  <si>
    <t>HIV2AB24</t>
  </si>
  <si>
    <t>HIV-2 Antibody + HIV-1 p24 Antigen</t>
  </si>
  <si>
    <t>A measurement of the antibody reaction to the HIV-2 virus and the measurement of HIV-1 p24 antigen in a biological specimen.</t>
  </si>
  <si>
    <t>HIV-2 Antibody And HIV-1 p24 Antigen Measurement</t>
  </si>
  <si>
    <t>HIV2NUAC</t>
  </si>
  <si>
    <t>HIV-2 Nucleic Acid</t>
  </si>
  <si>
    <t>A measurement of the HIV-2 nucleic acids in a biological specimen.</t>
  </si>
  <si>
    <t>HIV-2 Nucleic Acid Measurement</t>
  </si>
  <si>
    <t>HIV2RNA</t>
  </si>
  <si>
    <t>HIV-2 RNA</t>
  </si>
  <si>
    <t>A measurement of the HIV-2 RNA in a biological specimen.</t>
  </si>
  <si>
    <t>HIV-2 RNA Measurement</t>
  </si>
  <si>
    <t>HIV2SR</t>
  </si>
  <si>
    <t>HIV-2 Seroreactivity</t>
  </si>
  <si>
    <t>A measurement of the HIV-2 seroreactivity in a biological specimen.</t>
  </si>
  <si>
    <t>HIV-2 Seroreactivity Measurement</t>
  </si>
  <si>
    <t>HIVAGAB</t>
  </si>
  <si>
    <t>HIV Antigen/Antibody</t>
  </si>
  <si>
    <t>A measurement of the HIV antigens and/or HIV antibodies in a biological specimen.</t>
  </si>
  <si>
    <t>HIV Antigen/Antibody Measurement</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</si>
  <si>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</si>
  <si>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</si>
  <si>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</si>
  <si>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HKU1NC</t>
  </si>
  <si>
    <t>HCoV-HKU1 Nucleic Acid</t>
  </si>
  <si>
    <t>HCoV-HKU1 Nucleic Acid; HCoV-HKU1 RNA; Human Coronavirus HKU1 Nucleic Acid</t>
  </si>
  <si>
    <t>A measurement of the Human coronavirus HKU1 nucleic acid in a biological specimen.</t>
  </si>
  <si>
    <t>Human Coronavirus HKU1 Nucleic Acid Measurement</t>
  </si>
  <si>
    <t>HKU1RNA</t>
  </si>
  <si>
    <t>HCoV-HKU1 RNA</t>
  </si>
  <si>
    <t>HCoV-HKU1 RNA; Human Coronavirus HKU1 RNA</t>
  </si>
  <si>
    <t>A measurement of the Human coronavirus HKU1 RNA in a biological specimen.</t>
  </si>
  <si>
    <t>HCoV-HKU1 RNA Measurement</t>
  </si>
  <si>
    <t>HLAA</t>
  </si>
  <si>
    <t>HLA Class IA Antigen</t>
  </si>
  <si>
    <t>A measurement of the HLA class IA antigen in a biological specimen.</t>
  </si>
  <si>
    <t>HLA Class IA Histocompatibility Antigen Measurement</t>
  </si>
  <si>
    <t>HLAA03</t>
  </si>
  <si>
    <t>HLA A03 Antigen</t>
  </si>
  <si>
    <t>HLA A03 Antigen; HLA-A03 Antigen</t>
  </si>
  <si>
    <t>A measurement of the HLA A03 antigen in a biological specimen.</t>
  </si>
  <si>
    <t>HLA A03 Histocompatibility Antigen Measurement</t>
  </si>
  <si>
    <t>HLAA2</t>
  </si>
  <si>
    <t>HLA A2 Antigen</t>
  </si>
  <si>
    <t>HLA A2 Antigen; HLA-A2 Antigen</t>
  </si>
  <si>
    <t>A measurement of the HLA A2 antigen in a biological specimen.</t>
  </si>
  <si>
    <t>HLA A2 Histocompatibility Antigen Measurement</t>
  </si>
  <si>
    <t>HLAA24</t>
  </si>
  <si>
    <t>HLA A24 Antigen</t>
  </si>
  <si>
    <t>HLA A24 Antigen; HLA-A24 Antigen</t>
  </si>
  <si>
    <t>A measurement of the HLA A24 antigen in a biological specimen.</t>
  </si>
  <si>
    <t>HLA A24 Histocompatibility Antigen Measurement</t>
  </si>
  <si>
    <t>HLAA3</t>
  </si>
  <si>
    <t>HLA A3 Antigen</t>
  </si>
  <si>
    <t>HLA A3 Antigen; HLA-A3 Antigen</t>
  </si>
  <si>
    <t>A measurement of the HLA A3 antigen in a biological specimen.</t>
  </si>
  <si>
    <t>HLA A3 Histocompatibility Antigen Measurement</t>
  </si>
  <si>
    <t>HLAAAGT</t>
  </si>
  <si>
    <t>HLA-A Antigen Type</t>
  </si>
  <si>
    <t>The identification of the type of human leukocyte antigen, class I, group A (HLA-A), in a biological specimen.</t>
  </si>
  <si>
    <t>HLAAMSC</t>
  </si>
  <si>
    <t>HLA-A Mismatch Count</t>
  </si>
  <si>
    <t>A measurement to determine the number of mismatches between the recipient and the donor for the human leukocyte antigen, class I, group A (HLA-A).</t>
  </si>
  <si>
    <t>HLAB</t>
  </si>
  <si>
    <t>HLA Class IB Antigen</t>
  </si>
  <si>
    <t>A measurement of the HLA class IB antigen in a biological specimen.</t>
  </si>
  <si>
    <t>HLA Class IB Histocompatibility Antigen Measurement</t>
  </si>
  <si>
    <t>HLAB27AG</t>
  </si>
  <si>
    <t>HLA-B27 Antigen</t>
  </si>
  <si>
    <t>HLA-B27 Antigen; Human Leukocyte Antigen B27</t>
  </si>
  <si>
    <t>A measurement of the human leukocyte antigen B27 (HLA-B27) in a biological specimen.</t>
  </si>
  <si>
    <t>HLA-B27 Antigen Measurement</t>
  </si>
  <si>
    <t>HLABAGT</t>
  </si>
  <si>
    <t>HLA-B Antigen Type</t>
  </si>
  <si>
    <t>The identification of the type of human leukocyte antigen, class I, group B (HLA-B), in a biological specimen.</t>
  </si>
  <si>
    <t>HLABMSC</t>
  </si>
  <si>
    <t>HLA-B Mismatch Count</t>
  </si>
  <si>
    <t>A measurement to determine the number of mismatches between the recipient and the donor for the human leukocyte antigen, class I, group B (HLA-B).</t>
  </si>
  <si>
    <t>HLAC</t>
  </si>
  <si>
    <t>HLA Class IC Antigen</t>
  </si>
  <si>
    <t>A measurement of the HLA class IC antigen in a biological specimen.</t>
  </si>
  <si>
    <t>HLA Class IC Histocompatibility Antigen Measurement</t>
  </si>
  <si>
    <t>HLACW</t>
  </si>
  <si>
    <t>HLA Cw Antigen</t>
  </si>
  <si>
    <t>HLA Cw Antigen; HLA-Cw Antigen</t>
  </si>
  <si>
    <t>A measurement of the HLA Cw antigen in a biological specimen.</t>
  </si>
  <si>
    <t>HLA Cw Histocompatibility Antigen Measurement</t>
  </si>
  <si>
    <t>HLADPA1</t>
  </si>
  <si>
    <t>HLA DP Alpha1 Antigen</t>
  </si>
  <si>
    <t>HLA DP Alpha1 Antigen; HLA-DP Alpha1 Antigen</t>
  </si>
  <si>
    <t>A measurement of the HLA DP alpha1 antigen in a biological specimen.</t>
  </si>
  <si>
    <t>HLA DP Alpha1 Histocompatibility Antigen Measurement</t>
  </si>
  <si>
    <t>HLADPB</t>
  </si>
  <si>
    <t>HLA DP Beta Antigen</t>
  </si>
  <si>
    <t>HLA DP Beta Antigen; HLA-DP Beta Antigen</t>
  </si>
  <si>
    <t>A measurement of the total HLA DP beta antigen in a biological specimen.</t>
  </si>
  <si>
    <t>HLA DP Beta Histocompatibility Antigen Measurement</t>
  </si>
  <si>
    <t>HLADPB1</t>
  </si>
  <si>
    <t>HLA DP Beta1 Antigen</t>
  </si>
  <si>
    <t>A measurement of the HLA DP beta1 antigen in a biological specimen.</t>
  </si>
  <si>
    <t>HLA DP Beta1 Histocompatibility Antigen Measurement</t>
  </si>
  <si>
    <t>HLADQ2</t>
  </si>
  <si>
    <t>HLA DQ2 Antigen</t>
  </si>
  <si>
    <t>HLA DQ2 Antigen; HLA-DQ2 Antigen</t>
  </si>
  <si>
    <t>A measurement of the HLA DQ2 antigen in a biological specimen.</t>
  </si>
  <si>
    <t>HLA DQ2 Antigen Measurement</t>
  </si>
  <si>
    <t>HLADQ8</t>
  </si>
  <si>
    <t>HLA DQ8 Antigen</t>
  </si>
  <si>
    <t>HLA DQ8 Antigen; HLA-DQ8 Antigen</t>
  </si>
  <si>
    <t>A measurement of the HLA DQ8 antigen in a biological specimen.</t>
  </si>
  <si>
    <t>HLA DQ8 Antigen Measurement</t>
  </si>
  <si>
    <t>HLADQA1</t>
  </si>
  <si>
    <t>HLA DQ Alpha1 Antigen</t>
  </si>
  <si>
    <t>HLA DQ Alpha1 Antigen; HLA-DQ Alpha1 Antigen</t>
  </si>
  <si>
    <t>A measurement of the HLA DQ alpha1 antigen in a biological specimen.</t>
  </si>
  <si>
    <t>HLA DQ Alpha1 Histocompatibility Antigen Measurement</t>
  </si>
  <si>
    <t>HLADQB1</t>
  </si>
  <si>
    <t>HLA DQ Beta1 Antigen</t>
  </si>
  <si>
    <t>A measurement of the HLA DQ beta1 antigen in a biological specimen.</t>
  </si>
  <si>
    <t>HLA DQ Beta1 Histocompatibility Antigen Measurement</t>
  </si>
  <si>
    <t>HLADR</t>
  </si>
  <si>
    <t>HLA DR Antigen</t>
  </si>
  <si>
    <t>HLA DR Antigen; HLA-DR Antigen</t>
  </si>
  <si>
    <t>A measurement of the total HLA DR antigen in a biological specimen.</t>
  </si>
  <si>
    <t>HLA DR Histocompatibility Antigen Measurement</t>
  </si>
  <si>
    <t>HLADRAGT</t>
  </si>
  <si>
    <t>HLA-DR Antigen Type</t>
  </si>
  <si>
    <t>The identification of the type of human leukocyte antigen, class II, antigen-D-related (HLA-DR), in a biological specimen.</t>
  </si>
  <si>
    <t>HLADRB</t>
  </si>
  <si>
    <t>HLA DR Beta Antigen</t>
  </si>
  <si>
    <t>HLA DR Beta Antigen; HLA-DR Beta Antigen</t>
  </si>
  <si>
    <t>A measurement of the total HLA DR beta antigen in a biological specimen.</t>
  </si>
  <si>
    <t>HLA DR Beta Histocompatibility Antigen Measurement</t>
  </si>
  <si>
    <t>HLADRB1</t>
  </si>
  <si>
    <t>HLA DR Beta1 Antigen</t>
  </si>
  <si>
    <t>A measurement of the HLA DR beta1 antigen in a biological specimen.</t>
  </si>
  <si>
    <t>HLA DR Beta1 Histocompatibility Antigen Measurement</t>
  </si>
  <si>
    <t>HLADRB2</t>
  </si>
  <si>
    <t>HLA DR Beta2 Antigen</t>
  </si>
  <si>
    <t>HLA DR Beta2 Antigen; HLA-DR Beta2 Antigen</t>
  </si>
  <si>
    <t>A measurement of the HLA DR beta2 antigen in a biological specimen.</t>
  </si>
  <si>
    <t>HLA DR Beta 2 Histocompatibility Antigen Measurement</t>
  </si>
  <si>
    <t>HLADRB3</t>
  </si>
  <si>
    <t>HLA DR Beta3 Antigen</t>
  </si>
  <si>
    <t>HLA DR Beta3 Antigen; HLA-DR Beta3 Antigen</t>
  </si>
  <si>
    <t>A measurement of the HLA DR beta3 antigen in a biological specimen.</t>
  </si>
  <si>
    <t>HLA DR Beta 3 Histocompatibility Antigen Measurement</t>
  </si>
  <si>
    <t>HLADRB4</t>
  </si>
  <si>
    <t>HLA DR Beta4 Antigen</t>
  </si>
  <si>
    <t>HLA DR Beta4 Antigen; HLA-DR Beta4 Antigen</t>
  </si>
  <si>
    <t>A measurement of the HLA DR beta4 antigen in a biological specimen.</t>
  </si>
  <si>
    <t>HLA DR Beta 4 Histocompatibility Antigen Measurement</t>
  </si>
  <si>
    <t>HLADRB5</t>
  </si>
  <si>
    <t>HLA DR Beta5 Antigen</t>
  </si>
  <si>
    <t>HLA DR Beta5 Antigen; HLA-DR Beta5 Antigen</t>
  </si>
  <si>
    <t>A measurement of the HLA DR beta5 antigen in a biological specimen.</t>
  </si>
  <si>
    <t>HLA DR Beta 5 Histocompatibility Antigen Measurement</t>
  </si>
  <si>
    <t>HLADRMSC</t>
  </si>
  <si>
    <t>HLA-DR Mismatch Count</t>
  </si>
  <si>
    <t>A measurement to determine the number of mismatches between the recipient and the donor for the human leukocyte antigen, class II, antigen-D-related (HLA-DR).</t>
  </si>
  <si>
    <t>HLADRX</t>
  </si>
  <si>
    <t>HLADR Expression</t>
  </si>
  <si>
    <t>A measurement of cellular HLA-DR expression in a biological specimen.</t>
  </si>
  <si>
    <t>HLA-DR Cell Surface Expression Measurement</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</si>
  <si>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</si>
  <si>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</si>
  <si>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</si>
  <si>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</si>
  <si>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</si>
  <si>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</si>
  <si>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</si>
  <si>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</si>
  <si>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HLAMSC</t>
  </si>
  <si>
    <t>HLA Mismatch Count</t>
  </si>
  <si>
    <t>A measurement to determine the number of mismatches between the recipient and the donor for the human leukocyte antigens (HLA).</t>
  </si>
  <si>
    <t>HLZPM</t>
  </si>
  <si>
    <t>Halazepam</t>
  </si>
  <si>
    <t>A measurement of the halazepam present in a biological specimen.</t>
  </si>
  <si>
    <t>Halazepam Measurement</t>
  </si>
  <si>
    <t>HMOSIDRN</t>
  </si>
  <si>
    <t>Hemosiderin</t>
  </si>
  <si>
    <t>A measurement of the hemosiderin complex in a biological specimen.</t>
  </si>
  <si>
    <t>Hemosiderin Measurement</t>
  </si>
  <si>
    <t>HMPIND</t>
  </si>
  <si>
    <t>Has Menstrual Periods Indicator</t>
  </si>
  <si>
    <t>An indication as to whether the subject experiences menstrual cycles.</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</si>
  <si>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</si>
  <si>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</si>
  <si>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</si>
  <si>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</si>
  <si>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</si>
  <si>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HMPV</t>
  </si>
  <si>
    <t>Human Metapneumovirus</t>
  </si>
  <si>
    <t>A measurement of the Human metapneumovirus in a biological specimen.</t>
  </si>
  <si>
    <t>Human Metapneumovirus Measurement</t>
  </si>
  <si>
    <t>HMPVAG</t>
  </si>
  <si>
    <t>Human Metapneumovirus Antigen</t>
  </si>
  <si>
    <t>A measurement of the Human metapneumovirus antigen in a biological specimen.</t>
  </si>
  <si>
    <t>Human Metapneumovirus Antigen Measurement</t>
  </si>
  <si>
    <t>HMPVNUAC</t>
  </si>
  <si>
    <t>Human Metapneumovirus Nucleic Acid</t>
  </si>
  <si>
    <t>A measurement of the Human metapneumovirus nucleic acid in a biological specimen.</t>
  </si>
  <si>
    <t>Human Metapneumovirus Nucleic Acid Measurement</t>
  </si>
  <si>
    <t>HMPVRNA</t>
  </si>
  <si>
    <t>Human Metapneumovirus RNA</t>
  </si>
  <si>
    <t>A measurement of the Human Metapneumovirus RNA in a biological specimen.</t>
  </si>
  <si>
    <t>Human Metapneumovirus RNA Measurement</t>
  </si>
  <si>
    <t>HNDMDST</t>
  </si>
  <si>
    <t>Hand Motions Distance</t>
  </si>
  <si>
    <t>Hand Motions Distance; Hand Movements Distance</t>
  </si>
  <si>
    <t>An assessment of the furthest distance at which a subject can perceive hand motions.</t>
  </si>
  <si>
    <t>Hand Motion Test</t>
  </si>
  <si>
    <t>HNDMIND</t>
  </si>
  <si>
    <t>Hand Motions Indicator</t>
  </si>
  <si>
    <t>Hand Motions Indicator; Hand Movements Indicator</t>
  </si>
  <si>
    <t>An indication as to whether a subject can perceive hand motions at a pre-specified distance.</t>
  </si>
  <si>
    <t>Hand Motion Indicator</t>
  </si>
  <si>
    <t>HOMOCIT</t>
  </si>
  <si>
    <t>Homocitrulline</t>
  </si>
  <si>
    <t>A measurement of the homocitrulline in a biological specimen.</t>
  </si>
  <si>
    <t>Homocitrulline Measurement</t>
  </si>
  <si>
    <t>HOMOCY</t>
  </si>
  <si>
    <t>Homocysteine</t>
  </si>
  <si>
    <t>A measurement of the homocysteine amino acid in a biological specimen.</t>
  </si>
  <si>
    <t>Homocysteine Acid Measurement</t>
  </si>
  <si>
    <t>HORBCRBC</t>
  </si>
  <si>
    <t>Hypochromic Erythrocytes/Erythrocytes</t>
  </si>
  <si>
    <t>A relative measurement (ratio or percentage) of the hypochromic erythrocytes to total erythrocytes in a biological specimen.</t>
  </si>
  <si>
    <t>Hypochromic Erythrocytes to Erythrocytes Ratio Measurement</t>
  </si>
  <si>
    <t>HOSPNUM</t>
  </si>
  <si>
    <t>Number Of Hospitalizations</t>
  </si>
  <si>
    <t>The total number of hospitalization events that have occurred for the condition.</t>
  </si>
  <si>
    <t>Number of Hospitalizations</t>
  </si>
  <si>
    <t>HOWJOL</t>
  </si>
  <si>
    <t>Howell-Jolly Bodies</t>
  </si>
  <si>
    <t>A measurement of the Howell-Jolly bodies (spherical, blue-black condensed DNA inclusions within the body of a red blood cell that appear under Wright-stain) in a biological specimen.</t>
  </si>
  <si>
    <t>Howell-Jolly Body Measurement</t>
  </si>
  <si>
    <t>HP1234RN</t>
  </si>
  <si>
    <t>Human Parainfluenza Virus 1/2/3/4 RNA</t>
  </si>
  <si>
    <t>A measurement of the RNA from the Human Parainfluenza virus 1, 2, 3 and/or 4 in a biological specimen.</t>
  </si>
  <si>
    <t>Human Parainfluenza Virus 1, 2, 3, and/or 4 RNA Measurement</t>
  </si>
  <si>
    <t>HP123AG</t>
  </si>
  <si>
    <t>Human Parainfluenza Virus 1/2/3 Antigen</t>
  </si>
  <si>
    <t>A measurement of the Human Parainfluenza virus 1, 2, and/or 3 antigen in a biological specimen.</t>
  </si>
  <si>
    <t>Human Parainfluenza Virus 1, 2, and/or 3 Antigen Measurement</t>
  </si>
  <si>
    <t>HP123RNA</t>
  </si>
  <si>
    <t>Human Parainfluenza Virus 1/2/3 RNA</t>
  </si>
  <si>
    <t>A measurement of the RNA from the Human Parainfluenza virus 1, 2, and/or 3 in a biological specimen.</t>
  </si>
  <si>
    <t>Human Parainfluenza Virus 1, 2, and/or 3 RNA Measurement</t>
  </si>
  <si>
    <t>HPADNA</t>
  </si>
  <si>
    <t>Haemophilus parahaemolyticus DNA</t>
  </si>
  <si>
    <t>A measurement of the Haemophilus parahaemolyticus DNA in a biological specimen.</t>
  </si>
  <si>
    <t>Haemophilus parahaemolyticus DNA Measurement</t>
  </si>
  <si>
    <t>HPIV1</t>
  </si>
  <si>
    <t>Human Parainfluenza Virus 1</t>
  </si>
  <si>
    <t>A measurement of the Human parainfluenza virus 1 in a biological specimen.</t>
  </si>
  <si>
    <t>Human Parainfluenza Virus 1 Measurement</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</si>
  <si>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</si>
  <si>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</si>
  <si>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</si>
  <si>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</si>
  <si>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</si>
  <si>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HPIV1NC</t>
  </si>
  <si>
    <t>Human Parainfluenza Virus 1 Nucleic Acid</t>
  </si>
  <si>
    <t>A measurement of the Human parainfluenza virus 1 nucleic acid in a biological specimen.</t>
  </si>
  <si>
    <t>Human Parainfluenza Virus 1 Nucleic Acid Measurement</t>
  </si>
  <si>
    <t>HPIV1RNA</t>
  </si>
  <si>
    <t>Human Parainfluenza Virus 1 RNA</t>
  </si>
  <si>
    <t>Human Parainfluenza Virus 1 RNA; Human Respirovirus 1 RNA</t>
  </si>
  <si>
    <t>A measurement of the Human parainfluenza virus 1 RNA in a biological specimen.</t>
  </si>
  <si>
    <t>Human Parainfluenza Virus 1 RNA Measurement</t>
  </si>
  <si>
    <t>HPIV2</t>
  </si>
  <si>
    <t>Human Parainfluenza Virus 2</t>
  </si>
  <si>
    <t>A measurement of the Human parainfluenza virus 2 in a biological specimen.</t>
  </si>
  <si>
    <t>Human Parainfluenza Virus 2 Measurement</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</si>
  <si>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</si>
  <si>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</si>
  <si>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</si>
  <si>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</si>
  <si>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</si>
  <si>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HPIV2NC</t>
  </si>
  <si>
    <t>Human Parainfluenza Virus 2 Nucleic Acid</t>
  </si>
  <si>
    <t>A measurement of the Human parainfluenza virus 2 nucleic acid in a biological specimen.</t>
  </si>
  <si>
    <t>Human Parainfluenza Virus 2 Nucleic Acid Measurement</t>
  </si>
  <si>
    <t>HPIV2RNA</t>
  </si>
  <si>
    <t>Human Parainfluenza Virus 2 RNA</t>
  </si>
  <si>
    <t>Human Orthorubulavirus 2 RNA; Human Parainfluenza Virus 2 RNA</t>
  </si>
  <si>
    <t>A measurement of the Human parainfluenza virus 2 RNA in a biological specimen.</t>
  </si>
  <si>
    <t>Human Parainfluenza Virus 2 RNA Measurement</t>
  </si>
  <si>
    <t>HPIV3</t>
  </si>
  <si>
    <t>Human Parainfluenza Virus 3</t>
  </si>
  <si>
    <t>A measurement of the Human parainfluenza virus 3 in a biological specimen.</t>
  </si>
  <si>
    <t>Human Parainfluenza Virus 3 Measurement</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</si>
  <si>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</si>
  <si>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</si>
  <si>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</si>
  <si>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</si>
  <si>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</si>
  <si>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HPIV3NC</t>
  </si>
  <si>
    <t>Human Parainfluenza Virus 3 Nucleic Acid</t>
  </si>
  <si>
    <t>A measurement of the Human parainfluenza virus 3 nucleic acid in a biological specimen.</t>
  </si>
  <si>
    <t>Human Parainfluenza Virus 3 Nucleic Acid Measurement</t>
  </si>
  <si>
    <t>HPIV3RNA</t>
  </si>
  <si>
    <t>Human Parainfluenza Virus 3 RNA</t>
  </si>
  <si>
    <t>Human Parainfluenza Virus 3 RNA; Human Respirovirus 3 RNA</t>
  </si>
  <si>
    <t>A measurement of the Human parainfluenza virus 3 RNA in a biological specimen.</t>
  </si>
  <si>
    <t>Human Parainfluenza Virus 3 RNA Measurement</t>
  </si>
  <si>
    <t>HPIV4</t>
  </si>
  <si>
    <t>Human Parainfluenza Virus 4</t>
  </si>
  <si>
    <t>A measurement of the Human parainfluenza virus 4 in a biological specimen.</t>
  </si>
  <si>
    <t>Human Parainfluenza Virus 4 Measurement</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</si>
  <si>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</si>
  <si>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</si>
  <si>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</si>
  <si>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</si>
  <si>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</si>
  <si>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HPIV4NC</t>
  </si>
  <si>
    <t>Human Parainfluenza Virus 4 Nucleic Acid</t>
  </si>
  <si>
    <t>A measurement of the Human parainfluenza virus 4 nucleic acid in a biological specimen.</t>
  </si>
  <si>
    <t>Human Parainfluenza Virus 4 Nucleic Acid Measurement</t>
  </si>
  <si>
    <t>HPIV4RNA</t>
  </si>
  <si>
    <t>Human Parainfluenza Virus 4 RNA</t>
  </si>
  <si>
    <t>Human Orthorubulavirus 4 RNA; Human Parainfluenza Virus 4 RNA</t>
  </si>
  <si>
    <t>A measurement of the Human parainfluenza virus 4 RNA in a biological specimen.</t>
  </si>
  <si>
    <t>Human Parainfluenza Virus 4 RNA Measurement</t>
  </si>
  <si>
    <t>HPIVAG</t>
  </si>
  <si>
    <t>Human Parainfluenza Antigen</t>
  </si>
  <si>
    <t>A measurement of the Human Parainfluenza antigen in a biological specimen.</t>
  </si>
  <si>
    <t>Human Parainfluenza Antigen Measurement</t>
  </si>
  <si>
    <t>HPIVRNA</t>
  </si>
  <si>
    <t>Human Parainfluenza virus RNA</t>
  </si>
  <si>
    <t>A measurement of the Human parainfluenza virus RNA in a biological specimen.</t>
  </si>
  <si>
    <t>Human Parainfluenza virus RNA Measurement</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</si>
  <si>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</si>
  <si>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</si>
  <si>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</si>
  <si>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</si>
  <si>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</si>
  <si>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HPOCROM</t>
  </si>
  <si>
    <t>Hypochromia</t>
  </si>
  <si>
    <t>Hypochromia; Hypochromic Erythrocytes</t>
  </si>
  <si>
    <t>An observation which indicates that the hemoglobin concentration in a red blood cell specimen has fallen below a specified level.</t>
  </si>
  <si>
    <t>HPTMIND</t>
  </si>
  <si>
    <t>Hepatomegaly Indicator</t>
  </si>
  <si>
    <t>An indication as to whether hepatomegaly (enlarged liver) is present.</t>
  </si>
  <si>
    <t>HPV11DNA</t>
  </si>
  <si>
    <t>Human Papillomavirus Type 11 DNA</t>
  </si>
  <si>
    <t>A measurement of the Human papillomavirus type 11 DNA in a biological specimen.</t>
  </si>
  <si>
    <t>Human Papillomavirus Type 11 DNA Measurement</t>
  </si>
  <si>
    <t>HPV16DNA</t>
  </si>
  <si>
    <t>Human Papillomavirus Type 16 DNA</t>
  </si>
  <si>
    <t>A measurement of the Human papillomavirus type 16 DNA in a biological specimen.</t>
  </si>
  <si>
    <t>Human Papillomavirus Type 16 DNA Measurement</t>
  </si>
  <si>
    <t>HPV18DNA</t>
  </si>
  <si>
    <t>Human Papillomavirus Type 18 DNA</t>
  </si>
  <si>
    <t>A measurement of the Human papillomavirus type 18 DNA in a biological specimen.</t>
  </si>
  <si>
    <t>Human Papillomavirus Type 18 DNA Measurement</t>
  </si>
  <si>
    <t>HPV31</t>
  </si>
  <si>
    <t>Human Papillomavirus Type 31</t>
  </si>
  <si>
    <t>A measurement of the Human papillomavirus type 31 in a biological specimen.</t>
  </si>
  <si>
    <t>Human Papillomavirus Type 31 Measurement</t>
  </si>
  <si>
    <t>HPV31DNA</t>
  </si>
  <si>
    <t>Human Papillomavirus Type 31 DNA</t>
  </si>
  <si>
    <t>A measurement of the Human papillomavirus type 31 DNA in a biological specimen.</t>
  </si>
  <si>
    <t>Human Papillomavirus Type 31 DNA Measurement</t>
  </si>
  <si>
    <t>HPV33</t>
  </si>
  <si>
    <t>Human Papillomavirus Type 33</t>
  </si>
  <si>
    <t>A measurement of the Human papillomavirus type 33 in a biological specimen.</t>
  </si>
  <si>
    <t>Human Papillomavirus Type 33 Measurement</t>
  </si>
  <si>
    <t>HPV33DNA</t>
  </si>
  <si>
    <t>Human Papillomavirus Type 33 DNA</t>
  </si>
  <si>
    <t>A measurement of the Human papillomavirus type 33 DNA in a biological specimen.</t>
  </si>
  <si>
    <t>Human Papillomavirus Type 33 DNA Measurement</t>
  </si>
  <si>
    <t>HPV34</t>
  </si>
  <si>
    <t>Human Papillomavirus Type 34</t>
  </si>
  <si>
    <t>A measurement of the Human papillomavirus type 34 in a biological specimen.</t>
  </si>
  <si>
    <t>Human Papillomavirus Type 34 Measurement</t>
  </si>
  <si>
    <t>HPV35</t>
  </si>
  <si>
    <t>Human Papillomavirus Type 35</t>
  </si>
  <si>
    <t>A measurement of the Human papillomavirus type 35 in a biological specimen.</t>
  </si>
  <si>
    <t>Human Papillomavirus Type 35 Measurement</t>
  </si>
  <si>
    <t>HPV35DNA</t>
  </si>
  <si>
    <t>Human Papillomavirus Type 35 DNA</t>
  </si>
  <si>
    <t>A measurement of the Human papillomavirus type 35 DNA in a biological specimen.</t>
  </si>
  <si>
    <t>Human Papillomavirus Type 35 DNA Measurement</t>
  </si>
  <si>
    <t>HPV39</t>
  </si>
  <si>
    <t>Human Papillomavirus Type 39</t>
  </si>
  <si>
    <t>A measurement of the Human papillomavirus type 39 in a biological specimen.</t>
  </si>
  <si>
    <t>Human Papillomavirus Type 39 Measurement</t>
  </si>
  <si>
    <t>HPV39DNA</t>
  </si>
  <si>
    <t>Human Papillomavirus Type 39 DNA</t>
  </si>
  <si>
    <t>A measurement of the Human papillomavirus type 39 DNA in a biological specimen.</t>
  </si>
  <si>
    <t>Human Papillomavirus Type 39 DNA Measurement</t>
  </si>
  <si>
    <t>HPV40</t>
  </si>
  <si>
    <t>Human Papillomavirus Type 40</t>
  </si>
  <si>
    <t>A measurement of the Human papillomavirus type 40 in a biological specimen.</t>
  </si>
  <si>
    <t>Human Papillomavirus Type 40 Measurement</t>
  </si>
  <si>
    <t>HPV42</t>
  </si>
  <si>
    <t>Human Papillomavirus Type 42</t>
  </si>
  <si>
    <t>A measurement of the Human papillomavirus type 42 in a biological specimen.</t>
  </si>
  <si>
    <t>Human Papillomavirus Type 42 Measurement</t>
  </si>
  <si>
    <t>HPV43</t>
  </si>
  <si>
    <t>Human Papillomavirus Type 43</t>
  </si>
  <si>
    <t>A measurement of the Human papillomavirus type 43 in a biological specimen.</t>
  </si>
  <si>
    <t>Human Papillomavirus Type 43 Measurement</t>
  </si>
  <si>
    <t>HPV44</t>
  </si>
  <si>
    <t>Human Papillomavirus Type 44</t>
  </si>
  <si>
    <t>A measurement of the Human papillomavirus type 44 in a biological specimen.</t>
  </si>
  <si>
    <t>Human Papillomavirus Type 44 Measurement</t>
  </si>
  <si>
    <t>HPV45</t>
  </si>
  <si>
    <t>Human Papillomavirus Type 45</t>
  </si>
  <si>
    <t>A measurement of the Human papillomavirus type 45 in a biological specimen.</t>
  </si>
  <si>
    <t>Human Papillomavirus Type 45 Measurement</t>
  </si>
  <si>
    <t>HPV45DNA</t>
  </si>
  <si>
    <t>Human Papillomavirus Type 45 DNA</t>
  </si>
  <si>
    <t>A measurement of the Human papillomavirus type 45 DNA in a biological specimen.</t>
  </si>
  <si>
    <t>Human Papillomavirus Type 45 DNA Measurement</t>
  </si>
  <si>
    <t>HPV51</t>
  </si>
  <si>
    <t>Human Papillomavirus Type 51</t>
  </si>
  <si>
    <t>A measurement of the Human papillomavirus type 51 in a biological specimen.</t>
  </si>
  <si>
    <t>Human Papillomavirus Type 51 Measurement</t>
  </si>
  <si>
    <t>HPV51DNA</t>
  </si>
  <si>
    <t>Human Papillomavirus Type 51 DNA</t>
  </si>
  <si>
    <t>A measurement of the Human papillomavirus type 51 DNA in a biological specimen.</t>
  </si>
  <si>
    <t>Human Papillomavirus Type 51 DNA Measurement</t>
  </si>
  <si>
    <t>HPV52</t>
  </si>
  <si>
    <t>Human Papillomavirus Type 52</t>
  </si>
  <si>
    <t>A measurement of the Human papillomavirus type 52 in a biological specimen.</t>
  </si>
  <si>
    <t>Human Papillomavirus Type 52 Measurement</t>
  </si>
  <si>
    <t>HPV52DNA</t>
  </si>
  <si>
    <t>Human Papillomavirus Type 52 DNA</t>
  </si>
  <si>
    <t>A measurement of the Human papillomavirus type 52 DNA in a biological specimen.</t>
  </si>
  <si>
    <t>Human Papillomavirus Type 52 DNA Measurement</t>
  </si>
  <si>
    <t>HPV53</t>
  </si>
  <si>
    <t>Human Papillomavirus Type 53</t>
  </si>
  <si>
    <t>A measurement of the Human papillomavirus type 53 in a biological specimen.</t>
  </si>
  <si>
    <t>Human Papillomavirus Type 53 Measurement</t>
  </si>
  <si>
    <t>HPV53DNA</t>
  </si>
  <si>
    <t>Human Papillomavirus Type 53 DNA</t>
  </si>
  <si>
    <t>A measurement of the Human papillomavirus type 53 DNA in a biological specimen.</t>
  </si>
  <si>
    <t>Human Papillomavirus Type 53 DNA Measurement</t>
  </si>
  <si>
    <t>HPV54</t>
  </si>
  <si>
    <t>Human Papillomavirus Type 54</t>
  </si>
  <si>
    <t>A measurement of the Human papillomavirus type 54 in a biological specimen.</t>
  </si>
  <si>
    <t>Human Papillomavirus Type 54 Measurement</t>
  </si>
  <si>
    <t>HPV56</t>
  </si>
  <si>
    <t>Human Papillomavirus Type 56</t>
  </si>
  <si>
    <t>A measurement of the Human papillomavirus type 56 in a biological specimen.</t>
  </si>
  <si>
    <t>Human Papillomavirus Type 56 Measurement</t>
  </si>
  <si>
    <t>HPV56DNA</t>
  </si>
  <si>
    <t>Human Papillomavirus Type 56 DNA</t>
  </si>
  <si>
    <t>A measurement of the Human papillomavirus type 56 DNA in a biological specimen.</t>
  </si>
  <si>
    <t>Human Papillomavirus Type 56 DNA Measurement</t>
  </si>
  <si>
    <t>HPV57DNA</t>
  </si>
  <si>
    <t>Human Papillomavirus Type 57 DNA</t>
  </si>
  <si>
    <t>A measurement of the Human papillomavirus type 57 DNA in a biological specimen.</t>
  </si>
  <si>
    <t>Human Papillomavirus Type 57 DNA Measurement</t>
  </si>
  <si>
    <t>HPV58</t>
  </si>
  <si>
    <t>Human Papillomavirus Type 58</t>
  </si>
  <si>
    <t>A measurement of the Human papillomavirus type 58 in a biological specimen.</t>
  </si>
  <si>
    <t>Human Papillomavirus Type 58 Measurement</t>
  </si>
  <si>
    <t>HPV58DNA</t>
  </si>
  <si>
    <t>Human Papillomavirus Type 58 DNA</t>
  </si>
  <si>
    <t>A measurement of the Human papillomavirus type 58 DNA in a biological specimen.</t>
  </si>
  <si>
    <t>Human Papillomavirus Type 58 DNA Measurement</t>
  </si>
  <si>
    <t>HPV59</t>
  </si>
  <si>
    <t>Human Papillomavirus Type 59</t>
  </si>
  <si>
    <t>A measurement of the Human papillomavirus type 59 in a biological specimen.</t>
  </si>
  <si>
    <t>Human Papillomavirus Type 59 Measurement</t>
  </si>
  <si>
    <t>HPV59DNA</t>
  </si>
  <si>
    <t>Human Papillomavirus Type 59 DNA</t>
  </si>
  <si>
    <t>A measurement of the Human papillomavirus type 59 DNA in a biological specimen.</t>
  </si>
  <si>
    <t>Human Papillomavirus Type 59 DNA Measurement</t>
  </si>
  <si>
    <t>HPV66</t>
  </si>
  <si>
    <t>Human Papillomavirus Type 66</t>
  </si>
  <si>
    <t>A measurement of the Human papillomavirus type 66 in a biological specimen.</t>
  </si>
  <si>
    <t>Human Papillomavirus Type 66 Measurement</t>
  </si>
  <si>
    <t>HPV66DNA</t>
  </si>
  <si>
    <t>Human Papillomavirus Type 66 DNA</t>
  </si>
  <si>
    <t>A measurement of the Human papillomavirus type 66 DNA in a biological specimen.</t>
  </si>
  <si>
    <t>Human Papillomavirus Type 66 DNA Measurement</t>
  </si>
  <si>
    <t>HPV67DNA</t>
  </si>
  <si>
    <t>Human Papillomavirus Type 67 DNA</t>
  </si>
  <si>
    <t>A measurement of the Human papillomavirus type 67 DNA in a biological specimen.</t>
  </si>
  <si>
    <t>Human Papillomavirus Type 67 DNA Measurement</t>
  </si>
  <si>
    <t>HPV68</t>
  </si>
  <si>
    <t>Human Papillomavirus Type 68</t>
  </si>
  <si>
    <t>A measurement of the Human papillomavirus type 68 in a biological specimen.</t>
  </si>
  <si>
    <t>Human Papillomavirus Type 68 Measurement</t>
  </si>
  <si>
    <t>HPV68DNA</t>
  </si>
  <si>
    <t>Human Papillomavirus Type 68 DNA</t>
  </si>
  <si>
    <t>A measurement of the Human papillomavirus type 68 DNA in a biological specimen.</t>
  </si>
  <si>
    <t>Human Papillomavirus Type 68 DNA Measurement</t>
  </si>
  <si>
    <t>HPV69</t>
  </si>
  <si>
    <t>Human Papillomavirus Type 69</t>
  </si>
  <si>
    <t>A measurement of the Human papillomavirus type 69 in a biological specimen.</t>
  </si>
  <si>
    <t>Human Papillomavirus Type 69 Measurement</t>
  </si>
  <si>
    <t>HPV6DNA</t>
  </si>
  <si>
    <t>Human Papillomavirus Type 6 DNA</t>
  </si>
  <si>
    <t>A measurement of the Human papillomavirus type 6 DNA in a biological specimen.</t>
  </si>
  <si>
    <t>Human Papillomavirus Type 6 DNA Measurement</t>
  </si>
  <si>
    <t>HPV70</t>
  </si>
  <si>
    <t>Human Papillomavirus Type 70</t>
  </si>
  <si>
    <t>A measurement of the Human papillomavirus type 70 in a biological specimen.</t>
  </si>
  <si>
    <t>Human Papillomavirus Type 70 Measurement</t>
  </si>
  <si>
    <t>HPV74</t>
  </si>
  <si>
    <t>Human Papillomavirus Type 74</t>
  </si>
  <si>
    <t>A measurement of the Human papillomavirus type 74 in a biological specimen.</t>
  </si>
  <si>
    <t>Human Papillomavirus Type 74 Measurement</t>
  </si>
  <si>
    <t>HPVDNA</t>
  </si>
  <si>
    <t>Human Papillomavirus DNA</t>
  </si>
  <si>
    <t>A measurement of the Human papillomavirus DNA in a biological specimen.</t>
  </si>
  <si>
    <t>Human Papillomavirus DNA Measurement</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</si>
  <si>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</si>
  <si>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</si>
  <si>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</si>
  <si>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</si>
  <si>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</si>
  <si>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HPY</t>
  </si>
  <si>
    <t>Helicobacter pylori</t>
  </si>
  <si>
    <t>A measurement of the Helicobacter pylori in a biological specimen.</t>
  </si>
  <si>
    <t>Helicobacter pylori Measurement</t>
  </si>
  <si>
    <t>HPYAG</t>
  </si>
  <si>
    <t>Helicobacter pylori Antigen</t>
  </si>
  <si>
    <t>A measurement of the Helicobacter pylori antigen in a biological specimen.</t>
  </si>
  <si>
    <t>Helicobacter pylori Antigen Measurement</t>
  </si>
  <si>
    <t>HPYDNA</t>
  </si>
  <si>
    <t>Helicobacter pylori DNA</t>
  </si>
  <si>
    <t>A measurement of the Helicobacter pylori DNA in a biological specimen.</t>
  </si>
  <si>
    <t>Helicobacter pylori DNA Measurement</t>
  </si>
  <si>
    <t>HR</t>
  </si>
  <si>
    <t>Heart Rate</t>
  </si>
  <si>
    <t>The number of heartbeats per unit of time, usually expressed as beats per minute. (NCI)</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</si>
  <si>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</si>
  <si>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</si>
  <si>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</si>
  <si>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</si>
  <si>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</si>
  <si>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</si>
  <si>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</si>
  <si>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</si>
  <si>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</si>
  <si>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</si>
  <si>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HRRBCRBC</t>
  </si>
  <si>
    <t>Hyperchromic Erythrocytes/Erythrocytes</t>
  </si>
  <si>
    <t>A relative measurement (ratio or percentage) of the hyperchromic erythrocytes to total erythrocytes in a biological specimen.</t>
  </si>
  <si>
    <t>Hyperchromic Erythrocytes to Erythrocytes Ratio Measurement</t>
  </si>
  <si>
    <t>HRV</t>
  </si>
  <si>
    <t>Human rhinovirus</t>
  </si>
  <si>
    <t>A measurement of the Human rhinovirus in a biological specimen.</t>
  </si>
  <si>
    <t>Human rhinovirus Measurement</t>
  </si>
  <si>
    <t>HRVABC</t>
  </si>
  <si>
    <t>Human rhinovirus A/B/C</t>
  </si>
  <si>
    <t>HRV A/B/C; Human rhinovirus A/B/C</t>
  </si>
  <si>
    <t>A measurement of the Human rhinovirus A, B and/or C in a biological specimen.</t>
  </si>
  <si>
    <t>Human rhinovirus A, B, and/or C Measurement</t>
  </si>
  <si>
    <t>HRVABCAG</t>
  </si>
  <si>
    <t>Human rhinovirus A/B/C Antigen</t>
  </si>
  <si>
    <t>HRV A/B/C Antigen; Human rhinovirus A/B/C Antigen</t>
  </si>
  <si>
    <t>A measurement of the Human rhinovirus A, B and/or C antigen in a biological specimen.</t>
  </si>
  <si>
    <t>Human rhinovirus A, B, and/or C Antigen Measurement</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</si>
  <si>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</si>
  <si>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</si>
  <si>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</si>
  <si>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</si>
  <si>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</si>
  <si>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</si>
  <si>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</si>
  <si>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</si>
  <si>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</si>
  <si>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</si>
  <si>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HRYCECE</t>
  </si>
  <si>
    <t>Hairy Cells/Total Cells</t>
  </si>
  <si>
    <t>A relative measurement (ratio or percentage) of the hairy cells to total cells in a biological specimen.</t>
  </si>
  <si>
    <t>Hairy Cells to Total Cells Ratio Measurement</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</si>
  <si>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</si>
  <si>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</si>
  <si>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</si>
  <si>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</si>
  <si>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</si>
  <si>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</si>
  <si>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</si>
  <si>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</si>
  <si>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HS1</t>
  </si>
  <si>
    <t>Herpes Simplex Virus 1</t>
  </si>
  <si>
    <t>A measurement of the herpes simplex virus 1 in a biological specimen.</t>
  </si>
  <si>
    <t>Herpes Simplex Virus 1 Measurement</t>
  </si>
  <si>
    <t>HS12</t>
  </si>
  <si>
    <t>Herpes Simplex Virus 1/2</t>
  </si>
  <si>
    <t>A measurement of the herpes simplex virus 1 and/or 2 in a biological specimen.</t>
  </si>
  <si>
    <t>Herpes Simplex Virus 1 and/or 2 Measurement</t>
  </si>
  <si>
    <t>HS12AG</t>
  </si>
  <si>
    <t>Herpes Simplex Virus 1/2 Antigen</t>
  </si>
  <si>
    <t>Herpes Simplex Virus 1/2 Antigen; HSV 1/2 Antigen</t>
  </si>
  <si>
    <t>A measurement of the herpes simplex virus 1 and/or 2 antigen in a biological specimen.</t>
  </si>
  <si>
    <t>Herpes Simplex Virus 1 and/or 2 Antigen Measurement</t>
  </si>
  <si>
    <t>HS12DNA</t>
  </si>
  <si>
    <t>Herpes Simplex Virus 1/2 DNA</t>
  </si>
  <si>
    <t>Herpes Simplex Virus 1/2 DNA; HSV 1/2 DNA</t>
  </si>
  <si>
    <t>A measurement of the herpes simplex virus 1 and/or 2 DNA in a biological specimen.</t>
  </si>
  <si>
    <t>Herpes Simplex Virus 1 and/or 2 DNA Measurement</t>
  </si>
  <si>
    <t>HS1DNA</t>
  </si>
  <si>
    <t>Herpes Simplex Virus 1 DNA</t>
  </si>
  <si>
    <t>A measurement of the herpes simplex virus 1 DNA in a biological specimen.</t>
  </si>
  <si>
    <t>Herpes Simplex Virus 1 DNA Measurement</t>
  </si>
  <si>
    <t>HS2</t>
  </si>
  <si>
    <t>Herpes Simplex Virus 2</t>
  </si>
  <si>
    <t>A measurement of the herpes simplex virus 2 in a biological specimen.</t>
  </si>
  <si>
    <t>Herpes Simplex Virus 2 Measurement</t>
  </si>
  <si>
    <t>HS2DNA</t>
  </si>
  <si>
    <t>Herpes Simplex Virus 2 DNA</t>
  </si>
  <si>
    <t>A measurement of the Herpes simplex virus 2 DNA in a biological specimen.</t>
  </si>
  <si>
    <t>Herpes Simplex Virus 2 DNA Measurement</t>
  </si>
  <si>
    <t>HSP70</t>
  </si>
  <si>
    <t>Heat Shock Protein 70</t>
  </si>
  <si>
    <t>A measurement of the heat shock protein 70 in a biological specimen.</t>
  </si>
  <si>
    <t>Heat Shock Protein 70 Measurement</t>
  </si>
  <si>
    <t>HSP90A</t>
  </si>
  <si>
    <t>Heat Shock Protein 90 Alpha</t>
  </si>
  <si>
    <t>A measurement of the heat shock protein 90 alpha in a biological specimen.</t>
  </si>
  <si>
    <t>Heat Shock Protein 90 Alpha Measurement</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</si>
  <si>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</si>
  <si>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</si>
  <si>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</si>
  <si>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</si>
  <si>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</si>
  <si>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HTAPCTL</t>
  </si>
  <si>
    <t>Height-for-Age Percentile</t>
  </si>
  <si>
    <t>An assessed relationship of an individual's height and age to that of a reference population, expressed as a percentile.</t>
  </si>
  <si>
    <t>HTEDIAM</t>
  </si>
  <si>
    <t>Heating Element Diameter</t>
  </si>
  <si>
    <t>The diameter of a heating element within a device.</t>
  </si>
  <si>
    <t>HTELCFG</t>
  </si>
  <si>
    <t>Heating Element Configuration</t>
  </si>
  <si>
    <t>The design of a heating element within a device.</t>
  </si>
  <si>
    <t>HTELGTH</t>
  </si>
  <si>
    <t>Heating Element Length</t>
  </si>
  <si>
    <t>The length of a heating element within a device.</t>
  </si>
  <si>
    <t>HTELNUM</t>
  </si>
  <si>
    <t>Number of Heating Elements</t>
  </si>
  <si>
    <t>The number of heating elements within a device.</t>
  </si>
  <si>
    <t>HTELRNG</t>
  </si>
  <si>
    <t>Heating Element Range</t>
  </si>
  <si>
    <t>The temperature range of a heating element within a device during operation.</t>
  </si>
  <si>
    <t>HTELRST</t>
  </si>
  <si>
    <t>Heating Element Resistance</t>
  </si>
  <si>
    <t>The resistance encountered by the electrical current in a heating element within a device.</t>
  </si>
  <si>
    <t>HTLVRNA</t>
  </si>
  <si>
    <t>Human T-Lymphotropic Virus RNA</t>
  </si>
  <si>
    <t>A measurement of the Human T-Lymphotropic virus RNA in a biological specimen.</t>
  </si>
  <si>
    <t>Human T-Lymphotropic Virus RNA Measurement</t>
  </si>
  <si>
    <t>HTPHAB</t>
  </si>
  <si>
    <t>Heterophile Antibodies</t>
  </si>
  <si>
    <t>A measurement of the heterophile antibodies in a biological specimen.</t>
  </si>
  <si>
    <t>Heterophile Antibody Measurement</t>
  </si>
  <si>
    <t>HTTP</t>
  </si>
  <si>
    <t>Huntingtin Protein</t>
  </si>
  <si>
    <t>Huntingtin Protein; Total Huntingtin Protein</t>
  </si>
  <si>
    <t>A measurement of the total huntingtin protein in a biological specimen.</t>
  </si>
  <si>
    <t>Huntingtin Protein Measurement</t>
  </si>
  <si>
    <t>HTTPM</t>
  </si>
  <si>
    <t>Huntingtin Protein, Mutant</t>
  </si>
  <si>
    <t>A measurement of the mutant huntingtin protein in a biological specimen.</t>
  </si>
  <si>
    <t>Mutant Huntingtin Protein Measurement</t>
  </si>
  <si>
    <t>HTTPWT</t>
  </si>
  <si>
    <t>Huntingtin Protein, Wild Type</t>
  </si>
  <si>
    <t>A measurement of the wild type huntingtin protein in a biological specimen.</t>
  </si>
  <si>
    <t>Wild Type Huntingtin Protein Measurement</t>
  </si>
  <si>
    <t>HVA</t>
  </si>
  <si>
    <t>Homovanillic Acid</t>
  </si>
  <si>
    <t>A measurement of the homovanillic acid metabolite in a biological specimen.</t>
  </si>
  <si>
    <t>Homovanillic Acid Measurement</t>
  </si>
  <si>
    <t>HXANSD11</t>
  </si>
  <si>
    <t>11-Hydroxyandrostenedione</t>
  </si>
  <si>
    <t>A measurement of the 11-hydroxyandrostenedione in a biological specimen.</t>
  </si>
  <si>
    <t>11-Hydroxyandrostenedione Measurement</t>
  </si>
  <si>
    <t>HXANST11</t>
  </si>
  <si>
    <t>11-Hydroxyandrosterone</t>
  </si>
  <si>
    <t>A measurement of the 11-hydroxyandrosterone in a biological specimen.</t>
  </si>
  <si>
    <t>11-Hydroxyandrosterone Measurement</t>
  </si>
  <si>
    <t>HXBUPROP</t>
  </si>
  <si>
    <t>Hydroxybupropion</t>
  </si>
  <si>
    <t>6-Hydroxybupropion; BW 306U; Hydroxybupropion</t>
  </si>
  <si>
    <t>A measurement of the hydroxybupropion in a biological specimen.</t>
  </si>
  <si>
    <t>Hydroxybupropion Measurement</t>
  </si>
  <si>
    <t>HXCSD17</t>
  </si>
  <si>
    <t>17-Hydroxycorticosteroids</t>
  </si>
  <si>
    <t>17-Hydroxycorticoid; 17-Hydroxycorticosteroid; 17-Hydroxycorticosteroids</t>
  </si>
  <si>
    <t>A measurement of the 17-hydroxycorticosteroids in a biological specimen.</t>
  </si>
  <si>
    <t>17-Hydroxycorticosteroid Measurement</t>
  </si>
  <si>
    <t>HXCSL18</t>
  </si>
  <si>
    <t>18-Hydroxycortisol</t>
  </si>
  <si>
    <t>A measurement of the 18-hydroxycortisol in a biological specimen.</t>
  </si>
  <si>
    <t>18-Hydroxycortisol Measurement</t>
  </si>
  <si>
    <t>HXCSN18</t>
  </si>
  <si>
    <t>18-Hydroxycorticosterone</t>
  </si>
  <si>
    <t>A measurement of the 18-hydroxycorticosterone in a biological specimen.</t>
  </si>
  <si>
    <t>18-Hydroxycorticosterone Measurement</t>
  </si>
  <si>
    <t>HXDX18</t>
  </si>
  <si>
    <t>18-Hydroxydeoxycorticosterone</t>
  </si>
  <si>
    <t>A measurement of the 18-hydroxydeoxycorticosterone in a biological specimen.</t>
  </si>
  <si>
    <t>18-Hydroxydeoxycorticosterone Measurement</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</si>
  <si>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</si>
  <si>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</si>
  <si>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</si>
  <si>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</si>
  <si>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</si>
  <si>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HXETCL11</t>
  </si>
  <si>
    <t>11-Hydroxyetiocholanolone</t>
  </si>
  <si>
    <t>A measurement of the 11-hydroxyetiocholanolone in a biological specimen.</t>
  </si>
  <si>
    <t>11-Hydroxyetiocholanolone Measurement</t>
  </si>
  <si>
    <t>HXGLUR2</t>
  </si>
  <si>
    <t>2-Hydroxyglutarate</t>
  </si>
  <si>
    <t>2-Hydroxyglutarate; 2-Hydroxyglutaric Acid; Alpha-Hydroxyglutaric Acid</t>
  </si>
  <si>
    <t>A measurement of the 2-hydroxyglutarate in a biological specimen.</t>
  </si>
  <si>
    <t>2-Hydroxyglutarate Measurement</t>
  </si>
  <si>
    <t>HXNE4</t>
  </si>
  <si>
    <t>4-Hydroxynonenal</t>
  </si>
  <si>
    <t>4-HNE; 4-hydroxy-2-nonenal; 4-Hydroxynonenal; HNE</t>
  </si>
  <si>
    <t>A measurement of the 4-hydroxynonenal in a biological specimen.</t>
  </si>
  <si>
    <t>4-Hydroxynonenal Measurement</t>
  </si>
  <si>
    <t>HXPRGN17</t>
  </si>
  <si>
    <t>17-Hydroxypregnenolone</t>
  </si>
  <si>
    <t>A measurement of the 17-hydroxypregnenolone in a biological specimen.</t>
  </si>
  <si>
    <t>17-Hydroxypregnenolone Measurement</t>
  </si>
  <si>
    <t>HYALUAC</t>
  </si>
  <si>
    <t>Hyaluronic Acid</t>
  </si>
  <si>
    <t>A measurement of hyaluronic acid in a biological specimen.</t>
  </si>
  <si>
    <t>Hyaluronic Acid Measurement</t>
  </si>
  <si>
    <t>HYDCDN</t>
  </si>
  <si>
    <t>Hydrocodone</t>
  </si>
  <si>
    <t>A measurement of the hydrocodone present in a biological specimen.</t>
  </si>
  <si>
    <t>Hydrocodone Measurement</t>
  </si>
  <si>
    <t>HYDMDZ1</t>
  </si>
  <si>
    <t>1-Hydroxymidazolam</t>
  </si>
  <si>
    <t>1'-Hydroxymidazolam; 1-Hydroxymidazolam; Alpha-Hydroxymidazolam</t>
  </si>
  <si>
    <t>A measurement of the 1-Hydroxymidazolam present in a biological specimen.</t>
  </si>
  <si>
    <t>1-Hydroxymidazolam Measurement</t>
  </si>
  <si>
    <t>HYDMDZ4</t>
  </si>
  <si>
    <t>4-Hydroxymidazolam</t>
  </si>
  <si>
    <t>A measurement of the 4-hydroxymidazolam present in a biological specimen.</t>
  </si>
  <si>
    <t>4-Hydroxymidazolam Measurement</t>
  </si>
  <si>
    <t>HYDMRPHN</t>
  </si>
  <si>
    <t>Hydromorphone</t>
  </si>
  <si>
    <t>A measurement of the hydromorphone present in a biological specimen.</t>
  </si>
  <si>
    <t>Hydromorphone Measurement</t>
  </si>
  <si>
    <t>HYDRAZIN</t>
  </si>
  <si>
    <t>Hydrazine</t>
  </si>
  <si>
    <t>Hydrazine; Levoxine</t>
  </si>
  <si>
    <t>A measurement of the hydrazine in a specimen.</t>
  </si>
  <si>
    <t>Hydrazine Measurement</t>
  </si>
  <si>
    <t>HYDROGEN</t>
  </si>
  <si>
    <t>Hydrogen</t>
  </si>
  <si>
    <t>A measurement of the hydrogen in a biological specimen.</t>
  </si>
  <si>
    <t>Hydrogen Measurement</t>
  </si>
  <si>
    <t>HYPERCHR</t>
  </si>
  <si>
    <t>Hyperchromia</t>
  </si>
  <si>
    <t>Hyperchromia; Hyperchromic Erythrocytes</t>
  </si>
  <si>
    <t>A measurement of the prevalence of the erthrocytes with an elevated hemoglobin concentration.</t>
  </si>
  <si>
    <t>Hyperchromia Measurement</t>
  </si>
  <si>
    <t>HYPERGR</t>
  </si>
  <si>
    <t>Hyperemia Grade</t>
  </si>
  <si>
    <t>The position on a scale to assess hyperemia.</t>
  </si>
  <si>
    <t>HYPERMIA</t>
  </si>
  <si>
    <t>Hyperemia</t>
  </si>
  <si>
    <t>An evaluation of hyperemia (an increased amount of blood) in a biological specimen or location.</t>
  </si>
  <si>
    <t>Hyperemia Evaluation</t>
  </si>
  <si>
    <t>HYPGST17</t>
  </si>
  <si>
    <t>17-Hydroxyprogesterone</t>
  </si>
  <si>
    <t>17-Hydroxyprogesterone; 17-OHP</t>
  </si>
  <si>
    <t>A measurement of the 17-Hydroxyprogesterone in a biological specimen.</t>
  </si>
  <si>
    <t>17-Hydroxyprogesterone Measurement</t>
  </si>
  <si>
    <t>HYPRLN</t>
  </si>
  <si>
    <t>Hydroxyproline</t>
  </si>
  <si>
    <t>A measurement of the total hydroxyproline in a biological specimen.</t>
  </si>
  <si>
    <t>Hydroxyproline Measurement</t>
  </si>
  <si>
    <t>HYPSEGCE</t>
  </si>
  <si>
    <t>Hypersegmented Cells</t>
  </si>
  <si>
    <t>A measurement of the hypersegmented (more than five lobes) neutrophils in a biological specimen.</t>
  </si>
  <si>
    <t>Hypersegmented Neutrophil Measurement</t>
  </si>
  <si>
    <t>HYXLYS</t>
  </si>
  <si>
    <t>Hydroxylysine</t>
  </si>
  <si>
    <t>A measurement of the hydroxylysine in a biological specimen.</t>
  </si>
  <si>
    <t>Hydroxylysine Measurement</t>
  </si>
  <si>
    <t>I123CPYR</t>
  </si>
  <si>
    <t>Indeno[1,2,3-cd]pyrene</t>
  </si>
  <si>
    <t>Indeno(1,2,3-cd)pyrene; Indeno[1,2,3-cd]pyrene; o-Phenylenepyrene</t>
  </si>
  <si>
    <t>A measurement of the indeno[1,2,3-cd]pyrene in a specimen.</t>
  </si>
  <si>
    <t>Indeno[1,2,3-cd]pyrene Measurement</t>
  </si>
  <si>
    <t>I28S18S</t>
  </si>
  <si>
    <t>28S/18S</t>
  </si>
  <si>
    <t>An assessment of ribonucleic acid integrity that is measured by determining the ratio of the nucleotide length of 28S rRNA and 18S rRNA, respectively, in a biological specimen.</t>
  </si>
  <si>
    <t>28S Ribosomal RNA to 18S Ribosomal RNA Ratio</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</si>
  <si>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</si>
  <si>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</si>
  <si>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</si>
  <si>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</si>
  <si>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</si>
  <si>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IAA5OH</t>
  </si>
  <si>
    <t>5-Hydroxyindoleacetic Acid</t>
  </si>
  <si>
    <t>5-Hydroxyindoleacetate; 5-Hydroxyindoleacetic Acid</t>
  </si>
  <si>
    <t>A measurement of 5-hydroxyindoleacetic acid in a biological specimen.</t>
  </si>
  <si>
    <t>5-Hydroxyindoleacetic Acid Measurement</t>
  </si>
  <si>
    <t>IAA5OHCR</t>
  </si>
  <si>
    <t>5-Hydroxyindoleacetic Acid/Creatinine</t>
  </si>
  <si>
    <t>A relative measurement (ratio or percentage) of the 5-hydroxyindoleacetic acid to creatinine in a biological specimen.</t>
  </si>
  <si>
    <t>5-Hydroxyindoleacetic Acid to Creatinine Ratio Measurement</t>
  </si>
  <si>
    <t>IAMYACT</t>
  </si>
  <si>
    <t>Isoamyl Acetate</t>
  </si>
  <si>
    <t>Isoamyl Acetate; Isoamyl Acetic Acid; Isopentyl Acetate</t>
  </si>
  <si>
    <t>A measurement of the isoamyl acetate in a specimen.</t>
  </si>
  <si>
    <t>Isoamyl Acetate Measurement</t>
  </si>
  <si>
    <t>IAPOB</t>
  </si>
  <si>
    <t>IDL Apolipoprotein B</t>
  </si>
  <si>
    <t>A measurement of the apolipoprotein B in the intermediate density lipoprotein fraction of a biological specimen.</t>
  </si>
  <si>
    <t>IDL Apolipoprotein B Measurement</t>
  </si>
  <si>
    <t>IAPP</t>
  </si>
  <si>
    <t>Islet Amyloid Polypeptide</t>
  </si>
  <si>
    <t>Amylin; Islet Amyloid Polypeptide</t>
  </si>
  <si>
    <t>A measurement of the islet amyloid polypeptide in a biological specimen.</t>
  </si>
  <si>
    <t>Islet Amyloid Polypeptide Measurement</t>
  </si>
  <si>
    <t>IBCT</t>
  </si>
  <si>
    <t>Total Iron Binding Capacity</t>
  </si>
  <si>
    <t>A measurement of the amount of iron needed to fully saturate the transferrin in a biological specimen.</t>
  </si>
  <si>
    <t>IBCU</t>
  </si>
  <si>
    <t>Unsaturated Iron Binding Capacity</t>
  </si>
  <si>
    <t>A measurement of the binding capacity of unsaturated iron in a biological specimen.</t>
  </si>
  <si>
    <t>Unsaturated Iron Binding Capacity Measurement</t>
  </si>
  <si>
    <t>IBTYACT</t>
  </si>
  <si>
    <t>Isobutyl Acetate</t>
  </si>
  <si>
    <t>2-Methylpropyl Ethanoate; Isobutyl Acetate; Isobutyl Acetic Acid</t>
  </si>
  <si>
    <t>A measurement of the isobutyl acetate in a specimen.</t>
  </si>
  <si>
    <t>Isobutyl Acetate Measurement</t>
  </si>
  <si>
    <t>IC</t>
  </si>
  <si>
    <t>Inspiratory Capacity</t>
  </si>
  <si>
    <t>The maximum volume of air a subject can inhale into the lungs after a tidal exhalation (IRV plus TV).</t>
  </si>
  <si>
    <t>IC512AG</t>
  </si>
  <si>
    <t>Islet Cell 512 Antigen</t>
  </si>
  <si>
    <t>A measurement of the islet cell 512 antigen in a biological specimen.</t>
  </si>
  <si>
    <t>Islet Cell 512 Antigen Measurement</t>
  </si>
  <si>
    <t>ICAM</t>
  </si>
  <si>
    <t>Intercellular Adhesion Molecule</t>
  </si>
  <si>
    <t>A measurement of the total intercellular adhesion molecule in a biological specimen.</t>
  </si>
  <si>
    <t>Intercellular Adhesion Molecule Measurement</t>
  </si>
  <si>
    <t>ICAM1</t>
  </si>
  <si>
    <t>Intercellular Adhesion Molecule 1</t>
  </si>
  <si>
    <t>Intercellular Adhesion Molecule 1; Soluble CD54</t>
  </si>
  <si>
    <t>A measurement of the intercellular adhesion molecule 1 in a biological specimen.</t>
  </si>
  <si>
    <t>Intercellular Adhesion Molecule 1 Measurement</t>
  </si>
  <si>
    <t>ICAM3</t>
  </si>
  <si>
    <t>Intercellular Adhesion Molecule 3</t>
  </si>
  <si>
    <t>A measurement of the intercellular adhesion molecule 3 in a biological specimen.</t>
  </si>
  <si>
    <t>Intercellular Adhesion Molecule 3 Measurement</t>
  </si>
  <si>
    <t>ICG</t>
  </si>
  <si>
    <t>Indocyanine Green</t>
  </si>
  <si>
    <t>A measurement of the indocyanine green in a biological specimen.</t>
  </si>
  <si>
    <t>Indocyanine Green Measurement</t>
  </si>
  <si>
    <t>ICGCLR</t>
  </si>
  <si>
    <t>Indocyanine Green Clearance</t>
  </si>
  <si>
    <t>A measurement of the volume of serum or plasma that would be cleared of indocyanine green by excretion for a specified unit of time (e.g. one minute).</t>
  </si>
  <si>
    <t>Indocyanine Green Clearance Measurement</t>
  </si>
  <si>
    <t>ICJRIND</t>
  </si>
  <si>
    <t>Ileocecal Junction Removed Indicator</t>
  </si>
  <si>
    <t>An indication as to whether the ileocecal junction was removed.</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</si>
  <si>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</si>
  <si>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</si>
  <si>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</si>
  <si>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</si>
  <si>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ICPP</t>
  </si>
  <si>
    <t>Percent Predicted Inspiratory Capacity</t>
  </si>
  <si>
    <t>The maximum volume of air a subject can inhale into the lungs after a tidal exhalation (IRV plus TV) as a proportion of the predicted normal value.</t>
  </si>
  <si>
    <t>ICREV</t>
  </si>
  <si>
    <t>IC Reversibility</t>
  </si>
  <si>
    <t>The change in IC following administration of a bronchodilator relative to the pre-treatment IC value.</t>
  </si>
  <si>
    <t>Inspiratory Capacity Reversibility</t>
  </si>
  <si>
    <t>ICTERUSI</t>
  </si>
  <si>
    <t>Icteric Index</t>
  </si>
  <si>
    <t>Icteric Index; Icterus</t>
  </si>
  <si>
    <t>A measurement of the yellow color of a biological specimen, due to the presence of bile pigments.</t>
  </si>
  <si>
    <t>IDEALWT</t>
  </si>
  <si>
    <t>Ideal Body Weight</t>
  </si>
  <si>
    <t>A person's optimum weight as calculated by a standard methodology.</t>
  </si>
  <si>
    <t>IDL</t>
  </si>
  <si>
    <t>IDL Cholesterol</t>
  </si>
  <si>
    <t>IDL Cholesterol; Intermediate Density Lipoprotein</t>
  </si>
  <si>
    <t>A measurement of the intermediate density lipoprotein in a biological specimen.</t>
  </si>
  <si>
    <t>Intermediate Density Lipoprotein Cholesterol Measurement</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</si>
  <si>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</si>
  <si>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</si>
  <si>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</si>
  <si>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</si>
  <si>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IDLP</t>
  </si>
  <si>
    <t>IDL Particles</t>
  </si>
  <si>
    <t>IDL Particles; Intermediate Density Lipoproteins Particles</t>
  </si>
  <si>
    <t>A measurement of the concentration of IDL particles in a biological specimen.</t>
  </si>
  <si>
    <t>IDL Particles Measurement</t>
  </si>
  <si>
    <t>IDLT</t>
  </si>
  <si>
    <t>IDL Triglyceride</t>
  </si>
  <si>
    <t>A measurement of the intermediate density lipoprotein triglyceride in a biological specimen.</t>
  </si>
  <si>
    <t>IDL Triglyceride Measurement</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</si>
  <si>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</si>
  <si>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</si>
  <si>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</si>
  <si>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</si>
  <si>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</si>
  <si>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IDRLDIAM</t>
  </si>
  <si>
    <t>Induration Longest Diameter</t>
  </si>
  <si>
    <t>The longest diameter of an area of hardness in the skin. (NCI)</t>
  </si>
  <si>
    <t>IELY</t>
  </si>
  <si>
    <t>IE Lym</t>
  </si>
  <si>
    <t>IE Lym; Intraepithelial Lymphocytes</t>
  </si>
  <si>
    <t>A measurement of the intraepithelial lymphocytes in a biological specimen.</t>
  </si>
  <si>
    <t>Intraepithelial Lymphocyte Count</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</si>
  <si>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</si>
  <si>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</si>
  <si>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</si>
  <si>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</si>
  <si>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</si>
  <si>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IFI44</t>
  </si>
  <si>
    <t>Interferon-Induced Protein 44</t>
  </si>
  <si>
    <t>A measurement of the interferon-induced protein 44 in a biological specimen.</t>
  </si>
  <si>
    <t>Interferon-Induced Protein 44 Measurement</t>
  </si>
  <si>
    <t>IFI44L</t>
  </si>
  <si>
    <t>Interferon-Induced Protein 44-Like</t>
  </si>
  <si>
    <t>A measurement of the interferon-induced protein 44-like in a biological specimen.</t>
  </si>
  <si>
    <t>Interferon-Induced Protein 44-Like Measurement</t>
  </si>
  <si>
    <t>IFI6</t>
  </si>
  <si>
    <t>Interferon Alpha-Inducible Protein 6</t>
  </si>
  <si>
    <t>A measurement of the interferon alpha-inducible protein 6 in a biological specimen.</t>
  </si>
  <si>
    <t>Interferon Alpha-Inducible Protein 6 Measurement</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</si>
  <si>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</si>
  <si>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</si>
  <si>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</si>
  <si>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</si>
  <si>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</si>
  <si>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</si>
  <si>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</si>
  <si>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</si>
  <si>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</si>
  <si>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</si>
  <si>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IFNA</t>
  </si>
  <si>
    <t>Interferon Alpha</t>
  </si>
  <si>
    <t>A measurement of the total interferon alpha in a biological specimen.</t>
  </si>
  <si>
    <t>Interferon Alpha Measurement</t>
  </si>
  <si>
    <t>IFNA2</t>
  </si>
  <si>
    <t>Interferon Alpha Type 2</t>
  </si>
  <si>
    <t>A measurement of the interferon alpha type 2 in a biological specimen.</t>
  </si>
  <si>
    <t>Interferon Alpha Type 2 Measurement</t>
  </si>
  <si>
    <t>IFNB</t>
  </si>
  <si>
    <t>Interferon Beta</t>
  </si>
  <si>
    <t>A measurement of the interferon beta in a biological specimen.</t>
  </si>
  <si>
    <t>Interferon Beta Measurement</t>
  </si>
  <si>
    <t>IFNG</t>
  </si>
  <si>
    <t>Interferon Gamma</t>
  </si>
  <si>
    <t>A measurement of the interferon gamma in a biological specimen.</t>
  </si>
  <si>
    <t>Interferon Gamma Measurement</t>
  </si>
  <si>
    <t>IGA</t>
  </si>
  <si>
    <t>Immunoglobulin A</t>
  </si>
  <si>
    <t>A measurement of the total immunoglobulin A in a biological specimen.</t>
  </si>
  <si>
    <t>Immunoglobulin A Measurement</t>
  </si>
  <si>
    <t>IGAC3</t>
  </si>
  <si>
    <t>Immunoglobulin A/Complement C3</t>
  </si>
  <si>
    <t>IgA/C3; IgA/Complement C3; Immunoglobulin A/Complement C3</t>
  </si>
  <si>
    <t>A relative measurement (ratio) of the immunoglobulin A to complement C3 in a biological specimen.</t>
  </si>
  <si>
    <t>Immunoglobulin A to Complement C3 Measurement</t>
  </si>
  <si>
    <t>IGAGM</t>
  </si>
  <si>
    <t>IgG IgM IgA Total</t>
  </si>
  <si>
    <t>A measurement of the total IgG, IgM, and IgA in a biological specimen.</t>
  </si>
  <si>
    <t>IgG IgM IgA Total Measurement</t>
  </si>
  <si>
    <t>IGD</t>
  </si>
  <si>
    <t>Immunoglobulin D</t>
  </si>
  <si>
    <t>A measurement of the Immunoglobulin D in a biological specimen.</t>
  </si>
  <si>
    <t>Immunoglobulin D Measurement</t>
  </si>
  <si>
    <t>IGDX</t>
  </si>
  <si>
    <t>IgD Expression</t>
  </si>
  <si>
    <t>IgD Expression; Immunoglobulin D Expression</t>
  </si>
  <si>
    <t>A measurement of cellular IgD expression in a biological specimen.</t>
  </si>
  <si>
    <t>IgD Expression Measurement</t>
  </si>
  <si>
    <t>IGE</t>
  </si>
  <si>
    <t>Immunoglobulin E</t>
  </si>
  <si>
    <t>A measurement of the total Immunoglobulin E in a biological specimen.</t>
  </si>
  <si>
    <t>Immunoglobulin E Measurement</t>
  </si>
  <si>
    <t>IGEFR</t>
  </si>
  <si>
    <t>Immunoglobulin E, Free</t>
  </si>
  <si>
    <t>A measurement of the free Immunoglobulin E in a biological specimen.</t>
  </si>
  <si>
    <t>Free Immunoglobulin E Measurement</t>
  </si>
  <si>
    <t>IGF1</t>
  </si>
  <si>
    <t>Insulin-like Growth Factor-1</t>
  </si>
  <si>
    <t>A measurement of the insulin-like growth factor-1 in a biological specimen.</t>
  </si>
  <si>
    <t>Insulin Like Growth Factor-1 Measurement</t>
  </si>
  <si>
    <t>IGF2</t>
  </si>
  <si>
    <t>Insulin-like Growth Factor-2</t>
  </si>
  <si>
    <t>A measurement of the insulin-like growth factor-2 in a biological specimen.</t>
  </si>
  <si>
    <t>Insulin Like Growth Factor-2 Measurement</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</si>
  <si>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</si>
  <si>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</si>
  <si>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</si>
  <si>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</si>
  <si>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</si>
  <si>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</si>
  <si>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</si>
  <si>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</si>
  <si>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</si>
  <si>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</si>
  <si>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</si>
  <si>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</si>
  <si>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</si>
  <si>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</si>
  <si>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</si>
  <si>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</si>
  <si>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</si>
  <si>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</si>
  <si>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</si>
  <si>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</si>
  <si>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IGG</t>
  </si>
  <si>
    <t>Immunoglobulin G</t>
  </si>
  <si>
    <t>A measurement of the total immunoglobulin G in a biological specimen.</t>
  </si>
  <si>
    <t>Immunoglobulin G Measurement</t>
  </si>
  <si>
    <t>IGG1</t>
  </si>
  <si>
    <t>Immunoglobulin G Subclass 1</t>
  </si>
  <si>
    <t>A measurement of the immunoglobulin G subclass 1 in a biological specimen.</t>
  </si>
  <si>
    <t>Immunoglobulin G Subclass 1 Measurement</t>
  </si>
  <si>
    <t>IGG2</t>
  </si>
  <si>
    <t>Immunoglobulin G Subclass 2</t>
  </si>
  <si>
    <t>A measurement of the immunoglobulin G subclass 2 in a biological specimen.</t>
  </si>
  <si>
    <t>Immunoglobulin G Subclass 2 Measurement</t>
  </si>
  <si>
    <t>IGG3</t>
  </si>
  <si>
    <t>Immunoglobulin G Subclass 3</t>
  </si>
  <si>
    <t>A measurement of the immunoglobulin G subclass 3 in a biological specimen.</t>
  </si>
  <si>
    <t>Immunoglobulin G Subclass 3 Measurement</t>
  </si>
  <si>
    <t>IGG4</t>
  </si>
  <si>
    <t>Immunoglobulin G Subclass 4</t>
  </si>
  <si>
    <t>A measurement of the immunoglobulin G subclass 4 in a biological specimen.</t>
  </si>
  <si>
    <t>Immunoglobulin G Subclass 4 Measurement</t>
  </si>
  <si>
    <t>IGGALB</t>
  </si>
  <si>
    <t>Immunoglobulin G/Albumin</t>
  </si>
  <si>
    <t>IgG/Albumin; Immunoglobulin G/Albumin</t>
  </si>
  <si>
    <t>A relative measurement (ratio or percentage) of the immunoglobulin G to albumin in a biological specimen.</t>
  </si>
  <si>
    <t>Immunoglobulin G to Albumin Ratio Measurement</t>
  </si>
  <si>
    <t>IGGC</t>
  </si>
  <si>
    <t>IgG Clearance</t>
  </si>
  <si>
    <t>A measurement of the IgG clearance in a biological specimen.</t>
  </si>
  <si>
    <t>IGGCALBC</t>
  </si>
  <si>
    <t>IgG Clearance/Albumin Clearance</t>
  </si>
  <si>
    <t>A relative measurement (ratio) of the IgG clearance to albumin clearance in a biological specimen.</t>
  </si>
  <si>
    <t>IgG Clearance to Albumin Clearance Ratio Measurement</t>
  </si>
  <si>
    <t>IGGCREAT</t>
  </si>
  <si>
    <t>Immunoglobulin G/Creatinine</t>
  </si>
  <si>
    <t>A relative measurement (ratio or percentage) of the immunoglobulin G to creatinine in a biological specimen.</t>
  </si>
  <si>
    <t>Immunoglobulin G to Creatinine Ratio Measurement</t>
  </si>
  <si>
    <t>IGGSYNRT</t>
  </si>
  <si>
    <t>IgG Synthesis Rate</t>
  </si>
  <si>
    <t>A measurement of the IgG synthesis rate in a biological specimen.</t>
  </si>
  <si>
    <t>IGGX</t>
  </si>
  <si>
    <t>IgG Expression</t>
  </si>
  <si>
    <t>IgG Expression; Immunoglobulin G Expression</t>
  </si>
  <si>
    <t>A measurement of cellular IgG expression in a biological specimen.</t>
  </si>
  <si>
    <t>IgG Expression Measurement</t>
  </si>
  <si>
    <t>IGHG2</t>
  </si>
  <si>
    <t>Immunoglobulin Heavy Constant Gamma 2</t>
  </si>
  <si>
    <t>A measurement of the immunoglobulin heavy constant gamma 2 in a biological specimen.</t>
  </si>
  <si>
    <t>Immunoglobulin Heavy Constant Gamma 2 Measurement</t>
  </si>
  <si>
    <t>IGHG4</t>
  </si>
  <si>
    <t>Immunoglobulin Heavy Constant Gamma 4</t>
  </si>
  <si>
    <t>A measurement of the immunoglobulin heavy constant gamma 4 in a biological specimen.</t>
  </si>
  <si>
    <t>Immunoglobulin Heavy Constant Gamma 4 Measurement</t>
  </si>
  <si>
    <t>IGM</t>
  </si>
  <si>
    <t>Immunoglobulin M</t>
  </si>
  <si>
    <t>A measurement of the total immunoglobulin M in a biological specimen.</t>
  </si>
  <si>
    <t>Immunoglobulin M Measurement</t>
  </si>
  <si>
    <t>IGMX</t>
  </si>
  <si>
    <t>IgM Expression</t>
  </si>
  <si>
    <t>IgM Expression; Immunoglobulin M Expression</t>
  </si>
  <si>
    <t>A measurement of cellular IgM expression in a biological specimen.</t>
  </si>
  <si>
    <t>IgM Expression Measurement</t>
  </si>
  <si>
    <t>IGSOL</t>
  </si>
  <si>
    <t>Soluble Immunoglobulin</t>
  </si>
  <si>
    <t>A measurement of the soluble total immunoglobulin in a biological specimen.</t>
  </si>
  <si>
    <t>Soluble Immunoglobulin Measurement</t>
  </si>
  <si>
    <t>IL122340</t>
  </si>
  <si>
    <t>Interleukin 12+23 p40</t>
  </si>
  <si>
    <t>A measurement of the p40 subunit of the interleukins 12 and 23 in a biological specimen.</t>
  </si>
  <si>
    <t>Interleukin 12+23 p40 Measurement</t>
  </si>
  <si>
    <t>IL18BP</t>
  </si>
  <si>
    <t>Interleukin 18 Binding Protein</t>
  </si>
  <si>
    <t>A measurement of the interleukin 18 binding protein in a biological specimen.</t>
  </si>
  <si>
    <t>Interleukin 18 Binding Protein Measurement</t>
  </si>
  <si>
    <t>IL18EXR</t>
  </si>
  <si>
    <t>Interleukin 18 Excretion Rate</t>
  </si>
  <si>
    <t>A measurement of the amount of interleukin 18 being excreted in a biological specimen over a defined period of time (e.g. one hour).</t>
  </si>
  <si>
    <t>IL1EXR</t>
  </si>
  <si>
    <t>Interleukin 1 Excretion Rate</t>
  </si>
  <si>
    <t>A measurement of the amount of interleukin 1 being excreted in a biological specimen over a defined period of time (e.g. one hour).</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</si>
  <si>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</si>
  <si>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</si>
  <si>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</si>
  <si>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</si>
  <si>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</si>
  <si>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IL1RL1</t>
  </si>
  <si>
    <t>Interleukin 1 Receptor-Like 1</t>
  </si>
  <si>
    <t>Interleukin 1 Receptor-Like 1; Protein ST2; sST2</t>
  </si>
  <si>
    <t>A measurement of the interleukin 1 receptor-like 1 in a biological specimen.</t>
  </si>
  <si>
    <t>Interleukin 1 Receptor-Like 1 Measurement</t>
  </si>
  <si>
    <t>IL1SR1</t>
  </si>
  <si>
    <t>Soluble Interleukin-1 Receptor Type I</t>
  </si>
  <si>
    <t>A measurement of the soluble interleukin-1 receptor type I in a biological specimen.</t>
  </si>
  <si>
    <t>Soluble Interleukin-1 Receptor Type I Measurement</t>
  </si>
  <si>
    <t>IL28B</t>
  </si>
  <si>
    <t>Interleukin 28B</t>
  </si>
  <si>
    <t>IFN-Lambda 3; Interleukin 28B</t>
  </si>
  <si>
    <t>A measurement of the interleukin 28B in a biological specimen.</t>
  </si>
  <si>
    <t>Interleukin 28B Measurement</t>
  </si>
  <si>
    <t>IL2R</t>
  </si>
  <si>
    <t>Interleukin 2 Receptor</t>
  </si>
  <si>
    <t>A measurement of the interleukin 2 receptor in a biological specimen.</t>
  </si>
  <si>
    <t>Interleukin 2 Receptor Measurement</t>
  </si>
  <si>
    <t>IL2RA</t>
  </si>
  <si>
    <t>Interleukin 2 Receptor Subunit Alpha</t>
  </si>
  <si>
    <t>IL-2Ra; Interleukin 2 Receptor Subunit Alpha; Soluble CD25</t>
  </si>
  <si>
    <t>A measurement of the interleukin 2 receptor subunit alpha in a biological specimen.</t>
  </si>
  <si>
    <t>Interleukin 2 Receptor Subunit Alpha Measurement</t>
  </si>
  <si>
    <t>IL2RB</t>
  </si>
  <si>
    <t>Interleukin 2 Receptor Subunit Beta</t>
  </si>
  <si>
    <t>IL-2Rb; Interleukin 2 Receptor Subunit Beta</t>
  </si>
  <si>
    <t>A measurement of the interleukin 2 receptor subunit beta in a biological specimen.</t>
  </si>
  <si>
    <t>Interleukin 2 Receptor Subunit Beta Measurement</t>
  </si>
  <si>
    <t>IL2SR</t>
  </si>
  <si>
    <t>Soluble Interleukin 2 Receptor</t>
  </si>
  <si>
    <t>sCD25; Soluble CD25; Soluble IL-2Ra; Soluble Interleukin 2 Receptor; Soluble Interleukin 2 Receptor Subunit Alpha</t>
  </si>
  <si>
    <t>A measurement of the soluble interleukin 2 receptor in a biological specimen.</t>
  </si>
  <si>
    <t>Soluble Interleukin 2 Receptor Measurement</t>
  </si>
  <si>
    <t>IL6SR</t>
  </si>
  <si>
    <t>Soluble Interleukin 6 Receptor</t>
  </si>
  <si>
    <t>A measurement of the soluble interleukin 6 receptor in a biological specimen.</t>
  </si>
  <si>
    <t>Soluble Interleukin 6 Receptor Measurement</t>
  </si>
  <si>
    <t>ILC</t>
  </si>
  <si>
    <t>Innate Lymphoid Cells</t>
  </si>
  <si>
    <t>ILC; Innate LC; Innate Lymphoid Cells</t>
  </si>
  <si>
    <t>A measurement of the innate lymphoid cells in a biological specimen.</t>
  </si>
  <si>
    <t>Innate Lymphoid Cell Count</t>
  </si>
  <si>
    <t>ILC1</t>
  </si>
  <si>
    <t>Innate LC1</t>
  </si>
  <si>
    <t>ILC1; Innate LC1; Innate Lymphoid Cells Type 1</t>
  </si>
  <si>
    <t>A measurement of type 1 innate lymphoid cells in a biological specimen.</t>
  </si>
  <si>
    <t>Type 1 Innate Lymphoid Cell Count</t>
  </si>
  <si>
    <t>ILC1ILC</t>
  </si>
  <si>
    <t>Innate LC1/ILC</t>
  </si>
  <si>
    <t>ILC1/ILC; Innate LC1/ILC; Innate Lymphoid Cells Type 1/Innate Lymphoid Cells</t>
  </si>
  <si>
    <t>A relative measurement (ratio or percentage) of type 1 innate lymphoid cells to total innate lymphoid cells in a biological specimen.</t>
  </si>
  <si>
    <t>Type 1 Innate Lymphoid Cell to Innate Lymphoid Cell Ratio Measurement</t>
  </si>
  <si>
    <t>ILC1LE</t>
  </si>
  <si>
    <t>Innate LC1/Leuk</t>
  </si>
  <si>
    <t>ILC1/Leukocytes; Innate LC1/Leuk; Innate Lymphoid Cells Type 1/Leukocytes</t>
  </si>
  <si>
    <t>A relative measurement (ratio or percentage) of type 1 innate lymphoid cells to total leukocytes in a biological specimen.</t>
  </si>
  <si>
    <t>Type 1 Innate Lymphoid Cell to Leukocyte Ratio Measurement</t>
  </si>
  <si>
    <t>ILC1S</t>
  </si>
  <si>
    <t>Innate LC1 Sub</t>
  </si>
  <si>
    <t>ILC1 Sub-Population; Innate LC1 Sub; Innate Lymphoid Cells Type 1 Sub-Population</t>
  </si>
  <si>
    <t>A measurement of a sub-population of type 1 innate lymphoid cells in a biological specimen.</t>
  </si>
  <si>
    <t>Type 1 Innate Lymphoid Cell Subpopulation Count</t>
  </si>
  <si>
    <t>ILC1SILC</t>
  </si>
  <si>
    <t>Innate LC1 Sub/ILC</t>
  </si>
  <si>
    <t>ILC1 Sub-Population/ILC; Innate LC1 Sub/ILC; Innate Lymphoid Cells Type 1 Sub-Population/Innate Lymphoid Cells</t>
  </si>
  <si>
    <t>A relative measurement (ratio or percentage) of a sub-population of type 1 innate lymphoid cells to total innate lymphoid cells in a biological specimen.</t>
  </si>
  <si>
    <t>Type 1 Innate Lymphoid Cell Subpopulation to Innate Lymphoid Cell Ratio Measurement</t>
  </si>
  <si>
    <t>ILC1SLE</t>
  </si>
  <si>
    <t>Innate LC1 Sub/Leuk</t>
  </si>
  <si>
    <t>ILC1 Sub-Population/Leukocytes; Innate LC1 Sub/Leuk; Innate Lymphoid Cells Type 1 Sub-Population/Leukocytes</t>
  </si>
  <si>
    <t>A relative measurement (ratio or percentage) of a sub-population of type 1 innate lymphoid cells to total leukocytes in a biological specimen.</t>
  </si>
  <si>
    <t>Type 1 Innate Lymphoid Cell Subpopulation to Leukocyte Ratio Measurement</t>
  </si>
  <si>
    <t>ILC1SP</t>
  </si>
  <si>
    <t>Innate LC1 Sub/ILC1</t>
  </si>
  <si>
    <t>ILC1 Sub-Population/ILC1; Innate LC1 Sub/ILC1; Innate Lymphoid Cells Type 1 Sub-Population/Innate Lymphoid Cells Type 1</t>
  </si>
  <si>
    <t>A relative measurement (ratio or percentage) of a sub-population of type 1 innate lymphoid cells to total type 1 innate lymphoid cells in a biological specimen.</t>
  </si>
  <si>
    <t>Type 1 Innate Lymphoid Cell Subpopulation to Type 1 Innate Lymphoid Cell Ratio Measurement</t>
  </si>
  <si>
    <t>ILC2</t>
  </si>
  <si>
    <t>Innate LC2</t>
  </si>
  <si>
    <t>ILC2; Innate LC2; Innate Lymphoid Cells Type 2</t>
  </si>
  <si>
    <t>A measurement of the type 2 innate lymphoid cells in a biological specimen.</t>
  </si>
  <si>
    <t>Type 2 Innate Lymphoid Cell Count</t>
  </si>
  <si>
    <t>ILC2ILC</t>
  </si>
  <si>
    <t>Innate LC2/ILC</t>
  </si>
  <si>
    <t>ILC2/ILC; Innate LC2/ILC; Innate Lymphoid Cells Type 2/Innate Lymphoid Cells</t>
  </si>
  <si>
    <t>A relative measurement (ratio or percentage) of type 2 innate lymphoid cells to total innate lymphoid cells in a biological specimen.</t>
  </si>
  <si>
    <t>Type 2 Innate Lymphoid Cell to Innate Lymphoid Cell Ratio Measurement</t>
  </si>
  <si>
    <t>ILC2LE</t>
  </si>
  <si>
    <t>Innate LC2/Leuk</t>
  </si>
  <si>
    <t>ILC2/Leukocytes; Innate LC2/Leuk; Innate Lymphoid Cells Type 2/Leukocytes</t>
  </si>
  <si>
    <t>A relative measurement (ratio or percentage) of type 2 innate lymphoid cells to total leukocytes in a biological specimen.</t>
  </si>
  <si>
    <t>Type 2 Innate Lymphoid Cell to Leukocyte Ratio Measurement</t>
  </si>
  <si>
    <t>ILC2S</t>
  </si>
  <si>
    <t>Innate LC2 Sub</t>
  </si>
  <si>
    <t>ILC2 Sub; Innate LC2 Sub; Innate Lymphoid Cells Type 2 Sub-Population</t>
  </si>
  <si>
    <t>A measurement of a sub-population of type 2 innate lymphoid cells in a biological specimen.</t>
  </si>
  <si>
    <t>Type 2 Innate Lymphoid Cell Subpopulation Count</t>
  </si>
  <si>
    <t>ILC2SILC</t>
  </si>
  <si>
    <t>Innate LC2 Sub/ILC</t>
  </si>
  <si>
    <t>ILC2 Sub-Population/ILC; Innate LC2 Sub/ILC; Innate Lymphoid Cells Type 2 Sub-Population/Innate Lymphoid Cells</t>
  </si>
  <si>
    <t>A relative measurement (ratio or percentage) of a sub-population of type 2 innate lymphoid cells to total innate lymphoid cells in a biological specimen.</t>
  </si>
  <si>
    <t>Type 2 Innate Lymphoid Cell Subpopulation to Innate Lymphoid Cell Ratio Measurement</t>
  </si>
  <si>
    <t>ILC2SLE</t>
  </si>
  <si>
    <t>Innate LC2 Sub/Leuk</t>
  </si>
  <si>
    <t>ILC2 Sub-Population/Leukocytes; Innate LC2 Sub/Leuk; Innate Lymphoid Cells Type 2 Sub-Population/Leukocytes</t>
  </si>
  <si>
    <t>A relative measurement (ratio or percentage) of a sub-population of type 2 innate lymphoid cells to total leukocytes in a biological specimen.</t>
  </si>
  <si>
    <t>Type 2 Innate Lymphoid Cell Subpopulation to Leukocyte Ratio Measurement</t>
  </si>
  <si>
    <t>ILC2SP</t>
  </si>
  <si>
    <t>Innate LC2 Sub/ILC2</t>
  </si>
  <si>
    <t>ILC2 Sub-Population/ILC2; Innate LC2 Sub/ILC2; Innate Lymphoid Cells Type 2 Sub-Population/Innate Lymphoid Cells Type 2</t>
  </si>
  <si>
    <t>A relative measurement (ratio or percentage) of a sub-population of type 2 innate lymphoid cells to total type 2 innate lymphoid cells in a biological specimen.</t>
  </si>
  <si>
    <t>Type 2 Innate Lymphoid Cell Subpopulation to Type 2 Innate Lymphoid Cell Ratio Measurement</t>
  </si>
  <si>
    <t>ILC3</t>
  </si>
  <si>
    <t>Innate LC3</t>
  </si>
  <si>
    <t>ILC3; Innate LC3; Innate Lymphoid Cells Type 3</t>
  </si>
  <si>
    <t>A measurement of the type 3 innate lymphoid cells in a biological specimen.</t>
  </si>
  <si>
    <t>Type 3 Innate Lymphoid Cell Count</t>
  </si>
  <si>
    <t>ILC3ILC</t>
  </si>
  <si>
    <t>Innate LC3/ILC</t>
  </si>
  <si>
    <t>ILC3/ILC; Innate LC3/ILC; Innate Lymphoid Cells Type 3/Innate Lymphoid Cells</t>
  </si>
  <si>
    <t>A relative measurement (ratio or percentage) of type 3 innate lymphoid cells to total innate lymphoid cells in a biological specimen.</t>
  </si>
  <si>
    <t>Type 3 Innate Lymphoid Cell to Innate Lymphoid Cell Ratio Measurement</t>
  </si>
  <si>
    <t>ILC3LE</t>
  </si>
  <si>
    <t>Innate LC3/Leuk</t>
  </si>
  <si>
    <t>ILC3/Leukocytes; Innate LC3/Leuk; Innate Lymphoid Cells Type 3/Leukocytes</t>
  </si>
  <si>
    <t>A relative measurement (ratio or percentage) of type 3 innate lymphoid cells to total leukocytes in a biological specimen.</t>
  </si>
  <si>
    <t>Type 3 Innate Lymphoid Cell to Leukocyte Ratio Measurement</t>
  </si>
  <si>
    <t>ILC3S</t>
  </si>
  <si>
    <t>Innate LC3 Sub</t>
  </si>
  <si>
    <t>ILC3 Sub; Innate LC3 Sub; Innate Lymphoid Cells Type 3 Sub-Population</t>
  </si>
  <si>
    <t>A measurement of a sub-population of type 3 innate lymphoid cells in a biological specimen.</t>
  </si>
  <si>
    <t>Type 3 Innate Lymphoid Cell Subpopulation Count</t>
  </si>
  <si>
    <t>ILC3SILC</t>
  </si>
  <si>
    <t>Innate LC3 Sub/ILC</t>
  </si>
  <si>
    <t>ILC3 Sub-Population/ILC; Innate LC3 Sub/ILC; Innate Lymphoid Cells Type 3 Sub-Population/Innate Lymphoid Cells</t>
  </si>
  <si>
    <t>A relative measurement (ratio or percentage) of a sub-population of type 3 innate lymphoid cells to total innate lymphoid cells in a biological specimen.</t>
  </si>
  <si>
    <t>Type 3 Innate Lymphoid Cell Subpopulation to Innate Lymphoid Cell Ratio Measurement</t>
  </si>
  <si>
    <t>ILC3SLE</t>
  </si>
  <si>
    <t>Innate LC3 Sub/Leuk</t>
  </si>
  <si>
    <t>ILC3 Sub-Population/Leukocytes; Innate LC3 Sub/Leuk; Innate Lymphoid Cells Type 3 Sub-Population/Leukocytes</t>
  </si>
  <si>
    <t>A relative measurement (ratio or percentage) of a sub-population of type 3 innate lymphoid cells to total leukocytes in a biological specimen.</t>
  </si>
  <si>
    <t>Type 3 Innate Lymphoid Cell Subpopulation to Leukocyte Ratio Measurement</t>
  </si>
  <si>
    <t>ILC3SP</t>
  </si>
  <si>
    <t>Innate LC3 Sub/ILC3</t>
  </si>
  <si>
    <t>ILC3 Sub-Population/ILC3; Innate LC3 Sub/ILC3; Innate Lymphoid Cells Type 3 Sub-Population/Innate Lymphoid Cells Type 3</t>
  </si>
  <si>
    <t>A relative measurement (ratio or percentage) of a sub-population of type 3 innate lymphoid cells to total type 3 innate lymphoid cells in a biological specimen.</t>
  </si>
  <si>
    <t>Type 3 Innate Lymphoid Cell Subpopulation to Type 3 Innate Lymphoid Cell Ratio Measurement</t>
  </si>
  <si>
    <t>ILCS</t>
  </si>
  <si>
    <t>Innate Lymphoid Cells Sub</t>
  </si>
  <si>
    <t>ILC Sub-Population; Innate LC Sub; Innate Lymphoid Cells Sub; Innate Lymphoid Cells Sub-Population</t>
  </si>
  <si>
    <t>A measurement of a sub-population of innate lymphoid cells in a biological specimen.</t>
  </si>
  <si>
    <t>Innate Lymphoid Cell Subpopulation Count</t>
  </si>
  <si>
    <t>ILCSILCS</t>
  </si>
  <si>
    <t>Innate LC Sub/ILC Sub</t>
  </si>
  <si>
    <t>ILC Sub-Population/ILC Sub-Population; Innate LC Sub/ILC Sub; Innate Lymphoid Cells Sub-Population/Innate Lymphoid Cells Sub-Population</t>
  </si>
  <si>
    <t>A relative measurement (ratio or percentage) of a sub-population of innate lymphoid cells to a sub-population of innate lymphoid cells in a biological specimen.</t>
  </si>
  <si>
    <t>Innate Lymphoid Cell Subpopulation to Innate Lymphoid Cell Subpopulation Ratio Measurement</t>
  </si>
  <si>
    <t>ILCSLE</t>
  </si>
  <si>
    <t>Innate LC Sub/Leuk</t>
  </si>
  <si>
    <t>ILC Sub/Leukocytes; Innate LC Sub/Leuk; Innate Lymphoid Cells Sub-Population/Leukocytes</t>
  </si>
  <si>
    <t>A relative measurement (ratio or percentage) of a sub-population of innate lymphoid cells to leukocytes in a biological specimen.</t>
  </si>
  <si>
    <t>Innate Lymphoid Cell Subpopulation to Leukocyte Ratio Measurement</t>
  </si>
  <si>
    <t>ILCSP</t>
  </si>
  <si>
    <t>Innate LC Sub/ILC</t>
  </si>
  <si>
    <t>ILC Sub-Population/ILC; Innate LC Sub/ILC; Innate LC Sub/Innate LC; Innate Lymphoid Cells Sub-Population/Innate Lymphoid Cells</t>
  </si>
  <si>
    <t>A relative measurement (ratio or percentage) of a sub-population of innate lymphoid cells to total innate lymphoid cells in a biological specimen.</t>
  </si>
  <si>
    <t>Innate Lymphoid Cell Subpopulation to Innate Lymphoid Cell Ratio Measurement</t>
  </si>
  <si>
    <t>ILE</t>
  </si>
  <si>
    <t>Isoleucine</t>
  </si>
  <si>
    <t>A measurement of the isoleucine in a biological specimen.</t>
  </si>
  <si>
    <t>Isoleucine Measurement</t>
  </si>
  <si>
    <t>ILOPRDN</t>
  </si>
  <si>
    <t>Iloperidone</t>
  </si>
  <si>
    <t>A measurement of the iloperidone in a biological specimen.</t>
  </si>
  <si>
    <t>Iloperidone Measurement</t>
  </si>
  <si>
    <t>IMAQDIM</t>
  </si>
  <si>
    <t>Image Acquisition Dimensionality</t>
  </si>
  <si>
    <t>The number of dimensions that the acquired image(s) are presented in.</t>
  </si>
  <si>
    <t>IMIPRMN</t>
  </si>
  <si>
    <t>Imipramine</t>
  </si>
  <si>
    <t>A measurement of the imipramine in a biological specimen.</t>
  </si>
  <si>
    <t>Imipramine Measurement</t>
  </si>
  <si>
    <t>IMMGLB</t>
  </si>
  <si>
    <t>Immunoglobulin</t>
  </si>
  <si>
    <t>A measurement of the total immunoglobulin in a biological specimen.</t>
  </si>
  <si>
    <t>Immunoglobulin Measurement</t>
  </si>
  <si>
    <t>IMMGLC</t>
  </si>
  <si>
    <t>Immunoglobulin Light Chains</t>
  </si>
  <si>
    <t>A measurement of the total immunoglobulin (kappa and lambda) light chains in a biological specimen.</t>
  </si>
  <si>
    <t>Immunoglobulin Light Chain Measurement</t>
  </si>
  <si>
    <t>IMMGLCFR</t>
  </si>
  <si>
    <t>Immunoglobulin Light Chains, Free</t>
  </si>
  <si>
    <t>A measurement of the total free immunoglobulin (kappa and lambda) light chains in a biological specimen.</t>
  </si>
  <si>
    <t>Free Immunoglobulin Light Chain Measurement</t>
  </si>
  <si>
    <t>IMWGTTYP</t>
  </si>
  <si>
    <t>Image Weighting Type</t>
  </si>
  <si>
    <t>A classification of the technique used to enhance image contrast based on differences in magnetic resonance tissue properties. This can be achieved by changing the echo time or repetition time after the tissue has returned to its equilibrium state.</t>
  </si>
  <si>
    <t>INABOIND</t>
  </si>
  <si>
    <t>Induced Abortion Indicator</t>
  </si>
  <si>
    <t>An indication as to whether the female subject has ever had an induced abortion procedure.</t>
  </si>
  <si>
    <t>INABORTN</t>
  </si>
  <si>
    <t>Number of Induced Abortions</t>
  </si>
  <si>
    <t>A measurement of the total number of induced abortions experienced by a female subject.</t>
  </si>
  <si>
    <t>INCLBOD</t>
  </si>
  <si>
    <t>Inclusion Bodies</t>
  </si>
  <si>
    <t>A measurement of the inclusion bodies in a biological specimen.</t>
  </si>
  <si>
    <t>Inclusion Body Measurement</t>
  </si>
  <si>
    <t>INCLBRBC</t>
  </si>
  <si>
    <t>Erythrocyte Inclusion Bodies</t>
  </si>
  <si>
    <t>A measurement of the erythrocyte inclusion bodies in a biological specimen.</t>
  </si>
  <si>
    <t>Erythrocyte Inclusion Bodies Measurement</t>
  </si>
  <si>
    <t>INCMLVL</t>
  </si>
  <si>
    <t>Income Level</t>
  </si>
  <si>
    <t>An indication of the position on a scale measuring revenue or monetary support.</t>
  </si>
  <si>
    <t>INDC</t>
  </si>
  <si>
    <t>Indication for Use</t>
  </si>
  <si>
    <t>Indication for Use; Trial Disease/Condition Indication; Trial Disease/Condition Indication Description</t>
  </si>
  <si>
    <t>A narrative representation of the condition, disease or disorder that the clinical trial is intended to investigate or address.</t>
  </si>
  <si>
    <t>Trial Indication</t>
  </si>
  <si>
    <t>INDICAN</t>
  </si>
  <si>
    <t>Indican</t>
  </si>
  <si>
    <t>A measurement of the indican present in a biological specimen.</t>
  </si>
  <si>
    <t>Indican Measurement</t>
  </si>
  <si>
    <t>INDLAUMD</t>
  </si>
  <si>
    <t>Insulin Delivery Automation Mode</t>
  </si>
  <si>
    <t>The setting on a device that will allow the delivery of insulin to a subject, either automatically or manually, in response to the glucose levels within the subject. (NCI)</t>
  </si>
  <si>
    <t>INERTANC</t>
  </si>
  <si>
    <t>Inertance</t>
  </si>
  <si>
    <t>The measure of the force of the column of air in the conducting airways.</t>
  </si>
  <si>
    <t>Pulmonary Inertance</t>
  </si>
  <si>
    <t>INFA</t>
  </si>
  <si>
    <t>Influenza A Virus</t>
  </si>
  <si>
    <t>A measurement of the Influenza A virus an biological specimen.</t>
  </si>
  <si>
    <t>Influenza A Virus Measurement</t>
  </si>
  <si>
    <t>INFAAG</t>
  </si>
  <si>
    <t>Influenza A Antigen</t>
  </si>
  <si>
    <t>A measurement of the influenza A antigen in a biological specimen.</t>
  </si>
  <si>
    <t>Influenza A Antigen Measurement</t>
  </si>
  <si>
    <t>INFAB</t>
  </si>
  <si>
    <t>Influenza A/B Virus</t>
  </si>
  <si>
    <t>A measurement of the influenza A and/or B virus in a biological specimen.</t>
  </si>
  <si>
    <t>Influenza A/B Virus Measurement</t>
  </si>
  <si>
    <t>INFABAG</t>
  </si>
  <si>
    <t>Influenza A/B Antigen</t>
  </si>
  <si>
    <t>A measurement of the influenza A and/or B antigen in a biological specimen.</t>
  </si>
  <si>
    <t>Influenza A/B Antigen Measurement</t>
  </si>
  <si>
    <t>INFABRNA</t>
  </si>
  <si>
    <t>Influenza A/B RNA</t>
  </si>
  <si>
    <t>A measurement of the influenza A and/or B RNA in a biological specimen.</t>
  </si>
  <si>
    <t>Influenza A and/or B RNA Measurement</t>
  </si>
  <si>
    <t>INFAH1NC</t>
  </si>
  <si>
    <t>Influenza A H1 Nucleic Acid</t>
  </si>
  <si>
    <t>A measurement of the Influenza A virus subtype hemagglutinin (HA) 1 nucleic acid in an biological specimen.</t>
  </si>
  <si>
    <t>Influenza A H1 Nucleic Acid Measurement</t>
  </si>
  <si>
    <t>INFAH1RN</t>
  </si>
  <si>
    <t>Influenza A H1 RNA</t>
  </si>
  <si>
    <t>A measurement of the Influenza A virus subtype hemagglutinin (HA) 1 RNA in an biological specimen.</t>
  </si>
  <si>
    <t>Influenza A H1 RNA Measurement</t>
  </si>
  <si>
    <t>INFAH3NC</t>
  </si>
  <si>
    <t>Influenza A H3 Nucleic Acid</t>
  </si>
  <si>
    <t>A measurement of the Influenza A virus subtype hemagglutinin (HA) 3 nucleic acid in an biological specimen.</t>
  </si>
  <si>
    <t>Influenza A H3 Nucleic Acid Measurement</t>
  </si>
  <si>
    <t>INFAH3RN</t>
  </si>
  <si>
    <t>Influenza A H3 RNA</t>
  </si>
  <si>
    <t>A measurement of the Influenza A virus subtype hemagglutinin (HA) 3 RNA in an biological specimen.</t>
  </si>
  <si>
    <t>Influenza A H3 RNA Measurement</t>
  </si>
  <si>
    <t>INFANUAC</t>
  </si>
  <si>
    <t>Influenza A Nucleic Acid</t>
  </si>
  <si>
    <t>A measurement of the Influenza A virus nucleic acid in an biological specimen.</t>
  </si>
  <si>
    <t>Influenza A Nucleic Acid Measurement</t>
  </si>
  <si>
    <t>INFARNA</t>
  </si>
  <si>
    <t>Influenza A RNA</t>
  </si>
  <si>
    <t>A measurement of the Influenza A virus RNA in a biological specimen.</t>
  </si>
  <si>
    <t>Influenza A RNA Measurement</t>
  </si>
  <si>
    <t>INFB</t>
  </si>
  <si>
    <t>Influenza B Virus</t>
  </si>
  <si>
    <t>A measurement of the Influenza B virus an biological specimen.</t>
  </si>
  <si>
    <t>Influenza B Virus Measurement</t>
  </si>
  <si>
    <t>INFBAG</t>
  </si>
  <si>
    <t>Influenza B Antigen</t>
  </si>
  <si>
    <t>A measurement of the influenza B antigen in a biological specimen.</t>
  </si>
  <si>
    <t>Influenza B Antigen Measurement</t>
  </si>
  <si>
    <t>INFBNUAC</t>
  </si>
  <si>
    <t>Influenza B Nucleic Acid</t>
  </si>
  <si>
    <t>A measurement of the Influenza B virus nucleic acid in an biological specimen.</t>
  </si>
  <si>
    <t>Influenza B Nucleic Acid Measurement</t>
  </si>
  <si>
    <t>INFBRNA</t>
  </si>
  <si>
    <t>Influenza B RNA</t>
  </si>
  <si>
    <t>A measurement of the Influenza B virus RNA in a biological specimen.</t>
  </si>
  <si>
    <t>Influenza B RNA Measurement</t>
  </si>
  <si>
    <t>INFLTIND</t>
  </si>
  <si>
    <t>Infiltrates Indicator</t>
  </si>
  <si>
    <t>An indication as to whether infiltrates have occurred.</t>
  </si>
  <si>
    <t>INFOSCSS</t>
  </si>
  <si>
    <t>Information Source for Survival Status</t>
  </si>
  <si>
    <t>The person or authoritative source that provided the information on survival status.</t>
  </si>
  <si>
    <t>INFRTIND</t>
  </si>
  <si>
    <t>Infertility Indicator</t>
  </si>
  <si>
    <t>An indication as to whether the individual has experienced infertility.</t>
  </si>
  <si>
    <t>INHAERT</t>
  </si>
  <si>
    <t>Inhaled Aerosol Temperature</t>
  </si>
  <si>
    <t>The temperature of inhaled solid or liquid particles dispersed in a gas that is drawn into the body by breathing.</t>
  </si>
  <si>
    <t>INHIBINA</t>
  </si>
  <si>
    <t>Inhibin A</t>
  </si>
  <si>
    <t>A measurement of the inhibin A (a heterodimer of the Inhibin Subunit Alpha and Inhibin Subunit Beta A) in a biological specimen.</t>
  </si>
  <si>
    <t>Inhibin A Measurement</t>
  </si>
  <si>
    <t>INHIBINB</t>
  </si>
  <si>
    <t>Inhibin B</t>
  </si>
  <si>
    <t>A measurement of the inhibin B (a heterodimer of the Inhibin Subunit Alpha and Inhibin Subunit Beta B) in a biological specimen.</t>
  </si>
  <si>
    <t>Inhibin B Measurement</t>
  </si>
  <si>
    <t>INL1YIND</t>
  </si>
  <si>
    <t>Infant Less Than One Year Indicator</t>
  </si>
  <si>
    <t>An indication as to whether the subject is less than one year of age.</t>
  </si>
  <si>
    <t>INLCLR</t>
  </si>
  <si>
    <t>Inulin Clearance</t>
  </si>
  <si>
    <t>A measurement of the volume of serum or plasma that would be cleared of inulin by excretion of urine for a specified unit of time (e.g. one minute).</t>
  </si>
  <si>
    <t>INOSM</t>
  </si>
  <si>
    <t>Myo-Inositol</t>
  </si>
  <si>
    <t>mI; Myo-Inositol</t>
  </si>
  <si>
    <t>A measurement of the myo-inositol in a biological specimen.</t>
  </si>
  <si>
    <t>Myo-Inositol Measurement</t>
  </si>
  <si>
    <t>INOSMCTN</t>
  </si>
  <si>
    <t>Myo-Inositol/Creatine</t>
  </si>
  <si>
    <t>A relative measurement (ratio or percentage) of the myo-inositol to creatine in a biological specimen.</t>
  </si>
  <si>
    <t>Myo-inositol/Creatine Ratio</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</si>
  <si>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</si>
  <si>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</si>
  <si>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</si>
  <si>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</si>
  <si>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INRSTIND</t>
  </si>
  <si>
    <t>In-Stent Restenosis Indicator</t>
  </si>
  <si>
    <t>An indication as to whether there is re-narrowing of a stent implanted at a lesion site to treat a prior stenosis, to a diameter stenosis of greater than 50% within the stent.</t>
  </si>
  <si>
    <t>INSLNFR</t>
  </si>
  <si>
    <t>Insulin, Free</t>
  </si>
  <si>
    <t>A measurement of the free insulin in a biological specimen.</t>
  </si>
  <si>
    <t>Free Insulin Measurement</t>
  </si>
  <si>
    <t>INSULIN</t>
  </si>
  <si>
    <t>Insulin</t>
  </si>
  <si>
    <t>A measurement of the insulin in a biological specimen.</t>
  </si>
  <si>
    <t>Insulin Measurement</t>
  </si>
  <si>
    <t>INSULINI</t>
  </si>
  <si>
    <t>Insulin, Intact</t>
  </si>
  <si>
    <t>A measurement of the intact insulin in a biological specimen.</t>
  </si>
  <si>
    <t>Intact Insulin Measurement</t>
  </si>
  <si>
    <t>INSULINR</t>
  </si>
  <si>
    <t>Insulin Resistance</t>
  </si>
  <si>
    <t>A measurement of the insulin resistance (a cell's inability to respond to insulin) in a biological specimen.</t>
  </si>
  <si>
    <t>Insulin Resistance Measurement</t>
  </si>
  <si>
    <t>INSULINS</t>
  </si>
  <si>
    <t>Insulin Sensitivity</t>
  </si>
  <si>
    <t>A measurement of the insulin sensitivity (cells are stimulated by lower than normal insulin levels) in a biological specimen.</t>
  </si>
  <si>
    <t>Insulin Sensitivity Measurement</t>
  </si>
  <si>
    <t>INTDISTM</t>
  </si>
  <si>
    <t>Interslice Distance</t>
  </si>
  <si>
    <t>A measurement of the distance between slices within an image sequence, calculated by subtracting the nominal slice thickness from the couch increment.</t>
  </si>
  <si>
    <t>Interslice Distance Measurement</t>
  </si>
  <si>
    <t>INTLK1</t>
  </si>
  <si>
    <t>Interleukin 1</t>
  </si>
  <si>
    <t>A measurement of the interleukin 1 in a biological specimen.</t>
  </si>
  <si>
    <t>Interleukin 1 Measurement</t>
  </si>
  <si>
    <t>INTLK10</t>
  </si>
  <si>
    <t>Interleukin 10</t>
  </si>
  <si>
    <t>A measurement of the interleukin 10 in a biological specimen.</t>
  </si>
  <si>
    <t>Interleukin 10 Measurement</t>
  </si>
  <si>
    <t>INTLK11</t>
  </si>
  <si>
    <t>Interleukin 11</t>
  </si>
  <si>
    <t>A measurement of the interleukin 11 in a biological specimen.</t>
  </si>
  <si>
    <t>Interleukin 11 Measurement</t>
  </si>
  <si>
    <t>INTLK12</t>
  </si>
  <si>
    <t>Interleukin 12</t>
  </si>
  <si>
    <t>Interleukin 12; Interleukin 12 p70</t>
  </si>
  <si>
    <t>A measurement of the interleukin 12 in a biological specimen.</t>
  </si>
  <si>
    <t>Interleukin 12 Measurement</t>
  </si>
  <si>
    <t>INTLK12B</t>
  </si>
  <si>
    <t>Interleukin 12 Beta</t>
  </si>
  <si>
    <t>Interleukin 12 Beta; Interleukin 12 Beta Subunit; Interleukin 12 p40; Interleukin 12 p40 Subunit</t>
  </si>
  <si>
    <t>A measurement of p40 subunit of Interleukin 12 in a biological specimen.</t>
  </si>
  <si>
    <t>Interleukin 12 Beta Measurement</t>
  </si>
  <si>
    <t>INTLK13</t>
  </si>
  <si>
    <t>Interleukin 13</t>
  </si>
  <si>
    <t>A measurement of the interleukin 13 in a biological specimen.</t>
  </si>
  <si>
    <t>Interleukin 13 Measurement</t>
  </si>
  <si>
    <t>INTLK14</t>
  </si>
  <si>
    <t>Interleukin 14</t>
  </si>
  <si>
    <t>A measurement of the interleukin 14 in a biological specimen.</t>
  </si>
  <si>
    <t>Interleukin 14 Measurement</t>
  </si>
  <si>
    <t>INTLK15</t>
  </si>
  <si>
    <t>Interleukin 15</t>
  </si>
  <si>
    <t>A measurement of the interleukin 15 in a biological specimen.</t>
  </si>
  <si>
    <t>Interleukin 15 Measurement</t>
  </si>
  <si>
    <t>INTLK16</t>
  </si>
  <si>
    <t>Interleukin 16</t>
  </si>
  <si>
    <t>A measurement of the interleukin 16 in a biological specimen.</t>
  </si>
  <si>
    <t>Interleukin 16 Measurement</t>
  </si>
  <si>
    <t>INTLK17</t>
  </si>
  <si>
    <t>Interleukin 17</t>
  </si>
  <si>
    <t>IL-17A; Interleukin 17; Interleukin 17A</t>
  </si>
  <si>
    <t>A measurement of the interleukin 17 in a biological specimen.</t>
  </si>
  <si>
    <t>Interleukin 17 Measurement</t>
  </si>
  <si>
    <t>INTLK17C</t>
  </si>
  <si>
    <t>Interleukin 17C</t>
  </si>
  <si>
    <t>CX2; Cytokine CX2; IL-17C; Interleukin 17C</t>
  </si>
  <si>
    <t>A measurement of the interleukin 17C in a biological specimen.</t>
  </si>
  <si>
    <t>Interleukin 17C Measurement</t>
  </si>
  <si>
    <t>INTLK18</t>
  </si>
  <si>
    <t>Interleukin 18</t>
  </si>
  <si>
    <t>A measurement of the interleukin 18 in a biological specimen.</t>
  </si>
  <si>
    <t>Interleukin 18 Measurement</t>
  </si>
  <si>
    <t>INTLK19</t>
  </si>
  <si>
    <t>Interleukin 19</t>
  </si>
  <si>
    <t>A measurement of the interleukin 19 in a biological specimen.</t>
  </si>
  <si>
    <t>Interleukin 19 Measurement</t>
  </si>
  <si>
    <t>INTLK1A</t>
  </si>
  <si>
    <t>Interleukin 1 Alpha</t>
  </si>
  <si>
    <t>A measurement of interleukin 1 alpha in a biological specimen.</t>
  </si>
  <si>
    <t>Interleukin 1 Alpha Measurement</t>
  </si>
  <si>
    <t>INTLK1B</t>
  </si>
  <si>
    <t>Interleukin 1 Beta</t>
  </si>
  <si>
    <t>IL-1B; IL1Beta; Interleukin 1 Beta; Interleukin 1B</t>
  </si>
  <si>
    <t>A measurement of interleukin 1 beta in a biological specimen.</t>
  </si>
  <si>
    <t>Interleukin 1 Beta Measurement</t>
  </si>
  <si>
    <t>INTLK1RA</t>
  </si>
  <si>
    <t>Interleukin 1 Receptor Antagonist</t>
  </si>
  <si>
    <t>IL-1RA; Interleukin 1 Receptor Antagonist</t>
  </si>
  <si>
    <t>A measurement of the interleukin 1 receptor antagonist in a biological specimen.</t>
  </si>
  <si>
    <t>Interleukin 1 Receptor Antagonist Measurement</t>
  </si>
  <si>
    <t>INTLK2</t>
  </si>
  <si>
    <t>Interleukin 2</t>
  </si>
  <si>
    <t>A measurement of the interleukin 2 in a biological specimen.</t>
  </si>
  <si>
    <t>Interleukin 2 Measurement</t>
  </si>
  <si>
    <t>INTLK20</t>
  </si>
  <si>
    <t>Interleukin 20</t>
  </si>
  <si>
    <t>A measurement of the interleukin 20 in a biological specimen.</t>
  </si>
  <si>
    <t>Interleukin 20 Measurement</t>
  </si>
  <si>
    <t>INTLK21</t>
  </si>
  <si>
    <t>Interleukin 21</t>
  </si>
  <si>
    <t>A measurement of the interleukin 21 in a biological specimen.</t>
  </si>
  <si>
    <t>Interleukin 21 Measurement</t>
  </si>
  <si>
    <t>INTLK22</t>
  </si>
  <si>
    <t>Interleukin 22</t>
  </si>
  <si>
    <t>A measurement of the interleukin 22 in a biological specimen.</t>
  </si>
  <si>
    <t>Interleukin 22 Measurement</t>
  </si>
  <si>
    <t>INTLK23</t>
  </si>
  <si>
    <t>Interleukin 23</t>
  </si>
  <si>
    <t>Interleukin 23; Interleukin 23 p59</t>
  </si>
  <si>
    <t>A measurement of the interleukin 23 in a biological specimen.</t>
  </si>
  <si>
    <t>Interleukin 23 Measurement</t>
  </si>
  <si>
    <t>INTLK24</t>
  </si>
  <si>
    <t>Interleukin 24</t>
  </si>
  <si>
    <t>A measurement of the interleukin 24 in a biological specimen.</t>
  </si>
  <si>
    <t>Interleukin 24 Measurement</t>
  </si>
  <si>
    <t>INTLK25</t>
  </si>
  <si>
    <t>Interleukin 25</t>
  </si>
  <si>
    <t>A measurement of the interleukin 25 in a biological specimen.</t>
  </si>
  <si>
    <t>Interleukin 25 Measurement</t>
  </si>
  <si>
    <t>INTLK26</t>
  </si>
  <si>
    <t>Interleukin 26</t>
  </si>
  <si>
    <t>A measurement of the interleukin 26 in a biological specimen.</t>
  </si>
  <si>
    <t>Interleukin 26 Measurement</t>
  </si>
  <si>
    <t>INTLK27</t>
  </si>
  <si>
    <t>Interleukin 27</t>
  </si>
  <si>
    <t>A measurement of the interleukin 27 in a biological specimen.</t>
  </si>
  <si>
    <t>Interleukin 27 Measurement</t>
  </si>
  <si>
    <t>INTLK28</t>
  </si>
  <si>
    <t>Interleukin 28</t>
  </si>
  <si>
    <t>A measurement of the total interleukin 28 in a biological specimen.</t>
  </si>
  <si>
    <t>Interleukin 28 Measurement</t>
  </si>
  <si>
    <t>INTLK29</t>
  </si>
  <si>
    <t>Interleukin 29</t>
  </si>
  <si>
    <t>A measurement of the interleukin 29 in a biological specimen.</t>
  </si>
  <si>
    <t>Interleukin 29 Measurement</t>
  </si>
  <si>
    <t>INTLK3</t>
  </si>
  <si>
    <t>Interleukin 3</t>
  </si>
  <si>
    <t>A measurement of the interleukin 3 in a biological specimen.</t>
  </si>
  <si>
    <t>Interleukin 3 Measurement</t>
  </si>
  <si>
    <t>INTLK30</t>
  </si>
  <si>
    <t>Interleukin 30</t>
  </si>
  <si>
    <t>A measurement of the interleukin 30 in a biological specimen.</t>
  </si>
  <si>
    <t>Interleukin 30 Measurement</t>
  </si>
  <si>
    <t>INTLK31</t>
  </si>
  <si>
    <t>Interleukin 31</t>
  </si>
  <si>
    <t>A measurement of the interleukin 31 in a biological specimen.</t>
  </si>
  <si>
    <t>Interleukin 31 Measurement</t>
  </si>
  <si>
    <t>INTLK32</t>
  </si>
  <si>
    <t>Interleukin 32</t>
  </si>
  <si>
    <t>A measurement of the interleukin 32 in a biological specimen.</t>
  </si>
  <si>
    <t>Interleukin 32 Measurement</t>
  </si>
  <si>
    <t>INTLK33</t>
  </si>
  <si>
    <t>Interleukin 33</t>
  </si>
  <si>
    <t>A measurement of the interleukin 33 in a biological specimen.</t>
  </si>
  <si>
    <t>Interleukin 33 Measurement</t>
  </si>
  <si>
    <t>INTLK4</t>
  </si>
  <si>
    <t>Interleukin 4</t>
  </si>
  <si>
    <t>A measurement of the interleukin 4 in a biological specimen.</t>
  </si>
  <si>
    <t>Interleukin 4 Measurement</t>
  </si>
  <si>
    <t>INTLK5</t>
  </si>
  <si>
    <t>Interleukin 5</t>
  </si>
  <si>
    <t>A measurement of the interleukin 5 in a biological specimen.</t>
  </si>
  <si>
    <t>Interleukin 5 Measurement</t>
  </si>
  <si>
    <t>INTLK6</t>
  </si>
  <si>
    <t>Interleukin 6</t>
  </si>
  <si>
    <t>A measurement of the interleukin 6 in a biological specimen.</t>
  </si>
  <si>
    <t>Interleukin 6 Measurement</t>
  </si>
  <si>
    <t>INTLK7</t>
  </si>
  <si>
    <t>Interleukin 7</t>
  </si>
  <si>
    <t>A measurement of the interleukin 7 in a biological specimen.</t>
  </si>
  <si>
    <t>Interleukin 7 Measurement</t>
  </si>
  <si>
    <t>INTLK8</t>
  </si>
  <si>
    <t>Interleukin 8</t>
  </si>
  <si>
    <t>A measurement of the interleukin 8 in a biological specimen.</t>
  </si>
  <si>
    <t>Interleukin 8 Measurement</t>
  </si>
  <si>
    <t>INTLK9</t>
  </si>
  <si>
    <t>Interleukin 9</t>
  </si>
  <si>
    <t>A measurement of the interleukin 9 in a biological specimen.</t>
  </si>
  <si>
    <t>Interleukin 9 Measurement</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</si>
  <si>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</si>
  <si>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</si>
  <si>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</si>
  <si>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INULIN</t>
  </si>
  <si>
    <t>Inulin</t>
  </si>
  <si>
    <t>A measurement of the inulin in a biological specimen.</t>
  </si>
  <si>
    <t>Inulin Measurement</t>
  </si>
  <si>
    <t>INVRTIME</t>
  </si>
  <si>
    <t>Inversion Time</t>
  </si>
  <si>
    <t>The time between the inversion and excitation pulses in an inversion recovery pulse sequence.</t>
  </si>
  <si>
    <t>IODINE</t>
  </si>
  <si>
    <t>Iodine</t>
  </si>
  <si>
    <t>A measurement of the total iodine in a biological specimen.</t>
  </si>
  <si>
    <t>Iodine Measurement</t>
  </si>
  <si>
    <t>IODINEFR</t>
  </si>
  <si>
    <t>Iodine, Free</t>
  </si>
  <si>
    <t>A measurement of the free (unbound) iodine in a biological specimen.</t>
  </si>
  <si>
    <t>Free Iodine Measurement</t>
  </si>
  <si>
    <t>IOHEXCLR</t>
  </si>
  <si>
    <t>Iohexol Clearance</t>
  </si>
  <si>
    <t>A measurement of the volume of serum or plasma that would be cleared of Iohexol by excretion of urine for a specified unit of time (e.g. one minute).</t>
  </si>
  <si>
    <t>IOHEXOL</t>
  </si>
  <si>
    <t>Iohexol</t>
  </si>
  <si>
    <t>A measurement of iohexol in a biological specimen.</t>
  </si>
  <si>
    <t>Iohexol Measurement</t>
  </si>
  <si>
    <t>IOP</t>
  </si>
  <si>
    <t>Intraocular Pressure</t>
  </si>
  <si>
    <t>The fluid pressure within the eye.</t>
  </si>
  <si>
    <t>IORFAREA</t>
  </si>
  <si>
    <t>Internal Orifice Area</t>
  </si>
  <si>
    <t>The extent of a 2-dimensional surface enclosed within the boundary of an internal orifice.</t>
  </si>
  <si>
    <t>IOTCLR</t>
  </si>
  <si>
    <t>Iothalamate Clearance</t>
  </si>
  <si>
    <t>A measurement of the volume of serum or plasma that would be cleared of iothalamate by excretion of urine for a specified unit of time (e.g. one minute).</t>
  </si>
  <si>
    <t>IOTCLRBS</t>
  </si>
  <si>
    <t>Iothalamate Clearance Adjusted for BSA</t>
  </si>
  <si>
    <t>A measurement of the volume of serum or plasma that would be cleared of iothalamate by excretion of urine for a specified unit of time (e.g. one minute), adjusted for body surface area.</t>
  </si>
  <si>
    <t>IRF</t>
  </si>
  <si>
    <t>Immature Reticulocyte Fraction</t>
  </si>
  <si>
    <t>A measurement of the immature reticulocyte fraction present in a biological specimen.</t>
  </si>
  <si>
    <t>Immature Reticulocyte Fraction Measurement</t>
  </si>
  <si>
    <t>IRON</t>
  </si>
  <si>
    <t>Iron</t>
  </si>
  <si>
    <t>FE; Iron</t>
  </si>
  <si>
    <t>A measurement of the iron in a biological specimen.</t>
  </si>
  <si>
    <t>Iron Measurement</t>
  </si>
  <si>
    <t>IRONEXR</t>
  </si>
  <si>
    <t>Iron Excretion Rate</t>
  </si>
  <si>
    <t>A measurement of the amount of iron being excreted in a biological specimen over a defined amount of time (e.g. one hour).</t>
  </si>
  <si>
    <t>IRRMPIND</t>
  </si>
  <si>
    <t>Irregular Menstrual Periods Indicator</t>
  </si>
  <si>
    <t>An indication as to whether the individual has experienced irregular menstrual periods.</t>
  </si>
  <si>
    <t>IRV</t>
  </si>
  <si>
    <t>Inspiratory Reserve Volume</t>
  </si>
  <si>
    <t>The maximum volume of air a subject can inhale into the lungs after a tidal inhalation.</t>
  </si>
  <si>
    <t>IRVPP</t>
  </si>
  <si>
    <t>Percent Predicted IRV</t>
  </si>
  <si>
    <t>The maximum volume of air a subject can inhale into the lungs after a tidal inhalation as a proportion of the predicted normal value.</t>
  </si>
  <si>
    <t>Percent Predicted Inspiratory Reserve Volume</t>
  </si>
  <si>
    <t>ISCDIND</t>
  </si>
  <si>
    <t>Ischemic Discomfort Indicator</t>
  </si>
  <si>
    <t>An indicator as to whether the subject has symptoms of ischemic discomfort.</t>
  </si>
  <si>
    <t>ISCETYP</t>
  </si>
  <si>
    <t>Ischemic Evidence Type</t>
  </si>
  <si>
    <t>Categorization of the type of objective evidence of new or worsening ischemia.</t>
  </si>
  <si>
    <t>ISG15</t>
  </si>
  <si>
    <t>Ubiquitin-Like Protein ISG15</t>
  </si>
  <si>
    <t>ISG15 Ubiquitin-Like Modifier; Ubiquitin-Like Protein ISG15</t>
  </si>
  <si>
    <t>A measurement of the ubiquitin-like protein ISG15 in a biological specimen.</t>
  </si>
  <si>
    <t>Ubiquitin-Like Protein ISG15 Measurement</t>
  </si>
  <si>
    <t>ISHMYOP</t>
  </si>
  <si>
    <t>Ischemic Myocardium Percentage</t>
  </si>
  <si>
    <t>The percentage of myocardial tissue which exhibits characteristics of inadequate blood flow (ischemia).</t>
  </si>
  <si>
    <t>ISOPRENE</t>
  </si>
  <si>
    <t>Isoprene</t>
  </si>
  <si>
    <t>A measurement of the isoprene in a specimen.</t>
  </si>
  <si>
    <t>Isoprene Measurement</t>
  </si>
  <si>
    <t>ISOPRF2</t>
  </si>
  <si>
    <t>F2-Isoprostane</t>
  </si>
  <si>
    <t>A measurement of the F2-isoprostane in a biological specimen.</t>
  </si>
  <si>
    <t>F2 Isoprostane Measurement</t>
  </si>
  <si>
    <t>ISXDXIND</t>
  </si>
  <si>
    <t>Intersex Diagnosis Indicator</t>
  </si>
  <si>
    <t>An indication as to whether the participant or subject has been diagnosed as intersex.</t>
  </si>
  <si>
    <t>ITLN1</t>
  </si>
  <si>
    <t>Intelectin-1</t>
  </si>
  <si>
    <t>Endothelial Lectin HL-1; Galactofuranose-Binding Lectin; Intelectin-1; Intestinal Lactoferrin Receptor; ITLN-1; Omentin</t>
  </si>
  <si>
    <t>A measurement of the intelectin-1 in a biological specimen.</t>
  </si>
  <si>
    <t>Intelectin-1 Measurement</t>
  </si>
  <si>
    <t>IVC</t>
  </si>
  <si>
    <t>Inspiratory Vital Capacity</t>
  </si>
  <si>
    <t>The maximum volume of air an individual can inhale from the point of maximal exhalation.</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</si>
  <si>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</si>
  <si>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</si>
  <si>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</si>
  <si>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</si>
  <si>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</si>
  <si>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IVCPP</t>
  </si>
  <si>
    <t>Percent Predicted IVC</t>
  </si>
  <si>
    <t>The maximum volume of air an individual can inhale from the point of maximal exhalation as a percentage of the predicted normal value.</t>
  </si>
  <si>
    <t>Percent Predicted Inspiratory Vital Capacity</t>
  </si>
  <si>
    <t>IVTIACD</t>
  </si>
  <si>
    <t>Intraventricular-Intraatrial Conduction</t>
  </si>
  <si>
    <t>An electrocardiographic assessment of intraventricular and intra-atrial conduction.</t>
  </si>
  <si>
    <t>Intraventricular and Intraatrial Conduction ECG Assessment</t>
  </si>
  <si>
    <t>JCV</t>
  </si>
  <si>
    <t>JC Virus</t>
  </si>
  <si>
    <t>JC Polyomavirus; JC Virus; John Cunningham Virus</t>
  </si>
  <si>
    <t>A measurement of the JC virus in a biological specimen.</t>
  </si>
  <si>
    <t>JC Virus Measurement</t>
  </si>
  <si>
    <t>JCVDNA</t>
  </si>
  <si>
    <t>JC Virus DNA</t>
  </si>
  <si>
    <t>JC Polyomavirus DNA; JC Virus DNA; JCV DNA; John Cunningham Virus DNA</t>
  </si>
  <si>
    <t>A measurement of the JC virus DNA in a biological specimen.</t>
  </si>
  <si>
    <t>JC Virus DNA Measurement</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</si>
  <si>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</si>
  <si>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</si>
  <si>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</si>
  <si>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</si>
  <si>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</si>
  <si>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</si>
  <si>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</si>
  <si>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</si>
  <si>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JTCBSB</t>
  </si>
  <si>
    <t>JTcB Interval, Single Beat</t>
  </si>
  <si>
    <t>A JT single beat interval that is corrected for heart rate using Bazett's formula, based on a QT interval measured on a single beat utilizing one or more ECG leads.</t>
  </si>
  <si>
    <t>Single Beat JTCB Interval</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</si>
  <si>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</si>
  <si>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</si>
  <si>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</si>
  <si>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</si>
  <si>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JTCFSB</t>
  </si>
  <si>
    <t>JTcF Interval, Single Beat</t>
  </si>
  <si>
    <t>A JT single beat interval that is corrected for heart rate using Fridericia's formula, based on a QT interval measured on a single beat utilizing one or more ECG leads.</t>
  </si>
  <si>
    <t>Single Beat JTCF Interval</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</si>
  <si>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</si>
  <si>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</si>
  <si>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</si>
  <si>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</si>
  <si>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</si>
  <si>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</si>
  <si>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</si>
  <si>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</si>
  <si>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</si>
  <si>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</si>
  <si>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</si>
  <si>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</si>
  <si>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JTPSB</t>
  </si>
  <si>
    <t>J-Tpeak Interval, Single Beat</t>
  </si>
  <si>
    <t>An electrocardiographic interval measured from the J point to the peak of the T wave of a single beat utilizing one or more leads.</t>
  </si>
  <si>
    <t>Single Beat J-T Peak Interval</t>
  </si>
  <si>
    <t>JTSB</t>
  </si>
  <si>
    <t>JT Interval, Single Beat</t>
  </si>
  <si>
    <t>An electrocardiographic interval measured from the J point to the offset of the T wave of a single beat utilizing one or more leads.</t>
  </si>
  <si>
    <t>Single Beat JT Interval</t>
  </si>
  <si>
    <t>JWH018</t>
  </si>
  <si>
    <t>JWH-018</t>
  </si>
  <si>
    <t>JWH-018; JWH018</t>
  </si>
  <si>
    <t>A measurement of the synthetic cannabinoid JWH-018 in a biological specimen.</t>
  </si>
  <si>
    <t>JWH-018 Measurement</t>
  </si>
  <si>
    <t>JWH073</t>
  </si>
  <si>
    <t>JWH-073</t>
  </si>
  <si>
    <t>JWH-073; JWH073</t>
  </si>
  <si>
    <t>A measurement of the synthetic cannabinoid JWH-073 in a biological specimen.</t>
  </si>
  <si>
    <t>JWH-073 Measurement</t>
  </si>
  <si>
    <t>JWH081</t>
  </si>
  <si>
    <t>JWH-081</t>
  </si>
  <si>
    <t>JWH-081; JWH081</t>
  </si>
  <si>
    <t>A measurement of the synthetic cannabinoid JWH-081 in a biological specimen.</t>
  </si>
  <si>
    <t>JWH-081 Measurement</t>
  </si>
  <si>
    <t>JWH122</t>
  </si>
  <si>
    <t>JWH-122</t>
  </si>
  <si>
    <t>JWH-122; JWH122</t>
  </si>
  <si>
    <t>A measurement of the synthetic cannabinoid JWH-122 in a biological specimen.</t>
  </si>
  <si>
    <t>JWH-122 Measurement</t>
  </si>
  <si>
    <t>JWH200</t>
  </si>
  <si>
    <t>JWH-200</t>
  </si>
  <si>
    <t>JWH-200; JWH200</t>
  </si>
  <si>
    <t>A measurement of the synthetic cannabinoid JWH-200 in a biological specimen.</t>
  </si>
  <si>
    <t>JWH-200 Measurement</t>
  </si>
  <si>
    <t>JWH250</t>
  </si>
  <si>
    <t>JWH-250</t>
  </si>
  <si>
    <t>JWH-250; JWH250</t>
  </si>
  <si>
    <t>A measurement of the synthetic cannabinoid JWH-250 in a biological specimen.</t>
  </si>
  <si>
    <t>JWH-250 Measurement</t>
  </si>
  <si>
    <t>JWH398</t>
  </si>
  <si>
    <t>JWH-398</t>
  </si>
  <si>
    <t>JWH-398; JWH398</t>
  </si>
  <si>
    <t>A measurement of the synthetic cannabinoid JWH-398 in a biological specimen.</t>
  </si>
  <si>
    <t>JWH-398 Measurement</t>
  </si>
  <si>
    <t>K</t>
  </si>
  <si>
    <t>Potassium</t>
  </si>
  <si>
    <t>A measurement of the potassium in a biological specimen.</t>
  </si>
  <si>
    <t>Potassium Measurement</t>
  </si>
  <si>
    <t>KAE</t>
  </si>
  <si>
    <t>Klebsiella aerogenes</t>
  </si>
  <si>
    <t>A measurement of the Klebsiella aerogenes in a biological specimen.</t>
  </si>
  <si>
    <t>Klebsiella aerogenes Measurement</t>
  </si>
  <si>
    <t>KAEDNA</t>
  </si>
  <si>
    <t>Klebsiella aerogenes DNA</t>
  </si>
  <si>
    <t>A measurement of the Klebsiella aerogenes DNA in a biological specimen.</t>
  </si>
  <si>
    <t>Klebsiella aerogenes DNA Measurement</t>
  </si>
  <si>
    <t>KAPPALC</t>
  </si>
  <si>
    <t>Kappa Light Chain</t>
  </si>
  <si>
    <t>A measurement of the total kappa light chains in a biological specimen.</t>
  </si>
  <si>
    <t>Kappa Light Chain Measurement</t>
  </si>
  <si>
    <t>KBEMIDON</t>
  </si>
  <si>
    <t>Ketobemidone</t>
  </si>
  <si>
    <t>A measurement of the ketobemidone in a biological specimen.</t>
  </si>
  <si>
    <t>Ketobemidone Measurement</t>
  </si>
  <si>
    <t>KCLR</t>
  </si>
  <si>
    <t>Potassium Clearance</t>
  </si>
  <si>
    <t>A measurement of the volume of serum or plasma that would be cleared of potassium by excretion of urine for a specified unit of time (e.g. one minute).</t>
  </si>
  <si>
    <t>Potassium Clearance Measurement</t>
  </si>
  <si>
    <t>KCREAT</t>
  </si>
  <si>
    <t>Potassium/Creatinine</t>
  </si>
  <si>
    <t>A relative measurement (ratio or percentage) of the potassium to creatinine in a biological specimen.</t>
  </si>
  <si>
    <t>Potassium to Creatinine Ratio Measurement</t>
  </si>
  <si>
    <t>KERAT</t>
  </si>
  <si>
    <t>Keratocyte</t>
  </si>
  <si>
    <t>A measurement of the keratocytes in a biological specimen.</t>
  </si>
  <si>
    <t>Keratocyte Count</t>
  </si>
  <si>
    <t>KETAMINE</t>
  </si>
  <si>
    <t>Ketamine</t>
  </si>
  <si>
    <t>A measurement of the ketamine in a biological specimen.</t>
  </si>
  <si>
    <t>Ketamine Measurement</t>
  </si>
  <si>
    <t>KETONEBD</t>
  </si>
  <si>
    <t>Ketone Bodies</t>
  </si>
  <si>
    <t>A measurement of the ketone bodies (acetone, acetoacetic acid, beta-hydroxybutyric acid, beta-ketopentanoate and beta-hydroxypentanoate) in a biological specimen.</t>
  </si>
  <si>
    <t>Ketone Body Measurement</t>
  </si>
  <si>
    <t>KETONES</t>
  </si>
  <si>
    <t>Ketones</t>
  </si>
  <si>
    <t>A measurement of the ketones in a biological specimen.</t>
  </si>
  <si>
    <t>Ketone Measurement</t>
  </si>
  <si>
    <t>KEXR</t>
  </si>
  <si>
    <t>Potassium Excretion Rate</t>
  </si>
  <si>
    <t>A measurement of the amount of potassium being excreted in a biological specimen over a defined amount of time (e.g. one hour).</t>
  </si>
  <si>
    <t>KI67</t>
  </si>
  <si>
    <t>Ki-67</t>
  </si>
  <si>
    <t>Ki-67; KI67; MKI67; pKi-67</t>
  </si>
  <si>
    <t>A measurement of the Ki-67 protein in a biological specimen.</t>
  </si>
  <si>
    <t>Ki67 Measurement</t>
  </si>
  <si>
    <t>KI67X</t>
  </si>
  <si>
    <t>Ki67 Expression</t>
  </si>
  <si>
    <t>A measurement of cellular Ki67 expression in a biological specimen.</t>
  </si>
  <si>
    <t>Ki67 Cell Surface Expression Measurement</t>
  </si>
  <si>
    <t>KIM1</t>
  </si>
  <si>
    <t>Kidney Injury Molecule-1</t>
  </si>
  <si>
    <t>Hepatitis A Virus Cellular Receptor 1; Kidney Injury Molecule-1; KIM-1</t>
  </si>
  <si>
    <t>A measurement of the kidney injury molecule-1 (Kim-1) in a biological specimen.</t>
  </si>
  <si>
    <t>Kidney Injury Molecule-1 Measurement</t>
  </si>
  <si>
    <t>KIM1CRT</t>
  </si>
  <si>
    <t>Kidney Injury Molecule-1/Creatinine</t>
  </si>
  <si>
    <t>A relative measurement (ratio or percentage) of the kidney injury molecule-1 to creatinine in a biological specimen.</t>
  </si>
  <si>
    <t>Kidney Injury Molecule-1/Creatinine Ratio Measurement</t>
  </si>
  <si>
    <t>KIM1EXR</t>
  </si>
  <si>
    <t>Kidney Injury Molecule-1 Excretion Rate</t>
  </si>
  <si>
    <t>A measurement of the amount of kidney injury molecule-1 being excreted in a biological specimen over a defined amount of time (e.g. one hour).</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</si>
  <si>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</si>
  <si>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</si>
  <si>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</si>
  <si>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</si>
  <si>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</si>
  <si>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KL6</t>
  </si>
  <si>
    <t>Krebs von den Lungen-6</t>
  </si>
  <si>
    <t>KL-6; Krebs von den Lungen-6 Antigen</t>
  </si>
  <si>
    <t>A measurement of the Krebs von den Lungen-6 in a biological specimen.</t>
  </si>
  <si>
    <t>Krebs von den Lungen-6 Measurement</t>
  </si>
  <si>
    <t>KLCFR</t>
  </si>
  <si>
    <t>Kappa Light Chain, Free</t>
  </si>
  <si>
    <t>Bence-Jones, Kappa; Kappa Light Chain, Free</t>
  </si>
  <si>
    <t>A measurement of the free kappa light chain in a biological specimen.</t>
  </si>
  <si>
    <t>Free Kappa Light Chain Measurement</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</si>
  <si>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</si>
  <si>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</si>
  <si>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</si>
  <si>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</si>
  <si>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</si>
  <si>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</si>
  <si>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</si>
  <si>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</si>
  <si>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</si>
  <si>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KLEBSIEL</t>
  </si>
  <si>
    <t>Klebsiella</t>
  </si>
  <si>
    <t>A measurement of the organisms that are not assigned to the species level but are assigned to the Klebsiella genus level in a biological specimen.</t>
  </si>
  <si>
    <t>Klebsiella Measurement</t>
  </si>
  <si>
    <t>KLK2</t>
  </si>
  <si>
    <t>Kallikrein-2</t>
  </si>
  <si>
    <t>A measurement of the kallikrein-2 in a biological specimen.</t>
  </si>
  <si>
    <t>Kallikrein-2 Measurement</t>
  </si>
  <si>
    <t>KLK5</t>
  </si>
  <si>
    <t>Kallikrein-5</t>
  </si>
  <si>
    <t>Kallikrein Related Peptidase 5; Kallikrein-5; Kallikrein-Like Protein 2; KLK-L2</t>
  </si>
  <si>
    <t>A measurement of the kallikrein-5 in a biological specimen.</t>
  </si>
  <si>
    <t>Kallikrein-5 Measurement</t>
  </si>
  <si>
    <t>KLK7</t>
  </si>
  <si>
    <t>Kallikrein-7</t>
  </si>
  <si>
    <t>Kallikrein Related Peptidase 7; Kallikrein-7; Serine Protease 6</t>
  </si>
  <si>
    <t>A measurement of the kallikrein-7 in a biological specimen.</t>
  </si>
  <si>
    <t>Kallikrein-7 Measurement</t>
  </si>
  <si>
    <t>KLOTHO</t>
  </si>
  <si>
    <t>Klotho</t>
  </si>
  <si>
    <t>A measurement of the total klotho protein in a biological specimen.</t>
  </si>
  <si>
    <t>Klotho Protein Measurement</t>
  </si>
  <si>
    <t>KLRG1X</t>
  </si>
  <si>
    <t>KLRG1 Expression</t>
  </si>
  <si>
    <t>A measurement of cellular KLRG1 expression in a biological specimen.</t>
  </si>
  <si>
    <t>KLRG1 Expression Measurement</t>
  </si>
  <si>
    <t>KNEEHEEL</t>
  </si>
  <si>
    <t>Knee to Heel Length</t>
  </si>
  <si>
    <t>A measurement of the length of the lower leg from the top of the knee to the bottom of the heel. This measurement may be taken with a knemometer or calipers. (NCI)</t>
  </si>
  <si>
    <t>Knee to Heel Length Measurement</t>
  </si>
  <si>
    <t>KOX</t>
  </si>
  <si>
    <t>Klebsiella oxytoca</t>
  </si>
  <si>
    <t>A measurement of the Klebsiella oxytoca in a biological specimen.</t>
  </si>
  <si>
    <t>Klebsiella oxytoca Measurement</t>
  </si>
  <si>
    <t>KOXDNA</t>
  </si>
  <si>
    <t>Klebsiella oxytoca DNA</t>
  </si>
  <si>
    <t>A measurement of the Klebsiella oxytoca DNA in a biological specimen.</t>
  </si>
  <si>
    <t>Klebsiella oxytoca DNA Measurement</t>
  </si>
  <si>
    <t>KPC</t>
  </si>
  <si>
    <t>Kappa+ Plasma Cells</t>
  </si>
  <si>
    <t>Kappa+ PC; Kappa+ Plasma Cells</t>
  </si>
  <si>
    <t>A measurement of the kappa+ plasma cells in a biological specimen.</t>
  </si>
  <si>
    <t>Kappa Positive Plasma Cell Count</t>
  </si>
  <si>
    <t>KPCLPC</t>
  </si>
  <si>
    <t>Kappa+ PC/Lambda+ PC</t>
  </si>
  <si>
    <t>Kappa+ PC/Lambda+ PC; Kappa+ Plasma Cells/Lambda+ Plasma Cells</t>
  </si>
  <si>
    <t>A relative measurement (ratio) of the kappa+ plasma cells to lambda+ plasma cells in a biological specimen.</t>
  </si>
  <si>
    <t>Kappa Positive Plasma Cell to Lambda Positive Plasma Cell Ratio Measurement</t>
  </si>
  <si>
    <t>KPN</t>
  </si>
  <si>
    <t>Klebsiella pneumoniae</t>
  </si>
  <si>
    <t>A measurement of the Klebsiella pneumoniae in a biological specimen.</t>
  </si>
  <si>
    <t>Klebsiella pneumoniae Measurement</t>
  </si>
  <si>
    <t>KPNDNA</t>
  </si>
  <si>
    <t>Klebsiella pneumoniae DNA</t>
  </si>
  <si>
    <t>A measurement of the Klebsiella pneumoniae DNA in a biological specimen.</t>
  </si>
  <si>
    <t>Klebsiella pneumoniae DNA Measurement</t>
  </si>
  <si>
    <t>KRCYMG</t>
  </si>
  <si>
    <t>Megakaryocytes</t>
  </si>
  <si>
    <t>A measurement of the megakaryocytes per unit of a biological specimen.</t>
  </si>
  <si>
    <t>Megakaryocyte Count</t>
  </si>
  <si>
    <t>KRCYMGCE</t>
  </si>
  <si>
    <t>Megakaryocytes/Total Cells</t>
  </si>
  <si>
    <t>A relative measurement (ratio or percentage) of the megakaryocytes to total cells in a biological specimen (for example a bone marrow specimen).</t>
  </si>
  <si>
    <t>Megakaryocyte to Total Cell Ratio Measurement</t>
  </si>
  <si>
    <t>KRCYMGLE</t>
  </si>
  <si>
    <t>Megakaryocytes/Leukocytes</t>
  </si>
  <si>
    <t>A relative measurement (ratio or percentage) of the megakaryocytes to leukocytes in a biological specimen.</t>
  </si>
  <si>
    <t>Megakaryocytes to Leukocytes Ratio Measurement</t>
  </si>
  <si>
    <t>KTANST11</t>
  </si>
  <si>
    <t>11-Ketoandrosterone</t>
  </si>
  <si>
    <t>A measurement of the 11-ketoandrosterone in a biological specimen.</t>
  </si>
  <si>
    <t>11-Ketoandrosterone Measurement</t>
  </si>
  <si>
    <t>KTBDEXR</t>
  </si>
  <si>
    <t>Ketone Bodies Excretion Rate</t>
  </si>
  <si>
    <t>A measurement of the amount of ketone bodies being excreted in a biological specimen over a defined period of time (e.g. one hour).</t>
  </si>
  <si>
    <t>Ketone Bodies Excretion Rate Measurement</t>
  </si>
  <si>
    <t>KTETCL11</t>
  </si>
  <si>
    <t>11-Ketoetiocholanolone</t>
  </si>
  <si>
    <t>A measurement of the 11-ketoetiocholanolone in a biological specimen.</t>
  </si>
  <si>
    <t>11-Ketoetiocholanolone Measurement</t>
  </si>
  <si>
    <t>KTGSTR17</t>
  </si>
  <si>
    <t>17-Ketogenic steroids</t>
  </si>
  <si>
    <t>A measurement of the total 17-ketogenic steroids in a biological specimen.</t>
  </si>
  <si>
    <t>17-Ketogenic Steroid Measurement</t>
  </si>
  <si>
    <t>KTILE</t>
  </si>
  <si>
    <t>Ketoisoleucine</t>
  </si>
  <si>
    <t>A measurement of the ketoisoleucine in a biological specimen.</t>
  </si>
  <si>
    <t>Ketoisoleucine Measurement</t>
  </si>
  <si>
    <t>KTLEU</t>
  </si>
  <si>
    <t>Ketoleucine</t>
  </si>
  <si>
    <t>A measurement of the ketoleucine in a biological specimen.</t>
  </si>
  <si>
    <t>Ketoleucine Measurement</t>
  </si>
  <si>
    <t>KTSTR17</t>
  </si>
  <si>
    <t>17-Ketosteroids</t>
  </si>
  <si>
    <t>A measurement of the total 17-ketosteroids in a biological specimen.</t>
  </si>
  <si>
    <t>17-Ketosteroid Measurement</t>
  </si>
  <si>
    <t>KTVAL</t>
  </si>
  <si>
    <t>Ketovaline</t>
  </si>
  <si>
    <t>A measurement of the ketovaline in a biological specimen.</t>
  </si>
  <si>
    <t>Ketovaline Measurement</t>
  </si>
  <si>
    <t>KURLOFCE</t>
  </si>
  <si>
    <t>Kurloff Cells</t>
  </si>
  <si>
    <t>A measurement of the large secretory granule-containing immune cells in a biological specimen taken from members of certain genera of the Caviidae family.</t>
  </si>
  <si>
    <t>Kurloff Cells Measurement</t>
  </si>
  <si>
    <t>KYNURNN</t>
  </si>
  <si>
    <t>Kynurenine</t>
  </si>
  <si>
    <t>A measurement of the kynurenine in a biological specimen.</t>
  </si>
  <si>
    <t>Kynurenine Measurement</t>
  </si>
  <si>
    <t>LACCTN</t>
  </si>
  <si>
    <t>Lactate/Creatine</t>
  </si>
  <si>
    <t>Lactate/Creatine; Lactic Acid/Creatine</t>
  </si>
  <si>
    <t>A relative measurement (ratio or percentage) of the lactate to creatine in a biological specimen.</t>
  </si>
  <si>
    <t>Lactate to Creatine Ratio Measurement</t>
  </si>
  <si>
    <t>LACOSMD</t>
  </si>
  <si>
    <t>Lacosamide</t>
  </si>
  <si>
    <t>A measurement of the lacosamide in a biological specimen.</t>
  </si>
  <si>
    <t>Lacosamide Measurement</t>
  </si>
  <si>
    <t>LACTICAC</t>
  </si>
  <si>
    <t>Lactic Acid</t>
  </si>
  <si>
    <t>2-hydroxypropanoic acid; Lactate; Lactic Acid</t>
  </si>
  <si>
    <t>A measurement of the lactic acid in a biological specimen.</t>
  </si>
  <si>
    <t>Lactic Acid Measurement</t>
  </si>
  <si>
    <t>LACTOSE</t>
  </si>
  <si>
    <t>Lactose</t>
  </si>
  <si>
    <t>A measurement of the lactose in a biological specimen.</t>
  </si>
  <si>
    <t>Lactose Measurement</t>
  </si>
  <si>
    <t>LACTULOS</t>
  </si>
  <si>
    <t>Lactulose</t>
  </si>
  <si>
    <t>A measurement of the lactulose in a biological specimen.</t>
  </si>
  <si>
    <t>Lactulose Measurement</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</si>
  <si>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</si>
  <si>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</si>
  <si>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</si>
  <si>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</si>
  <si>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</si>
  <si>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LAM</t>
  </si>
  <si>
    <t>Lipoarabinomannan</t>
  </si>
  <si>
    <t>A measurement of the lipoarabinomannan in a biological specimen.</t>
  </si>
  <si>
    <t>Lipoarabinomannan Measurement</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</si>
  <si>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</si>
  <si>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</si>
  <si>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</si>
  <si>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</si>
  <si>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</si>
  <si>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</si>
  <si>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</si>
  <si>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</si>
  <si>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</si>
  <si>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</si>
  <si>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LAPCOMPN</t>
  </si>
  <si>
    <t>Number of Laps Completed</t>
  </si>
  <si>
    <t>The number of laps completed around a course or circuit.</t>
  </si>
  <si>
    <t>LAPOB</t>
  </si>
  <si>
    <t>LDL Apolipoprotein B</t>
  </si>
  <si>
    <t>A measurement of the apolipoprotein B in the low density lipoprotein fraction of a biological specimen.</t>
  </si>
  <si>
    <t>LDL Fraction Apoliprotein B Measurement</t>
  </si>
  <si>
    <t>LBM</t>
  </si>
  <si>
    <t>Lean Body Mass</t>
  </si>
  <si>
    <t>The weight of all organs and tissue in an individual less the weight of the individual's body fat.</t>
  </si>
  <si>
    <t>LBMTBMR</t>
  </si>
  <si>
    <t>Lean Body Mass to Total Body Mass Ratio</t>
  </si>
  <si>
    <t>The proportion of an individual's lean body mass to his total body weight. Lean body mass is calculated by subtracting body fat from total body weight.</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</si>
  <si>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</si>
  <si>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</si>
  <si>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</si>
  <si>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</si>
  <si>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</si>
  <si>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LCHLCM</t>
  </si>
  <si>
    <t>Lithocholate Compounds</t>
  </si>
  <si>
    <t>Lithocholate Compounds; Lithocholic Acid Compounds</t>
  </si>
  <si>
    <t>A measurement of the lithocholic acid, glycolithocholic acid, and taurolithocholic acid in a biological specimen.</t>
  </si>
  <si>
    <t>Lithocholate Compounds Measurement</t>
  </si>
  <si>
    <t>LCHT</t>
  </si>
  <si>
    <t>Lithocholate</t>
  </si>
  <si>
    <t>Lithocholate; Lithocholic Acid</t>
  </si>
  <si>
    <t>A measurement of the lithocholate in a biological specimen.</t>
  </si>
  <si>
    <t>Lithocholate Measurement</t>
  </si>
  <si>
    <t>LCI</t>
  </si>
  <si>
    <t>Lung Clearance Index</t>
  </si>
  <si>
    <t>A representative measurement of the number of times the volume of air in the lung at the start of the washout (the Functional Residual Capacity) must be recycled to eliminate the tracer to the pre-defined endpoint.</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</si>
  <si>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</si>
  <si>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</si>
  <si>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</si>
  <si>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</si>
  <si>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</si>
  <si>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</si>
  <si>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</si>
  <si>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</si>
  <si>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</si>
  <si>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</si>
  <si>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LCN2</t>
  </si>
  <si>
    <t>Lipocalin-2</t>
  </si>
  <si>
    <t>Lipocalin-2; Neutrophil Gelatinase-Associated Lipocalin; NGAL; Oncogene 24p3</t>
  </si>
  <si>
    <t>A measurement of lipocalin-2 in a biological specimen.</t>
  </si>
  <si>
    <t>Lipocalin-2 Measurement</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</si>
  <si>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</si>
  <si>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</si>
  <si>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</si>
  <si>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</si>
  <si>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</si>
  <si>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LCRDNA</t>
  </si>
  <si>
    <t>Lactobacillus crispatus DNA</t>
  </si>
  <si>
    <t>A measurement of the Lactobacillus crispatus DNA in a biological specimen.</t>
  </si>
  <si>
    <t>Lactobacillus crispatus DNA Measurement</t>
  </si>
  <si>
    <t>LCTHSPGM</t>
  </si>
  <si>
    <t>Lecithin/Sphingomyelin</t>
  </si>
  <si>
    <t>Lecithin/Sphingomyelin; LS Ratio</t>
  </si>
  <si>
    <t>A relative measurement (ratio) of the lecithin to sphingomyelin in a biological specimen.</t>
  </si>
  <si>
    <t>Lecithin to Sphingomyelin Ratio Measurement</t>
  </si>
  <si>
    <t>LDH</t>
  </si>
  <si>
    <t>Lactate Dehydrogenase</t>
  </si>
  <si>
    <t>A measurement of the lactate dehydrogenase in a biological specimen.</t>
  </si>
  <si>
    <t>Lactate Dehydrogenase Measurement</t>
  </si>
  <si>
    <t>LDH1</t>
  </si>
  <si>
    <t>LDH Isoenzyme 1</t>
  </si>
  <si>
    <t>A measurement of the lactate dehydrogenase isoenzyme 1 in a biological specimen.</t>
  </si>
  <si>
    <t>Lactate Dehydrogenase Isoenzyme 1 Measurement</t>
  </si>
  <si>
    <t>LDH1LDH</t>
  </si>
  <si>
    <t>LDH Isoenzyme 1/LDH</t>
  </si>
  <si>
    <t>A relative measurement (ratio or percentage) of the lactate dehydrogenase isoenzyme 1 to total lactate dehydrogenase in a biological specimen.</t>
  </si>
  <si>
    <t>LDH Isoenzyme 1 to LDH Ratio Measurement</t>
  </si>
  <si>
    <t>LDH2</t>
  </si>
  <si>
    <t>LDH Isoenzyme 2</t>
  </si>
  <si>
    <t>A measurement of the lactate dehydrogenase isoenzyme 2 in a biological specimen.</t>
  </si>
  <si>
    <t>Lactate Dehydrogenase Isoenzyme 2 Measurement</t>
  </si>
  <si>
    <t>LDH2LDH</t>
  </si>
  <si>
    <t>LDH Isoenzyme 2/LDH</t>
  </si>
  <si>
    <t>A relative measurement (ratio or percentage) of the lactate dehydrogenase isoenzyme 2 to total lactate dehydrogenase in a biological specimen.</t>
  </si>
  <si>
    <t>LDH Isoenzyme 2 to LDH Ratio Measurement</t>
  </si>
  <si>
    <t>LDH3</t>
  </si>
  <si>
    <t>LDH Isoenzyme 3</t>
  </si>
  <si>
    <t>A measurement of the lactate dehydrogenase isoenzyme 3 in a biological specimen.</t>
  </si>
  <si>
    <t>Lactate Dehydrogenase Isoenzyme 3 Measurement</t>
  </si>
  <si>
    <t>LDH3LDH</t>
  </si>
  <si>
    <t>LDH Isoenzyme 3/LDH</t>
  </si>
  <si>
    <t>A relative measurement (ratio or percentage) of the lactate dehydrogenase isoenzyme 3 to total lactate dehydrogenase in a biological specimen.</t>
  </si>
  <si>
    <t>LDH Isoenzyme 3 to LDH Ratio Measurement</t>
  </si>
  <si>
    <t>LDH4</t>
  </si>
  <si>
    <t>LDH Isoenzyme 4</t>
  </si>
  <si>
    <t>A measurement of the lactate dehydrogenase isoenzyme 4 in a biological specimen.</t>
  </si>
  <si>
    <t>Lactate Dehydrogenase Isoenzyme 4 Measurement</t>
  </si>
  <si>
    <t>LDH4LDH</t>
  </si>
  <si>
    <t>LDH Isoenzyme 4/LDH</t>
  </si>
  <si>
    <t>A relative measurement (ratio or percentage) of the lactate dehydrogenase isoenzyme 4 to total lactate dehydrogenase in a biological specimen.</t>
  </si>
  <si>
    <t>LDH Isoenzyme 4 to LDH Ratio Measurement</t>
  </si>
  <si>
    <t>LDH5</t>
  </si>
  <si>
    <t>LDH Isoenzyme 5</t>
  </si>
  <si>
    <t>A measurement of the lactate dehydrogenase isoenzyme 5 in a biological specimen.</t>
  </si>
  <si>
    <t>Lactate Dehydrogenase Isoenzyme 5 Measurement</t>
  </si>
  <si>
    <t>LDH5LDH</t>
  </si>
  <si>
    <t>LDH Isoenzyme 5/LDH</t>
  </si>
  <si>
    <t>A relative measurement (ratio or percentage) of the lactate dehydrogenase isoenzyme 5 to total lactate dehydrogenase in a biological specimen.</t>
  </si>
  <si>
    <t>LDH Isoenzyme 5 to LDH Ratio Measurement</t>
  </si>
  <si>
    <t>LDHCREAT</t>
  </si>
  <si>
    <t>Lactate Dehydrogenase/Creatinine</t>
  </si>
  <si>
    <t>A relative measurement (ratio or percentage) of the lactate dehydrogenase to creatinine in a biological specimen.</t>
  </si>
  <si>
    <t>Lactate Dehydrogenase to Creatinine Ratio Measurement</t>
  </si>
  <si>
    <t>LDHEXR</t>
  </si>
  <si>
    <t>Lactate Dehydrogenase Excretion Rate</t>
  </si>
  <si>
    <t>A measurement of the amount of lactate dehydrogenase being excreted in a biological specimen over a defined amount of time (e.g. one hour).</t>
  </si>
  <si>
    <t>LDIAM</t>
  </si>
  <si>
    <t>Longest Diameter</t>
  </si>
  <si>
    <t>The longest possible length of a straight line passing through the center of a circular or spheroid object that connects two points on the circumference.</t>
  </si>
  <si>
    <t>LDL</t>
  </si>
  <si>
    <t>LDL Cholesterol</t>
  </si>
  <si>
    <t>A measurement of the low density lipoprotein cholesterol in a biological specimen.</t>
  </si>
  <si>
    <t>Low Density Lipoprotein Cholesterol Measurement</t>
  </si>
  <si>
    <t>LDLHDL</t>
  </si>
  <si>
    <t>LDL Cholesterol/HDL Cholesterol</t>
  </si>
  <si>
    <t>A relative measurement (ratio) of the low density lipoprotein cholesterol to high density lipoprotein cholesterol in a biological specimen.</t>
  </si>
  <si>
    <t>LDL Cholesterol to HDL Cholesterol Ratio Measurement</t>
  </si>
  <si>
    <t>LDLOXI</t>
  </si>
  <si>
    <t>Oxidized LDL Cholesterol</t>
  </si>
  <si>
    <t>A measurement of the oxidized low density lipoprotein cholesterol in a biological specimen.</t>
  </si>
  <si>
    <t>Oxidized LDL Cholesterol Measurement</t>
  </si>
  <si>
    <t>LDLP</t>
  </si>
  <si>
    <t>LDL Particles</t>
  </si>
  <si>
    <t>A measurement of the concentration of the total LDL particles in a biological specimen.</t>
  </si>
  <si>
    <t>LDL Particles Measurement</t>
  </si>
  <si>
    <t>LDLPATT</t>
  </si>
  <si>
    <t>LDL Subtype Pattern</t>
  </si>
  <si>
    <t>A description of the low density lipoprotein particle pattern (an interpretation of the amounts of LDL particles based on size and density) in a biological specimen.</t>
  </si>
  <si>
    <t>LDLPSZ</t>
  </si>
  <si>
    <t>LDL Particle Size</t>
  </si>
  <si>
    <t>A measurement of the average particle size of low-density lipoprotein in a biological specimen.</t>
  </si>
  <si>
    <t>LDL Particle Size Measurement</t>
  </si>
  <si>
    <t>LDLT</t>
  </si>
  <si>
    <t>LDL Triglyceride</t>
  </si>
  <si>
    <t>A measurement of the low density lipoprotein triglyceride in a biological specimen.</t>
  </si>
  <si>
    <t>LDL Triglyceride Measurement</t>
  </si>
  <si>
    <t>LDURABS</t>
  </si>
  <si>
    <t>Longest Duration of Abstinence</t>
  </si>
  <si>
    <t>The longest amount of time during which the individual abstained from an activity.</t>
  </si>
  <si>
    <t>LEAD</t>
  </si>
  <si>
    <t>Lead</t>
  </si>
  <si>
    <t>Lead; Pb</t>
  </si>
  <si>
    <t>A measurement of the lead in a specimen.</t>
  </si>
  <si>
    <t>Lead Measurement</t>
  </si>
  <si>
    <t>LEIM</t>
  </si>
  <si>
    <t>Immature Leukocytes</t>
  </si>
  <si>
    <t>A measurement of the immature leukocytes in a biological specimen.</t>
  </si>
  <si>
    <t>Immature Leukocyte Count</t>
  </si>
  <si>
    <t>LEIMLE</t>
  </si>
  <si>
    <t>Immature Leukocytes/Leukocytes</t>
  </si>
  <si>
    <t>A relative measurement (ratio or percentage) of the immature leukocytes to leukocytes in a biological specimen.</t>
  </si>
  <si>
    <t>Immature Leukocyte to Leukocytes Ratio Measurement</t>
  </si>
  <si>
    <t>LENGTH</t>
  </si>
  <si>
    <t>Length</t>
  </si>
  <si>
    <t>The linear extent in space from one end of something to the other end, or the extent of something from beginning to end. (NCI)</t>
  </si>
  <si>
    <t>LENRSCT</t>
  </si>
  <si>
    <t>Length of Resection</t>
  </si>
  <si>
    <t>A measurement of the total length of the removed tissue, blood vessel, or organ.</t>
  </si>
  <si>
    <t>LENSSTAT</t>
  </si>
  <si>
    <t>Lens Status</t>
  </si>
  <si>
    <t>The condition or state of the lens of the eye. (NCI)</t>
  </si>
  <si>
    <t>LENVLE</t>
  </si>
  <si>
    <t>Leuk NonViable/Leuk</t>
  </si>
  <si>
    <t>Leuk NonViable/Leuk; Leukocytes NonViable/Leukocytes</t>
  </si>
  <si>
    <t>A relative measurement (ratio) of nonviable leukocytes to total leukocytes in a biological specimen.</t>
  </si>
  <si>
    <t>Nonviable Leukocyte to Leukocyte Ratio Measurement</t>
  </si>
  <si>
    <t>LEPTIN</t>
  </si>
  <si>
    <t>Leptin</t>
  </si>
  <si>
    <t>A measurement of the leptin hormone in a biological specimen.</t>
  </si>
  <si>
    <t>Leptin Measurement</t>
  </si>
  <si>
    <t>LEPTINR</t>
  </si>
  <si>
    <t>Leptin Receptor</t>
  </si>
  <si>
    <t>CD295; LEP-R; LEPR; Leptin Receptor; OB Receptor</t>
  </si>
  <si>
    <t>A measurement of the leptin receptor in a biological specimen.</t>
  </si>
  <si>
    <t>Leptin Receptor Measurement</t>
  </si>
  <si>
    <t>LEPTO</t>
  </si>
  <si>
    <t>Leptocytes</t>
  </si>
  <si>
    <t>A measurement of the leptocytes in a biological specimen.</t>
  </si>
  <si>
    <t>Leptocyte Measurement</t>
  </si>
  <si>
    <t>LES</t>
  </si>
  <si>
    <t>Leuk Sub</t>
  </si>
  <si>
    <t>Leuk Sub; Leukocytes Sub-Population; WBC Sub-Population; White Blood Cell Sub-Population</t>
  </si>
  <si>
    <t>A measurement of a sub-population of leukocytes in a biological specimen.</t>
  </si>
  <si>
    <t>Leukocyte Subpopulation Count</t>
  </si>
  <si>
    <t>LESELESV</t>
  </si>
  <si>
    <t>Lesion Elevation Severity/Intensity</t>
  </si>
  <si>
    <t>An assessment of the severity of a lesion that is heightened or raised above the surface plane of the body.</t>
  </si>
  <si>
    <t>Severity of Elevated Lesion</t>
  </si>
  <si>
    <t>LESERYSV</t>
  </si>
  <si>
    <t>Lesion Erythema Severity/Intensity</t>
  </si>
  <si>
    <t>An assessment of the severity of a lesion that has red discoloration.</t>
  </si>
  <si>
    <t>Severity of Erythematous Lesion</t>
  </si>
  <si>
    <t>LESFLIND</t>
  </si>
  <si>
    <t>Lesion Failure Indicator</t>
  </si>
  <si>
    <t>An indication as to whether lesion failure occurred.</t>
  </si>
  <si>
    <t>LESIDENT</t>
  </si>
  <si>
    <t>Lesion Identification</t>
  </si>
  <si>
    <t>An indication that a lesion has been located and characterized.</t>
  </si>
  <si>
    <t>LESLES</t>
  </si>
  <si>
    <t>Leuk Sub/Leuk Sub</t>
  </si>
  <si>
    <t>Leuk Sub/Leuk Sub; Leukocytes Sub-Population/Leukocytes Sub-Population; WBC Sub-Population/WBC Sub-Population; White Blood Cell Sub-Population/White Blood Cell Sub-Population</t>
  </si>
  <si>
    <t>A relative measurement (ratio or percentage) of a sub-population of leukocytes to a sub-population of leukocytes in a biological specimen.</t>
  </si>
  <si>
    <t>Leukocyte Subpopulation to Leukocyte Subpopulation Ratio Measurement</t>
  </si>
  <si>
    <t>LESNUM</t>
  </si>
  <si>
    <t>Number of Lesions</t>
  </si>
  <si>
    <t>The number of lesions observed.</t>
  </si>
  <si>
    <t>LESP</t>
  </si>
  <si>
    <t>Leuk Sub/Leuk</t>
  </si>
  <si>
    <t>Leuk Sub/Leuk; Leuk Sub/Leukocytes; Leukocytes Sub-Population/Leukocytes; WBC Sub-Population/WBC; White Blood Cell Sub-Population/White Blood Cell</t>
  </si>
  <si>
    <t>A relative measurement (ratio or percentage) of a sub-population of leukocytes to total leukocytes in a biological specimen.</t>
  </si>
  <si>
    <t>Leukocyte Subpopulation to Leukocyte Ratio Measurement</t>
  </si>
  <si>
    <t>LESRVIND</t>
  </si>
  <si>
    <t>Lesion Revascularization Indicator</t>
  </si>
  <si>
    <t>An indication as to whether repeat revascularization of a lesion occurred.</t>
  </si>
  <si>
    <t>LESSCIND</t>
  </si>
  <si>
    <t>Lesion Success Indicator</t>
  </si>
  <si>
    <t>An indication as to whether a performed procedure of a target lesion is considered successful.</t>
  </si>
  <si>
    <t>LESSCLSV</t>
  </si>
  <si>
    <t>Lesion Scaling Severity/Intensity</t>
  </si>
  <si>
    <t>An assessment of the severity of a lesion that has flaking dead skin and an increase of keratin in the stratum corneum of the lesion.</t>
  </si>
  <si>
    <t>Severity of Scaling Lesion</t>
  </si>
  <si>
    <t>LESTHICK</t>
  </si>
  <si>
    <t>Lesion Thickness</t>
  </si>
  <si>
    <t>A measurement of the distance between two opposite surfaces of a lesion.</t>
  </si>
  <si>
    <t>LEU</t>
  </si>
  <si>
    <t>Leucine</t>
  </si>
  <si>
    <t>A measurement of the leucine in a biological specimen.</t>
  </si>
  <si>
    <t>Leucine Measurement</t>
  </si>
  <si>
    <t>LEUKASE</t>
  </si>
  <si>
    <t>Leukocyte Esterase</t>
  </si>
  <si>
    <t>A measurement of the enzyme which indicates the presence of white blood cells in a biological specimen.</t>
  </si>
  <si>
    <t>Leukocyte Esterase Measurement</t>
  </si>
  <si>
    <t>LEUKCE</t>
  </si>
  <si>
    <t>Leukemic Cells</t>
  </si>
  <si>
    <t>Leukemic Cells; Residual Leukemic Cells</t>
  </si>
  <si>
    <t>A measurement of the leukemic cells in a biological specimen.</t>
  </si>
  <si>
    <t>Leukemic Cells Measurement</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</si>
  <si>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</si>
  <si>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</si>
  <si>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</si>
  <si>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</si>
  <si>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</si>
  <si>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LEUKVCE</t>
  </si>
  <si>
    <t>Leukocytes/Viable Cells</t>
  </si>
  <si>
    <t>Leukocytes/Live Cells; Leukocytes/Viable Cells; Live Leukocytes/Live Cells; Viable Leukocytes/Viable Cells</t>
  </si>
  <si>
    <t>A relative measurement (ratio) of leukocytes to total viable cells in a biological specimen.</t>
  </si>
  <si>
    <t>Leukocyte to Viable Cell Ratio Measurement</t>
  </si>
  <si>
    <t>LEVEL</t>
  </si>
  <si>
    <t>Leuk Viable/Leuk</t>
  </si>
  <si>
    <t>Leuk Viable/Leuk; Leukocytes Viable/Leukocytes</t>
  </si>
  <si>
    <t>A relative measurement (ratio) of viable leukocytes to total leukocytes in a biological specimen.</t>
  </si>
  <si>
    <t>Viable Leukocyte to Leukocyte Ratio Measurement</t>
  </si>
  <si>
    <t>LEVLENV</t>
  </si>
  <si>
    <t>Leuk Viable/Leuk NonViable</t>
  </si>
  <si>
    <t>Leuk Viable/Leuk NonViable; Leukocytes Viable/Leukocytes NonViable</t>
  </si>
  <si>
    <t>A relative measurement (ratio) of viable leukocytes to non-viable leukocytes in a biological specimen.</t>
  </si>
  <si>
    <t>Viable Leukocyte to Nonviable Leukocyte Ratio Measurement</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</si>
  <si>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</si>
  <si>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</si>
  <si>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</si>
  <si>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LGEPER</t>
  </si>
  <si>
    <t>Late Gadolinium Enhancement Percentage</t>
  </si>
  <si>
    <t>The percentage of a region which exabits characteristics of late gadolinium enhancement.</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</si>
  <si>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</si>
  <si>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</si>
  <si>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</si>
  <si>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</si>
  <si>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</si>
  <si>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LGHTPIND</t>
  </si>
  <si>
    <t>Light Perception Indicator</t>
  </si>
  <si>
    <t>An indication as to whether a subject can perceive light from a light source that is placed directly in front of the eye.</t>
  </si>
  <si>
    <t>LGLUCLE</t>
  </si>
  <si>
    <t>Large Unstained Cells/Leukocytes</t>
  </si>
  <si>
    <t>A relative measure (ratio or percentage) of the large unstained cells to leukocytes in a biological specimen.</t>
  </si>
  <si>
    <t>Large Unstained Cells to Leukocytes Ratio Measurement</t>
  </si>
  <si>
    <t>LGTHCK</t>
  </si>
  <si>
    <t>Largest Cross-sec Thickness</t>
  </si>
  <si>
    <t>Largest Cross-sec Thickness; Largest Cross-sectional Thickness</t>
  </si>
  <si>
    <t>The assessment of the largest cross-sectional thickness of a tissue.</t>
  </si>
  <si>
    <t>Largest Cross-sectional Thickness</t>
  </si>
  <si>
    <t>LGUNSCE</t>
  </si>
  <si>
    <t>Large Unstained Cells</t>
  </si>
  <si>
    <t>A measurement of the large, peroxidase-negative cells which cannot be further characterized (i.e. as large lymphocytes, virocytes, or stem cells) present in a biological specimen.</t>
  </si>
  <si>
    <t>Large Unstained Cell Count</t>
  </si>
  <si>
    <t>LH</t>
  </si>
  <si>
    <t>Luteinizing Hormone</t>
  </si>
  <si>
    <t>Luteinizing Hormone; Lutropin</t>
  </si>
  <si>
    <t>A measurement of the luteinizing hormone in a biological specimen.</t>
  </si>
  <si>
    <t>Luteinizing Hormone Measurement</t>
  </si>
  <si>
    <t>LIF</t>
  </si>
  <si>
    <t>Leukemia Inhibitory Factor</t>
  </si>
  <si>
    <t>A measurement of leukemia inhibitory factor in a biological specimen.</t>
  </si>
  <si>
    <t>Leukemia Inhibitory Factor Measurement</t>
  </si>
  <si>
    <t>LIPASEG</t>
  </si>
  <si>
    <t>Lipase, Gastric</t>
  </si>
  <si>
    <t>Gastric Triacylglycerol Lipase; Lipase, Gastric; LIPF</t>
  </si>
  <si>
    <t>A measurement of the gastric triacylglycerol lipase in a biological specimen.</t>
  </si>
  <si>
    <t>Gastric Lipase Measurement</t>
  </si>
  <si>
    <t>LIPASEH</t>
  </si>
  <si>
    <t>Lipase, Hepatic</t>
  </si>
  <si>
    <t>Hepatic Triacylglycerol Lipase; Lipase, Hepatic; LIPH</t>
  </si>
  <si>
    <t>A measurement of the hepatic triacylglycerol lipase in a biological specimen.</t>
  </si>
  <si>
    <t>Hepatic Triacylglycerol Lipase Measurement</t>
  </si>
  <si>
    <t>LIPASEP</t>
  </si>
  <si>
    <t>Lipase, Pancreatic</t>
  </si>
  <si>
    <t>Lipase, Pancreatic; Pancreatic Triacylglycerol Lipase; PNLIP</t>
  </si>
  <si>
    <t>A measurement of the pancreatic triacylglycerol lipase in a biological specimen.</t>
  </si>
  <si>
    <t>Pancreatic Lipase Measurement</t>
  </si>
  <si>
    <t>LIPASET</t>
  </si>
  <si>
    <t>Lipase</t>
  </si>
  <si>
    <t>Lipase; Total Lipase; Triacylglycerol Lipase</t>
  </si>
  <si>
    <t>A measurement of the total triacylglycerol lipase in a biological specimen.</t>
  </si>
  <si>
    <t>Lipase Measurement</t>
  </si>
  <si>
    <t>LIPASLAL</t>
  </si>
  <si>
    <t>Lipase, Lysosomal Acid</t>
  </si>
  <si>
    <t>Acid Cholesteryl Ester Hydrolase; LAL; LIPA; Lipase, Lysosomal Acid; Lysosomal Lipase</t>
  </si>
  <si>
    <t>A measurement of the lysosomal acid lipase in a biological specimen.</t>
  </si>
  <si>
    <t>Lysosomal Acid Lipase Measurement</t>
  </si>
  <si>
    <t>LIPEMIAI</t>
  </si>
  <si>
    <t>Lipemic Index</t>
  </si>
  <si>
    <t>Lipemia; Lipemic Index</t>
  </si>
  <si>
    <t>A measurement of the abnormally high concentration of lipid in a biological specimen.</t>
  </si>
  <si>
    <t>LIPID</t>
  </si>
  <si>
    <t>Lipid</t>
  </si>
  <si>
    <t>Lipid; Total Lipid</t>
  </si>
  <si>
    <t>A measurement of the total lipids (cholesterol, lipoproteins, and triglycerides) in a biological specimen.</t>
  </si>
  <si>
    <t>Lipid Measurement</t>
  </si>
  <si>
    <t>LIQUFT</t>
  </si>
  <si>
    <t>Liquefaction Time</t>
  </si>
  <si>
    <t>A measurement of the time it takes for a gelatinous or semi-solid substance to change to a liquid.</t>
  </si>
  <si>
    <t>Liquefaction Time Measurement</t>
  </si>
  <si>
    <t>LITHIUM</t>
  </si>
  <si>
    <t>Lithium</t>
  </si>
  <si>
    <t>A measurement of the lithium in a biological specimen.</t>
  </si>
  <si>
    <t>Lithium Measurement</t>
  </si>
  <si>
    <t>LLCFR</t>
  </si>
  <si>
    <t>Lambda Light Chain, Free</t>
  </si>
  <si>
    <t>Bence-Jones, Lambda; Lambda Light Chain, Free</t>
  </si>
  <si>
    <t>A measurement of the free lambda light chain in a biological specimen.</t>
  </si>
  <si>
    <t>Free Lambda Light Chain Measurement</t>
  </si>
  <si>
    <t>LLMLOSS</t>
  </si>
  <si>
    <t>Late Lumen Loss</t>
  </si>
  <si>
    <t>The difference between the mean minimum lumen diameter (MLD) assessed immediately after an index procedure and the MLD assessed at follow-up angiography.</t>
  </si>
  <si>
    <t>Late Lumen Loss Measurement</t>
  </si>
  <si>
    <t>LLODNA</t>
  </si>
  <si>
    <t>Legionella longbeachae DNA</t>
  </si>
  <si>
    <t>A measurement of the Legionella longbeachae DNA in a biological specimen.</t>
  </si>
  <si>
    <t>Legionella longbeachae DNA Measurement</t>
  </si>
  <si>
    <t>LMBDLC</t>
  </si>
  <si>
    <t>Lambda Light Chain</t>
  </si>
  <si>
    <t>A measurement of the total lambda light chains in a biological specimen.</t>
  </si>
  <si>
    <t>Lambda Light Chain Measurement</t>
  </si>
  <si>
    <t>LMBFLIND</t>
  </si>
  <si>
    <t>Limb Failure Indicator</t>
  </si>
  <si>
    <t>An indication as to whether limb failure occurred.</t>
  </si>
  <si>
    <t>LMLIDENT</t>
  </si>
  <si>
    <t>Limb Lesion Identification</t>
  </si>
  <si>
    <t>An indication that a limb containing a lesion has been selected and characterized.</t>
  </si>
  <si>
    <t>Limb Associated Lesion Identification</t>
  </si>
  <si>
    <t>LMNDEXAM</t>
  </si>
  <si>
    <t>Number of Lymph Nodes Examined</t>
  </si>
  <si>
    <t>The number of lymph nodes that were examined.</t>
  </si>
  <si>
    <t>LMNDPNUM</t>
  </si>
  <si>
    <t>Number of Lymph Nodes Positive</t>
  </si>
  <si>
    <t>The number of subject lymph nodes that were positive for presence of disease.</t>
  </si>
  <si>
    <t>LMO</t>
  </si>
  <si>
    <t>Listeria monocytogenes</t>
  </si>
  <si>
    <t>A measurement of the Listeria monocytogenes in a biological specimen.</t>
  </si>
  <si>
    <t>Listeria monocytogenes Measurement</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</si>
  <si>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</si>
  <si>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</si>
  <si>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</si>
  <si>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</si>
  <si>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</si>
  <si>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LMPELTM</t>
  </si>
  <si>
    <t>Elapsed Time Since LMP</t>
  </si>
  <si>
    <t>The interval of time since the individual's last menstrual period.</t>
  </si>
  <si>
    <t>Elapsed Time Since Last Menstrual Period</t>
  </si>
  <si>
    <t>LMPSTDTC</t>
  </si>
  <si>
    <t>Last Menstrual Period Start Date</t>
  </si>
  <si>
    <t>The date of the first day of the most recent menstrual cycle.</t>
  </si>
  <si>
    <t>Last Menstrual Period</t>
  </si>
  <si>
    <t>LNGSPP</t>
  </si>
  <si>
    <t>Primary Language Spoken</t>
  </si>
  <si>
    <t>The main language that is spoken by the subject most frequently or dominantly.</t>
  </si>
  <si>
    <t>LNGSPS</t>
  </si>
  <si>
    <t>Secondary Language Spoken</t>
  </si>
  <si>
    <t>Additional language(s) that is spoken by the subject but not considered the primary language.</t>
  </si>
  <si>
    <t>LNSTATE</t>
  </si>
  <si>
    <t>Lymph Node State</t>
  </si>
  <si>
    <t>A condition or state of a lymph node at a particular time.</t>
  </si>
  <si>
    <t>LOBVOL</t>
  </si>
  <si>
    <t>Lobar Volume</t>
  </si>
  <si>
    <t>The total volume of gas in a lobe of the lung at a specified point in time during the respiratory cycle.</t>
  </si>
  <si>
    <t>LOBVOLPP</t>
  </si>
  <si>
    <t>Percent Predicted Lobar Volume</t>
  </si>
  <si>
    <t>The total volume of gas in a lobe of the lung at a specified point in time during the respiratory cycle, as a proportion of the predicted normal value.</t>
  </si>
  <si>
    <t>LOCONSET</t>
  </si>
  <si>
    <t>Localization of Onset</t>
  </si>
  <si>
    <t>The anatomical location of the beginning or early stages of a disease.</t>
  </si>
  <si>
    <t>Location of Disease Onset</t>
  </si>
  <si>
    <t>LOGSCORE</t>
  </si>
  <si>
    <t>Log Score</t>
  </si>
  <si>
    <t>A number or range of numeric values on the log scale that measures performance, function, quality, or ability.</t>
  </si>
  <si>
    <t>LONGCRSE</t>
  </si>
  <si>
    <t>Longitudinal Course</t>
  </si>
  <si>
    <t>A description of the series of events, including signs and symptoms, that define the course of a chronic disease over time.</t>
  </si>
  <si>
    <t>Clinical Course of Disease</t>
  </si>
  <si>
    <t>LOPRAZLM</t>
  </si>
  <si>
    <t>Loprazolam</t>
  </si>
  <si>
    <t>A measurement of the loprazolam in a biological specimen.</t>
  </si>
  <si>
    <t>Loprazolam Measurement</t>
  </si>
  <si>
    <t>LOSTAMT</t>
  </si>
  <si>
    <t>Lost Amount</t>
  </si>
  <si>
    <t>The quantity of a product reported as lost.</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</si>
  <si>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</si>
  <si>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</si>
  <si>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</si>
  <si>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</si>
  <si>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</si>
  <si>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LOX1</t>
  </si>
  <si>
    <t>Lectin-Like Oxidized LDL Receptor-1</t>
  </si>
  <si>
    <t>C-Type Lectin Domain Family 8 Member A; CLEC8A; Lectin-Like Oxidized LDL Receptor-1; LOX-1; Oxidized LDL Receptor 1; Oxidized Low-Density Lipoprotein Receptor 1</t>
  </si>
  <si>
    <t>A measurement of the lectin-like oxidized LDL Receptor-1 in a biological specimen.</t>
  </si>
  <si>
    <t>Lectin-Like Oxidized LDL Receptor-1 Measurement</t>
  </si>
  <si>
    <t>LOXAPN</t>
  </si>
  <si>
    <t>Loxapine</t>
  </si>
  <si>
    <t>A measurement of the loxapine in a biological specimen.</t>
  </si>
  <si>
    <t>Loxapine Measurement</t>
  </si>
  <si>
    <t>LPA</t>
  </si>
  <si>
    <t>Lipoprotein-a</t>
  </si>
  <si>
    <t>A measurement of the lipoprotein-a in a biological specimen.</t>
  </si>
  <si>
    <t>Lipoprotein a Measurement</t>
  </si>
  <si>
    <t>LPC</t>
  </si>
  <si>
    <t>Lambda+ Plasma Cells</t>
  </si>
  <si>
    <t>Lambda+ PC; Lambda+ Plasma Cells</t>
  </si>
  <si>
    <t>A measurement of the lambda+ plasma cells in a biological specimen.</t>
  </si>
  <si>
    <t>Lambda Positive Plasma Cell Count</t>
  </si>
  <si>
    <t>LPERP</t>
  </si>
  <si>
    <t>Longest Perpendicular</t>
  </si>
  <si>
    <t>Longest Perpendicular; Short Axis Diameter</t>
  </si>
  <si>
    <t>The longest possible straight line or plane through a body or figure that is at a right angle to a given line or plane.</t>
  </si>
  <si>
    <t>LPL</t>
  </si>
  <si>
    <t>Lipoprotein Lipase</t>
  </si>
  <si>
    <t>A measurement of the lipoprotein lipase in a biological specimen.</t>
  </si>
  <si>
    <t>Lipoprotein Lipase Measurement</t>
  </si>
  <si>
    <t>LPN</t>
  </si>
  <si>
    <t>Legionella pneumophila</t>
  </si>
  <si>
    <t>A measurement of the Legionella pneumophila in a biological specimen.</t>
  </si>
  <si>
    <t>Legionella pneumophila Measurement</t>
  </si>
  <si>
    <t>LPNAG</t>
  </si>
  <si>
    <t>Legionella pneumophila Antigen</t>
  </si>
  <si>
    <t>A measurement of the Legionella pneumophila antigen in a biological specimen.</t>
  </si>
  <si>
    <t>Legionella pneumophila Antigen Measurement</t>
  </si>
  <si>
    <t>LPNDNA</t>
  </si>
  <si>
    <t>Legionella pneumophila DNA</t>
  </si>
  <si>
    <t>A measurement of the Legionella pneumophila DNA in a biological specimen.</t>
  </si>
  <si>
    <t>Legionella pneumophila DNA Measurement</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</si>
  <si>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</si>
  <si>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</si>
  <si>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</si>
  <si>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</si>
  <si>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</si>
  <si>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LPPLA2</t>
  </si>
  <si>
    <t>Lipoprotein Associated Phospholipase A2</t>
  </si>
  <si>
    <t>A measurement of the lipoprotein associated phospholipase A2 in a biological specimen.</t>
  </si>
  <si>
    <t>Lipoprotein Associated Phospholipase A2 Measurement</t>
  </si>
  <si>
    <t>LRG1</t>
  </si>
  <si>
    <t>Leucine Rich Alpha-2-Glycoprotein 1</t>
  </si>
  <si>
    <t>HMFT1766; Leucine Rich Alpha-2-Glycoprotein 1</t>
  </si>
  <si>
    <t>A measurement of the leucine rich alpha-2-glycoprotein 1 in a biological specimen.</t>
  </si>
  <si>
    <t>Leucine Rich Alpha-2-Glycoprotein 1 Measurement</t>
  </si>
  <si>
    <t>LRISCIND</t>
  </si>
  <si>
    <t>Lesion Revas Ischemia Indicator</t>
  </si>
  <si>
    <t>An indication as to whether clinical or functional ischemia is present before lesion revascularization occurred.</t>
  </si>
  <si>
    <t>Lesion Revascularization Ischemia Indicator</t>
  </si>
  <si>
    <t>LRMZPM</t>
  </si>
  <si>
    <t>Lormetazepam</t>
  </si>
  <si>
    <t>A measurement of the lormetazepam in a biological specimen.</t>
  </si>
  <si>
    <t>Lormetazepam Measurement</t>
  </si>
  <si>
    <t>LRSTIND</t>
  </si>
  <si>
    <t>Lesion Restenosis Indicator</t>
  </si>
  <si>
    <t>An indication as to whether there is re-narrowing of a lesion site following treatment of a prior stenosis, to a diameter stenosis of greater than 50% at the previously treated lesion site.</t>
  </si>
  <si>
    <t>LRVCLIND</t>
  </si>
  <si>
    <t>Lesion Revas Clinical Indicator</t>
  </si>
  <si>
    <t>An indication as to whether an appropriate clinical context was present before lesion revascularization occurred.</t>
  </si>
  <si>
    <t>Lesion Revascularization Clinical Indicator</t>
  </si>
  <si>
    <t>LRZPM</t>
  </si>
  <si>
    <t>Lorazepam</t>
  </si>
  <si>
    <t>A measurement of the lorazepam present in a biological specimen.</t>
  </si>
  <si>
    <t>Lorazepam Measurement</t>
  </si>
  <si>
    <t>LSCFADTC</t>
  </si>
  <si>
    <t>Latest Date Subject Confirmed Alive</t>
  </si>
  <si>
    <t>Latest Date Last Known Alive; Latest Date Subject Confirmed Alive</t>
  </si>
  <si>
    <t>The most recent date on which the subject was known to be alive.</t>
  </si>
  <si>
    <t>LSD</t>
  </si>
  <si>
    <t>Lysergic Acid Diethylamide</t>
  </si>
  <si>
    <t>Acid; Lysergate Diethylamide; Lysergic Acid Diethylamide</t>
  </si>
  <si>
    <t>A measurement of the lysergic acid diethylamine (LSD) in a biological specimen.</t>
  </si>
  <si>
    <t>Lysergide Measurement</t>
  </si>
  <si>
    <t>LSELS</t>
  </si>
  <si>
    <t>Soluble L-Selectin</t>
  </si>
  <si>
    <t>sL-Selectin; Soluble CD62L; Soluble L-Selectin</t>
  </si>
  <si>
    <t>A measurement of the soluble L-selectin in a biological specimen.</t>
  </si>
  <si>
    <t>Soluble L-Selectin Measurement</t>
  </si>
  <si>
    <t>LSMDNA</t>
  </si>
  <si>
    <t>Listeria monocytogenes DNA</t>
  </si>
  <si>
    <t>A measurement of the Listeria monocytogenes DNA in a biological specimen.</t>
  </si>
  <si>
    <t>Listeria monocytogenes DNA Measurement</t>
  </si>
  <si>
    <t>LTA</t>
  </si>
  <si>
    <t>Lymphotoxin Alpha</t>
  </si>
  <si>
    <t>Lymphotoxin Alpha; TNF-beta; Tumor Necrosis Factor Beta</t>
  </si>
  <si>
    <t>A measurement of the lymphotoxin alpha in a biological specimen.</t>
  </si>
  <si>
    <t>Lymphotoxin Alpha Measurement</t>
  </si>
  <si>
    <t>LTB4</t>
  </si>
  <si>
    <t>Leukotriene B4</t>
  </si>
  <si>
    <t>A measurement of the leukotriene B4 in a biological specimen.</t>
  </si>
  <si>
    <t>Leukotriene B4 Measurement</t>
  </si>
  <si>
    <t>LTC4SN</t>
  </si>
  <si>
    <t>Leukotriene C4 Synthase</t>
  </si>
  <si>
    <t>A measurement of the leukotriene C4 synthase in a biological specimen.</t>
  </si>
  <si>
    <t>Leukotriene C4 Synthase Measurement</t>
  </si>
  <si>
    <t>LTD4</t>
  </si>
  <si>
    <t>Leukotriene D4</t>
  </si>
  <si>
    <t>A measurement of the leukotriene D4 in a biological specimen.</t>
  </si>
  <si>
    <t>Leukotriene D4 Measurement</t>
  </si>
  <si>
    <t>LTE4</t>
  </si>
  <si>
    <t>Leukotriene E4</t>
  </si>
  <si>
    <t>A measurement of the leukotriene E4 in a biological specimen.</t>
  </si>
  <si>
    <t>Leukotriene E4 Measurement</t>
  </si>
  <si>
    <t>LTF</t>
  </si>
  <si>
    <t>Lactoferrin</t>
  </si>
  <si>
    <t>Lactoferrin; Lactotransferrin</t>
  </si>
  <si>
    <t>A measurement of the lactoferrin in a biological specimen.</t>
  </si>
  <si>
    <t>Lactoferrin Measurement</t>
  </si>
  <si>
    <t>LTM</t>
  </si>
  <si>
    <t>Lean Tissue Mass</t>
  </si>
  <si>
    <t>The weight of a tissue part or whole tissue in an individual less the weight of the individual's body fat within that tissue part or whole tissue.</t>
  </si>
  <si>
    <t>LUMNCTYP</t>
  </si>
  <si>
    <t>Luminescence Type</t>
  </si>
  <si>
    <t>A classification of light emission.</t>
  </si>
  <si>
    <t>LURASIDN</t>
  </si>
  <si>
    <t>Lurasidone</t>
  </si>
  <si>
    <t>A measurement of the lurasidone in a biological specimen.</t>
  </si>
  <si>
    <t>Lurasidone Measurement</t>
  </si>
  <si>
    <t>LVEF</t>
  </si>
  <si>
    <t>Left Ventricular Ejection Fraction</t>
  </si>
  <si>
    <t>The percent or fraction of the left ventricular end diastolic volume ejected during systole that can be measured by visual estimation or calculation.</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</si>
  <si>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</si>
  <si>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</si>
  <si>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</si>
  <si>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</si>
  <si>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</si>
  <si>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</si>
  <si>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</si>
  <si>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</si>
  <si>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</si>
  <si>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</si>
  <si>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LVFBRSC</t>
  </si>
  <si>
    <t>Liver Fibrosis Score</t>
  </si>
  <si>
    <t>A scoring system that evaluates liver pathology through the assessment of multiple blood test parameters, taking into account additional demographic factors such as the age and/or sex of the subject.</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</si>
  <si>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</si>
  <si>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</si>
  <si>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</si>
  <si>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</si>
  <si>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</si>
  <si>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</si>
  <si>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</si>
  <si>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LVMASIDX</t>
  </si>
  <si>
    <t>Left Ventricular Mass Index</t>
  </si>
  <si>
    <t>The left ventricular mass divided by the subject's body surface area.</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</si>
  <si>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</si>
  <si>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</si>
  <si>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</si>
  <si>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</si>
  <si>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</si>
  <si>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</si>
  <si>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</si>
  <si>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</si>
  <si>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</si>
  <si>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</si>
  <si>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LVRPHNL</t>
  </si>
  <si>
    <t>Levorphanol</t>
  </si>
  <si>
    <t>A measurement of the levorphanol in a biological specimen.</t>
  </si>
  <si>
    <t>Levorphanol Measurement</t>
  </si>
  <si>
    <t>LVSBJIND</t>
  </si>
  <si>
    <t>Living with Subject Indicator</t>
  </si>
  <si>
    <t>An indication as to whether the associated person is living with the subject. (NCI)</t>
  </si>
  <si>
    <t>LVTRCTM</t>
  </si>
  <si>
    <t>Levetiracetam</t>
  </si>
  <si>
    <t>A measurement of the levetiracetam in a biological specimen.</t>
  </si>
  <si>
    <t>Levetiracetam Measurement</t>
  </si>
  <si>
    <t>LY6E</t>
  </si>
  <si>
    <t>Lymphocyte Antigen 6E</t>
  </si>
  <si>
    <t>Lymphocyte Antigen 6 Family Member E; Lymphocyte Antigen 6E</t>
  </si>
  <si>
    <t>A measurement of the lymphocyte antigen 6E in a biological specimen.</t>
  </si>
  <si>
    <t>Lymphocyte Antigen 6E Measurement</t>
  </si>
  <si>
    <t>LYM</t>
  </si>
  <si>
    <t>Lymphocytes</t>
  </si>
  <si>
    <t>A measurement of the lymphocytes in a biological specimen.</t>
  </si>
  <si>
    <t>Lymphocyte Count</t>
  </si>
  <si>
    <t>LYMA</t>
  </si>
  <si>
    <t>Lymphocytes Activated</t>
  </si>
  <si>
    <t>A measurement of the total activated lymphocytes in a biological specimen.</t>
  </si>
  <si>
    <t>Activated Lymphocytes Measurement</t>
  </si>
  <si>
    <t>LYMAT</t>
  </si>
  <si>
    <t>Lymphocytes Atypical</t>
  </si>
  <si>
    <t>Lymphocytes Atypical; Lymphocytes, Variant; Reactive Lymphocytes</t>
  </si>
  <si>
    <t>A measurement of the atypical lymphocytes in a biological specimen.</t>
  </si>
  <si>
    <t>Atypical Lymphocyte Count</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</si>
  <si>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</si>
  <si>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</si>
  <si>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</si>
  <si>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</si>
  <si>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</si>
  <si>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</si>
  <si>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</si>
  <si>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</si>
  <si>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</si>
  <si>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</si>
  <si>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LYMCE</t>
  </si>
  <si>
    <t>Lymphocytes/Total Cells</t>
  </si>
  <si>
    <t>A relative measurement (ratio or percentage) of the lymphocytes to total cells in a biological specimen (for example a bone marrow specimen).</t>
  </si>
  <si>
    <t>Lymphocyte to Total Cell Ratio Measurement</t>
  </si>
  <si>
    <t>LYMCLF</t>
  </si>
  <si>
    <t>Lymphocytes, Clefted</t>
  </si>
  <si>
    <t>A measurement of the clefted lymphocytes in a biological specimen.</t>
  </si>
  <si>
    <t>Clefted Lymphocytes Count</t>
  </si>
  <si>
    <t>LYMCLFLE</t>
  </si>
  <si>
    <t>Lymphocytes, Clefted/Leukocytes</t>
  </si>
  <si>
    <t>A relative measurement (ratio or percentage) of the clefted lymphocytes to total leukocytes in a biological specimen.</t>
  </si>
  <si>
    <t>Clefted Lymphocytes to Leukocytes Ratio Measurement</t>
  </si>
  <si>
    <t>LYMIM</t>
  </si>
  <si>
    <t>Immature Lymphocytes</t>
  </si>
  <si>
    <t>A measurement of the immature lymphocytes in a biological specimen.</t>
  </si>
  <si>
    <t>Immature Lymphocytes Measurement</t>
  </si>
  <si>
    <t>LYMIMLE</t>
  </si>
  <si>
    <t>Immature Lymphocytes/Leukocytes</t>
  </si>
  <si>
    <t>A relative measurement (ratio or percentage) of the immature lymphocytes to leukocytes in a biological specimen.</t>
  </si>
  <si>
    <t>Immature Lymphocytes to Leukocytes Ratio Measurement</t>
  </si>
  <si>
    <t>LYMLE</t>
  </si>
  <si>
    <t>Lymphocytes/Leukocytes</t>
  </si>
  <si>
    <t>A relative measurement (ratio or percentage) of the lymphocytes to leukocytes in a biological specimen.</t>
  </si>
  <si>
    <t>Lymphocyte to Leukocyte Ratio</t>
  </si>
  <si>
    <t>LYMLG</t>
  </si>
  <si>
    <t>Large Lymphocytes</t>
  </si>
  <si>
    <t>A measurement of the large lymphocytes (approximately between 10 um and 20 um in diameter) in a biological specimen.</t>
  </si>
  <si>
    <t>Large Lymphocyte Count</t>
  </si>
  <si>
    <t>LYMMCE</t>
  </si>
  <si>
    <t>Lymphoma Cells</t>
  </si>
  <si>
    <t>A measurement of the malignant lymphocytes in a biological specimen.</t>
  </si>
  <si>
    <t>Lymphoma Cell Count</t>
  </si>
  <si>
    <t>LYMMCECE</t>
  </si>
  <si>
    <t>Lymphoma Cells/Total Cells</t>
  </si>
  <si>
    <t>A relative measurement (ratio or percentage) of the lymphoma cells to total cells in a biological specimen.</t>
  </si>
  <si>
    <t>Lymphoma Cell to Total Cell Ratio Measurement</t>
  </si>
  <si>
    <t>LYMMCELE</t>
  </si>
  <si>
    <t>Lymphoma Cells/Leukocytes</t>
  </si>
  <si>
    <t>A relative measurement (ratio or percentage) of the malignant lymphocytes to all leukocytes in a biological specimen.</t>
  </si>
  <si>
    <t>Lymphoma Cells to Leukocytes Ratio Measurement</t>
  </si>
  <si>
    <t>LYMMCELY</t>
  </si>
  <si>
    <t>Lymphoma Cells/Lymphocytes</t>
  </si>
  <si>
    <t>A relative measurement (ratio or percentage) of the malignant lymphocytes to all lymphocytes in a biological specimen.</t>
  </si>
  <si>
    <t>Lymphoma Cell to Lymphocyte Ratio Measurement</t>
  </si>
  <si>
    <t>LYMNE</t>
  </si>
  <si>
    <t>Lymphocytes/Neutrophils</t>
  </si>
  <si>
    <t>A relative measurement (ratio) of lymphocytes to neutrophils in a biological specimen.</t>
  </si>
  <si>
    <t>Lymphocyte to Neutrophil Ratio Measurement</t>
  </si>
  <si>
    <t>LYMNSQE</t>
  </si>
  <si>
    <t>Lymphocytes/Non-Squam Epi Cells</t>
  </si>
  <si>
    <t>A relative measurement (ratio or percentage) of the lymphocytes to non-squamous epithelial cells in a biological specimen.</t>
  </si>
  <si>
    <t>Lymphocytes to Non-Squamous Epithelial Cells Ratio Measurement</t>
  </si>
  <si>
    <t>LYMONO</t>
  </si>
  <si>
    <t>Lym+Mono</t>
  </si>
  <si>
    <t>Lym+Mono; Lymphocytes and Monocytes</t>
  </si>
  <si>
    <t>A measurement of a cell population containing both lymphocytes and monocytes in a biological specimen.</t>
  </si>
  <si>
    <t>Lymphocytes and Monocytes Count</t>
  </si>
  <si>
    <t>LYMONOLE</t>
  </si>
  <si>
    <t>Lym+Mono/Leuk</t>
  </si>
  <si>
    <t>Lymphocytes and Monocytes/Leukocytes</t>
  </si>
  <si>
    <t>A relative measurement (ratio or percentage) of the lymphocytes and monocytes to total leukocytes in a biological specimen.</t>
  </si>
  <si>
    <t>Lymphocytes and Monocytes to Leukocytes Ratio Measurement</t>
  </si>
  <si>
    <t>LYMPHOID</t>
  </si>
  <si>
    <t>Lymphoid Cells</t>
  </si>
  <si>
    <t>A measurement of the total lymphoid lineage cells in a biological specimen.</t>
  </si>
  <si>
    <t>Lymphoid Cell Count</t>
  </si>
  <si>
    <t>LYMPHOTC</t>
  </si>
  <si>
    <t>Lymphotactin</t>
  </si>
  <si>
    <t>Chemokine Ligand 1; Lymphotactin</t>
  </si>
  <si>
    <t>A measurement of the lymphotactin in a biological specimen.</t>
  </si>
  <si>
    <t>Lymphotactin Measurement</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</si>
  <si>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</si>
  <si>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</si>
  <si>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</si>
  <si>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</si>
  <si>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</si>
  <si>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LYMPLLE</t>
  </si>
  <si>
    <t>Plasmacytoid Lymphocytes/Leukocytes</t>
  </si>
  <si>
    <t>A relative measurement (ratio or percentage) of the plasmacytoid lymphocytes to all leukocytes in a biological specimen.</t>
  </si>
  <si>
    <t>Plasmacytoid Lymphocytes to Leukocytes Ratio Measurement</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</si>
  <si>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</si>
  <si>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</si>
  <si>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</si>
  <si>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</si>
  <si>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LYMVAC</t>
  </si>
  <si>
    <t>Vacuolated Lymphocytes</t>
  </si>
  <si>
    <t>A measurement of the vacuolated lymphocytes in a biological specimen.</t>
  </si>
  <si>
    <t>Vacuolated Lymphocyte Count</t>
  </si>
  <si>
    <t>LYMVACLE</t>
  </si>
  <si>
    <t>Vacuolated Lymphocytes/Leukocytes</t>
  </si>
  <si>
    <t>A relative measurement (ratio or percentage) of the vacuolated lymphocytes to leukocytes in a biological specimen.</t>
  </si>
  <si>
    <t>Vacuolated Lymphocyte to Leukocyte Ratio Measurement</t>
  </si>
  <si>
    <t>LYS</t>
  </si>
  <si>
    <t>Lym Sub</t>
  </si>
  <si>
    <t>Lym Sub; Lymphocytes Sub; Lymphocytes Sub-Population</t>
  </si>
  <si>
    <t>A measurement of a subpopulation of lymphocytes in a biological specimen.</t>
  </si>
  <si>
    <t>Lymphocytes Subpopulation Count</t>
  </si>
  <si>
    <t>Lysine</t>
  </si>
  <si>
    <t>A measurement of the lysine in a biological specimen.</t>
  </si>
  <si>
    <t>Lysine Measurement</t>
  </si>
  <si>
    <t>LYSLE</t>
  </si>
  <si>
    <t>Lym Sub/Leuk</t>
  </si>
  <si>
    <t>Lym Sub/Leuk; Lymphocytes Sub-Population/Leukocytes; RBC Sub-Population/WBC; Red Blood Cells Sub-Population/White Blood Cells</t>
  </si>
  <si>
    <t>A relative measurement (ratio or percentage) of a sub-population of lymphocytes to total leukocytes in a biological specimen.</t>
  </si>
  <si>
    <t>Lymphocyte Subpopulation to Leukocyte Ratio Measurement</t>
  </si>
  <si>
    <t>LYSLY</t>
  </si>
  <si>
    <t>Lym Sub/Lym</t>
  </si>
  <si>
    <t>Lym Sub/Lym; Lymphocytes Sub-Population/Lymphocytes; Lymphocytes Sub/Lymphocytes</t>
  </si>
  <si>
    <t>A relative measurement (ratio or percentage) of a subpopulation of lymphocytes to lymphocytes in a biological specimen.</t>
  </si>
  <si>
    <t>Lymphocyte Subpopulation to Total Lymphocytes Ratio Measurement</t>
  </si>
  <si>
    <t>LYSLYS</t>
  </si>
  <si>
    <t>Lym Sub/Lym Sub</t>
  </si>
  <si>
    <t>Lym Sub/Lym Sub; Lymphocytes Sub-Population/Lymphocytes Sub-Population</t>
  </si>
  <si>
    <t>A relative measurement (ratio or percentage) of a sub-population of lymphocytes to a sub-population of lymphocytes in a biological specimen.</t>
  </si>
  <si>
    <t>Lymphocyte Subpopulation to Lymphocyte Subpopulation Ratio Measurement</t>
  </si>
  <si>
    <t>LYSOGB3</t>
  </si>
  <si>
    <t>Globotriaosylsphingosine</t>
  </si>
  <si>
    <t>Globotriaosylsphingosine; Lyso-Gb3; Lyso-GL3</t>
  </si>
  <si>
    <t>A measurement of the globotriaosylsphingosine in a biological specimen.</t>
  </si>
  <si>
    <t>Globotriaosylsphingosine Measurement</t>
  </si>
  <si>
    <t>LYSOGL1</t>
  </si>
  <si>
    <t>Glucopsychosine</t>
  </si>
  <si>
    <t>Glucopsychosine; Glucosylsphingosine; Lyso-GL1</t>
  </si>
  <si>
    <t>A measurement of the glucopsychosine in a biological specimen.</t>
  </si>
  <si>
    <t>Glucopsychosine Measurement</t>
  </si>
  <si>
    <t>LYSOZYME</t>
  </si>
  <si>
    <t>Lysozyme</t>
  </si>
  <si>
    <t>A measurement of lysozyme in a biological specimen.</t>
  </si>
  <si>
    <t>Lysozyme Measurement</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</si>
  <si>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</si>
  <si>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</si>
  <si>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</si>
  <si>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</si>
  <si>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</si>
  <si>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MAB</t>
  </si>
  <si>
    <t>Mycobacterium abscessus</t>
  </si>
  <si>
    <t>A measurement of the Mycobacterium abscessus in a biological specimen.</t>
  </si>
  <si>
    <t>Mycobacterium abscessus Measurement</t>
  </si>
  <si>
    <t>MABCHMCA</t>
  </si>
  <si>
    <t>MAB-CHMINACA</t>
  </si>
  <si>
    <t>A measurement of the synthetic cannabinoid MAB-CHMINACA in a biological specimen.</t>
  </si>
  <si>
    <t>MAB-CHMINACA Measurement</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</si>
  <si>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</si>
  <si>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</si>
  <si>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</si>
  <si>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</si>
  <si>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</si>
  <si>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MACROBLD</t>
  </si>
  <si>
    <t>Macroscopic Blood</t>
  </si>
  <si>
    <t>Macroscopic Blood; Visible Blood</t>
  </si>
  <si>
    <t>A measurement of the blood in body products such as a urine or stool sample, and visibly detectable on gross examination.</t>
  </si>
  <si>
    <t>Macroscopic Blood Measurement</t>
  </si>
  <si>
    <t>MACROCY</t>
  </si>
  <si>
    <t>Macrocytes</t>
  </si>
  <si>
    <t>A measurement of the macrocytes in a biological specimen.</t>
  </si>
  <si>
    <t>Macrocyte Count</t>
  </si>
  <si>
    <t>MAGFSTR</t>
  </si>
  <si>
    <t>Magnetic Field Strength</t>
  </si>
  <si>
    <t>A measurement of the force of magnetism that acts in the region around a magnetic material or a moving electrical charge.</t>
  </si>
  <si>
    <t>MAIT</t>
  </si>
  <si>
    <t>Mucosal-Associated Invariant T-Lym</t>
  </si>
  <si>
    <t>MAIT; MAIT cells; Mucosal-Associated Invariant T Cells; Mucosal-Associated Invariant T-Lym; Mucosal-Associated Invariant T-Lymphocytes</t>
  </si>
  <si>
    <t>A measurement of mucosal-associated invariant T-lymphocytes in a biological specimen.</t>
  </si>
  <si>
    <t>Mucosal-Associated Invariant T-Lymphocyte Count</t>
  </si>
  <si>
    <t>MAITLE</t>
  </si>
  <si>
    <t>MAIT/Leuk</t>
  </si>
  <si>
    <t>MAIT Cells/Leukocytes; MAIT/Leuk; Mucosal-Associated Invariant T-Lymphocytes/Leukocytes</t>
  </si>
  <si>
    <t>A relative measurement (ratio or percentage) of mucosal-associated invariant T-lymphocytes to leukocytes in a biological specimen.</t>
  </si>
  <si>
    <t>Mucosal-Associated Invariant T-Lymphocyte to Leukocyte Ratio Measurement</t>
  </si>
  <si>
    <t>MAITSP</t>
  </si>
  <si>
    <t>MAIT Sub/MAIT</t>
  </si>
  <si>
    <t>MAIT cells Sub/MAIT cells; MAIT Sub/MAIT; Mucosal-Associated Invariant T Cells Sub-Population/Mucosal-Associated Invariant T Cells; Mucosal-Associated Invariant T-Lymphocytes Sub-Population/Mucosal-Associated Invariant T-Lymphocytes</t>
  </si>
  <si>
    <t>A relative measurement of a sub-population of mucosal-associated invariant T-lymphocytes to all mucosal associated T-lymphocytes in a biological specimen.</t>
  </si>
  <si>
    <t>Mucosal-Associated Invariant T-Lymphocyte Subpopulation to Mucosal-Associated T-Lymphocyte Ratio Measurement</t>
  </si>
  <si>
    <t>MAITTLY</t>
  </si>
  <si>
    <t>MAIT/TLym</t>
  </si>
  <si>
    <t>MAIT Cells/T Cells; MAIT/TLym; Mucosal-Associated Invariant T Cells/T-Lymphocytes; Mucosal-Associated Invariant T-Lymphocytes/T-Lymphocytes</t>
  </si>
  <si>
    <t>A relative measurement (ratio or percentage) of mucosal-associated invariant T-lymphocytes to T-lymphocytes in a biological specimen.</t>
  </si>
  <si>
    <t>Mucosal-Associated Invariant T-Lymphocyte to T-Lymphocyte Ratio Measurement</t>
  </si>
  <si>
    <t>MALEVDES</t>
  </si>
  <si>
    <t>Malignancy Evidence Description</t>
  </si>
  <si>
    <t>The basis for the determination that a malignancy is present.</t>
  </si>
  <si>
    <t>Evidence of Malignant Disease Description</t>
  </si>
  <si>
    <t>MALIND</t>
  </si>
  <si>
    <t>Malignancy Indicator</t>
  </si>
  <si>
    <t>An indication as to whether a malignancy is present.</t>
  </si>
  <si>
    <t>Malignant Disease Indicator</t>
  </si>
  <si>
    <t>MANDL</t>
  </si>
  <si>
    <t>Mandibular Length</t>
  </si>
  <si>
    <t>A measurement of the length of the mandible.</t>
  </si>
  <si>
    <t>MANNITOL</t>
  </si>
  <si>
    <t>Mannitol</t>
  </si>
  <si>
    <t>A measurement of the mannitol in a biological specimen.</t>
  </si>
  <si>
    <t>Mannitol Measurement</t>
  </si>
  <si>
    <t>MAP</t>
  </si>
  <si>
    <t>Mean Arterial Pressure</t>
  </si>
  <si>
    <t>The mean pressure of the blood within the arterial circulation.</t>
  </si>
  <si>
    <t>MARISTAT</t>
  </si>
  <si>
    <t>Marital Status</t>
  </si>
  <si>
    <t>The state or condition of a person's matrimonial status.</t>
  </si>
  <si>
    <t>MASS</t>
  </si>
  <si>
    <t>Mass</t>
  </si>
  <si>
    <t>The amount of matter in an object.</t>
  </si>
  <si>
    <t>MASSIND</t>
  </si>
  <si>
    <t>Mass Indicator</t>
  </si>
  <si>
    <t>An indication as to whether a mass is present.</t>
  </si>
  <si>
    <t>MASTCE</t>
  </si>
  <si>
    <t>Mast Cells</t>
  </si>
  <si>
    <t>Mast Cells; Mastocytes</t>
  </si>
  <si>
    <t>A measurement of the mast cells in a biological specimen.</t>
  </si>
  <si>
    <t>Mast Cell Count</t>
  </si>
  <si>
    <t>MASTCECE</t>
  </si>
  <si>
    <t>Mast Cells/Total Cells</t>
  </si>
  <si>
    <t>A relative measurement (ratio or percentage) of the mast cells to total cells in a biological specimen.</t>
  </si>
  <si>
    <t>Mast Cell to Total Cell Ratio Measurement</t>
  </si>
  <si>
    <t>MASTCELE</t>
  </si>
  <si>
    <t>Mast Cells/Leukocytes</t>
  </si>
  <si>
    <t>A relative measurement (ratio or percentage) of mast cells to total leukocytes in a biological specimen.</t>
  </si>
  <si>
    <t>Mast Cells to Leukocytes Ratio Measurement</t>
  </si>
  <si>
    <t>MAVCM</t>
  </si>
  <si>
    <t>Mycobacterium avium Complex</t>
  </si>
  <si>
    <t>A measurement of the group of bacterial species that can be assigned to the Mycobacterium avium complex in a biological specimen.</t>
  </si>
  <si>
    <t>Mycobacterium avium Complex Measurement</t>
  </si>
  <si>
    <t>MAXBOLUS</t>
  </si>
  <si>
    <t>Maximum Bolus</t>
  </si>
  <si>
    <t>Max Bolus; Maximum Bolus</t>
  </si>
  <si>
    <t>A setting and safety feature on a device to control the maximum amount of a substance delivered in a single bolus.</t>
  </si>
  <si>
    <t>Maximum Bolus Device Setting</t>
  </si>
  <si>
    <t>MAXPEFFW</t>
  </si>
  <si>
    <t>Maximal Pericardial Effusion Width</t>
  </si>
  <si>
    <t>The quantitative measurement of the maximum separation between the parietal and visceral pericardia during diastole.</t>
  </si>
  <si>
    <t>MAXPREHR</t>
  </si>
  <si>
    <t>Maximum Predicted Heart Rate</t>
  </si>
  <si>
    <t>The predicted upper limit for an individual's heart rate, which is calculated as 220 minus the subject's age for men, and 210 minus the subject's age for women.</t>
  </si>
  <si>
    <t>MAYHEG</t>
  </si>
  <si>
    <t>May-Hegglin Anomaly</t>
  </si>
  <si>
    <t>A measurement of the May-Hegglin anomaly in a blood sample. This anomaly is characterized by large, misshapen platelets and the presence of Dohle bodies in leukocytes.</t>
  </si>
  <si>
    <t>May-Hegglin Anomaly Measurement</t>
  </si>
  <si>
    <t>MAZINDOL</t>
  </si>
  <si>
    <t>Mazindol</t>
  </si>
  <si>
    <t>A measurement of the mazindol in a biological specimen.</t>
  </si>
  <si>
    <t>Mazindol Measurement</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</si>
  <si>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</si>
  <si>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</si>
  <si>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</si>
  <si>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</si>
  <si>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</si>
  <si>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</si>
  <si>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</si>
  <si>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</si>
  <si>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MBFVEL</t>
  </si>
  <si>
    <t>Mean Blood Flow Velocity</t>
  </si>
  <si>
    <t>A measurement of the mean velocity of blood across an area or tissue.</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</si>
  <si>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</si>
  <si>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</si>
  <si>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</si>
  <si>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</si>
  <si>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</si>
  <si>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</si>
  <si>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</si>
  <si>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</si>
  <si>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</si>
  <si>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</si>
  <si>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</si>
  <si>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</si>
  <si>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</si>
  <si>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</si>
  <si>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</si>
  <si>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</si>
  <si>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</si>
  <si>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</si>
  <si>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</si>
  <si>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</si>
  <si>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</si>
  <si>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</si>
  <si>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</si>
  <si>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</si>
  <si>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</si>
  <si>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</si>
  <si>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</si>
  <si>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</si>
  <si>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</si>
  <si>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</si>
  <si>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</si>
  <si>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</si>
  <si>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</si>
  <si>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</si>
  <si>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</si>
  <si>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</si>
  <si>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MBP</t>
  </si>
  <si>
    <t>Myelin Basic Protein</t>
  </si>
  <si>
    <t>A measurement of the myelin basic protein in a biological specimen.</t>
  </si>
  <si>
    <t>Myelin Basic Protein Measurement</t>
  </si>
  <si>
    <t>MBRMST</t>
  </si>
  <si>
    <t>Missed Bolus Reminder Status</t>
  </si>
  <si>
    <t>The status of a setting that enables alerts if a bolus is not delivered during a pre-specified time period. (NCI)</t>
  </si>
  <si>
    <t>MCA</t>
  </si>
  <si>
    <t>Moraxella catarrhalis</t>
  </si>
  <si>
    <t>A measurement of the Moraxella catarrhalis in a biological specimen.</t>
  </si>
  <si>
    <t>Moraxella catarrhalis Measurement</t>
  </si>
  <si>
    <t>MCA2</t>
  </si>
  <si>
    <t>2-Methylcitrate</t>
  </si>
  <si>
    <t>2-Methylcitrate; 2-Methylcitric Acid; MCA; Methylcitrate; Methylcitric Acid</t>
  </si>
  <si>
    <t>A measurement of the 2-methylcitrate in a biological specimen.</t>
  </si>
  <si>
    <t>2-Methylcitrate Measurement</t>
  </si>
  <si>
    <t>MCADNA</t>
  </si>
  <si>
    <t>Moraxella catarrhalis DNA</t>
  </si>
  <si>
    <t>A measurement of the Moraxella catarrhalis DNA in a biological specimen.</t>
  </si>
  <si>
    <t>Moraxella catarrhalis DNA Measurement</t>
  </si>
  <si>
    <t>MCATHNON</t>
  </si>
  <si>
    <t>Methcathinone</t>
  </si>
  <si>
    <t>Ephedrone; Methcathinone</t>
  </si>
  <si>
    <t>A measurement of the methcathinone in a biological specimen.</t>
  </si>
  <si>
    <t>Methcathinone Measurement</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</si>
  <si>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</si>
  <si>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</si>
  <si>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</si>
  <si>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</si>
  <si>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Mycobacterium chelonae</t>
  </si>
  <si>
    <t>A measurement of the Mycobacterium chelonae in a biological specimen.</t>
  </si>
  <si>
    <t>Mycobacterium chelonae Measurement</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</si>
  <si>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</si>
  <si>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</si>
  <si>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</si>
  <si>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</si>
  <si>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MCORGIDN</t>
  </si>
  <si>
    <t>Microbial Organism Identification</t>
  </si>
  <si>
    <t>The identification of the type of a microbial organism in a biological specimen.</t>
  </si>
  <si>
    <t>Microoganism Identification</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</si>
  <si>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</si>
  <si>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</si>
  <si>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</si>
  <si>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</si>
  <si>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</si>
  <si>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</si>
  <si>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</si>
  <si>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</si>
  <si>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</si>
  <si>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</si>
  <si>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MCPHG</t>
  </si>
  <si>
    <t>Macrophages</t>
  </si>
  <si>
    <t>A measurement of the macrophages in a biological specimen.</t>
  </si>
  <si>
    <t>Macrophage Count</t>
  </si>
  <si>
    <t>MCPHGCE</t>
  </si>
  <si>
    <t>Macrophages/Total Cells</t>
  </si>
  <si>
    <t>A relative measurement (ratio or percentage) of the macrophages to total cells in a biological specimen.</t>
  </si>
  <si>
    <t>Macrophage to Total Cell Ratio Measurement</t>
  </si>
  <si>
    <t>MCPHGLE</t>
  </si>
  <si>
    <t>Macrophages/Leukocytes</t>
  </si>
  <si>
    <t>A relative measurement (ratio or percentage) of the macrophages to leukocytes in a biological specimen.</t>
  </si>
  <si>
    <t>Macrophage to Leukocyte Ratio</t>
  </si>
  <si>
    <t>MCPHGM1</t>
  </si>
  <si>
    <t>Macrophages M1</t>
  </si>
  <si>
    <t>A measurement of the M1 macrophages in a biological specimen.</t>
  </si>
  <si>
    <t>M1 Macrophage Count</t>
  </si>
  <si>
    <t>MCPHGM2</t>
  </si>
  <si>
    <t>Macrophages M2</t>
  </si>
  <si>
    <t>A measurement of the M2 macrophages in a biological specimen.</t>
  </si>
  <si>
    <t>M2 Macrophage Count</t>
  </si>
  <si>
    <t>MCPHGMN</t>
  </si>
  <si>
    <t>Macrophages/Monocytes</t>
  </si>
  <si>
    <t>A relative measurement (ratio or percentage) of the macrophages to monocytes in a biological specimen.</t>
  </si>
  <si>
    <t>Macrophage to Monocyte Ratio Measurement</t>
  </si>
  <si>
    <t>MCPHGMYC</t>
  </si>
  <si>
    <t>Macrophages/Myeloid Cells</t>
  </si>
  <si>
    <t>A relative measurement (ratio or percentage) of the macrophages to myeloid cells in a biological specimen.</t>
  </si>
  <si>
    <t>Macrophage to Myeloid Cell Ratio Measurement</t>
  </si>
  <si>
    <t>MCPHGS</t>
  </si>
  <si>
    <t>Macrophages Sub</t>
  </si>
  <si>
    <t>Macrophages Sub; Macrophages Sub-Population</t>
  </si>
  <si>
    <t>A measurement of a sub-population of macrophages in a biological specimen.</t>
  </si>
  <si>
    <t>Macrophage Subpopulation Count</t>
  </si>
  <si>
    <t>MCPHNSQE</t>
  </si>
  <si>
    <t>Macrophages/Non-Squam Epi Cells</t>
  </si>
  <si>
    <t>A relative measurement (ratio or percentage) of the macrophages to non-squamous epithelial cells in a biological specimen.</t>
  </si>
  <si>
    <t>Macrophages to Non-Squamous Epithelial Cells Ratio Measurement</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</si>
  <si>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</si>
  <si>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</si>
  <si>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</si>
  <si>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</si>
  <si>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</si>
  <si>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MCSF</t>
  </si>
  <si>
    <t>Macrophage Colony Stimulating Factor</t>
  </si>
  <si>
    <t>A measurement of the macrophage colony stimulating factor in a biological specimen.</t>
  </si>
  <si>
    <t>Macrophage Colony Stimulating Factor Measurement</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</si>
  <si>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</si>
  <si>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</si>
  <si>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</si>
  <si>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</si>
  <si>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</si>
  <si>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MCVRETIC</t>
  </si>
  <si>
    <t>MCV Reticulocytes</t>
  </si>
  <si>
    <t>MCV Reticulocytes; MCVr; Mean Corpuscular Volume Reticulocytes</t>
  </si>
  <si>
    <t>A measurement of the mean volume of reticulocytes in a biological specimen.</t>
  </si>
  <si>
    <t>Reticulocyte Mean Corpuscular Volume</t>
  </si>
  <si>
    <t>MCYLE</t>
  </si>
  <si>
    <t>Myeloid Cells/Leuk</t>
  </si>
  <si>
    <t>Myeloid Cells/Leuk; Myeloid Cells/Leukocytes</t>
  </si>
  <si>
    <t>A relative measurement (ratio or percentage) of the myeloid cells to leukocytes in a biological specimen.</t>
  </si>
  <si>
    <t>Myeloid Cell to Leukocyte Ratio Measurement</t>
  </si>
  <si>
    <t>MDA</t>
  </si>
  <si>
    <t>3,4-methylenedioxyamphetamine</t>
  </si>
  <si>
    <t>A measurement of the 3,4-methylenedioxyamphetamine in a biological specimen.</t>
  </si>
  <si>
    <t>3,4-methylenedioxyamphetamine Measurement</t>
  </si>
  <si>
    <t>MDALD</t>
  </si>
  <si>
    <t>Malondialdehyde</t>
  </si>
  <si>
    <t>Malondialdehyde; MDA</t>
  </si>
  <si>
    <t>A measurement of the malondialdehyde in a biological specimen.</t>
  </si>
  <si>
    <t>Malondialdehyde Measurement</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</si>
  <si>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</si>
  <si>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</si>
  <si>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</si>
  <si>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</si>
  <si>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</si>
  <si>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MDCDIND</t>
  </si>
  <si>
    <t>Medicaid Indicator</t>
  </si>
  <si>
    <t>An indication as to whether the subject is covered by Medicaid.</t>
  </si>
  <si>
    <t>MDCRIND</t>
  </si>
  <si>
    <t>Medicare Indicator</t>
  </si>
  <si>
    <t>An indication as to whether the subject is covered by Medicare.</t>
  </si>
  <si>
    <t>MDEA</t>
  </si>
  <si>
    <t>3,4-methylenedioxy-N-ethylamphetamine</t>
  </si>
  <si>
    <t>3,4-methylenedioxy-N-ethylamphetamine; Eve; MDE</t>
  </si>
  <si>
    <t>A measurement of the 3,4-methylenedioxy-N-ethylamphetamine in a biological specimen.</t>
  </si>
  <si>
    <t>3,4-methylenedioxy-N-ethylamphetamine Measurement</t>
  </si>
  <si>
    <t>MDMA</t>
  </si>
  <si>
    <t>3,4-methylenedioxymethamphetamine</t>
  </si>
  <si>
    <t>3,4-methylenedioxymethamphetamine; Ecstasy</t>
  </si>
  <si>
    <t>A measurement of the 3,4-methylenedioxymethamphetamine (MDMA) in a biological specimen.</t>
  </si>
  <si>
    <t>3,4-Methylenedioxymethamphetamine Measurement</t>
  </si>
  <si>
    <t>MDSC</t>
  </si>
  <si>
    <t>MDSC; Myeloid-Derived Suppressor Cells</t>
  </si>
  <si>
    <t>A measurement of the myeloid-derived suppressor cells in a biological specimen.</t>
  </si>
  <si>
    <t>Myeloid-Derived Suppressor Cell Count</t>
  </si>
  <si>
    <t>MDSCG</t>
  </si>
  <si>
    <t>MDSC Gran</t>
  </si>
  <si>
    <t>G-MDSC; gMDSC; MDSC Gran; Myeloid-Derived Suppressor Cells Granulocytic; PMN-MDSC</t>
  </si>
  <si>
    <t>A measurement of the granulocytic myeloid-derived suppressor cells in a biological specimen.</t>
  </si>
  <si>
    <t>Granulocytic Myeloid-Derived Suppressor Cell Count</t>
  </si>
  <si>
    <t>MDSCGS</t>
  </si>
  <si>
    <t>MDSC Gran Sub</t>
  </si>
  <si>
    <t>MDSC Gran Sub; Myeloid-Derived Suppressor Cells Granulocytic Sub-Population</t>
  </si>
  <si>
    <t>A measurement of a subpopulation of granulocytic myeloid-derived suppressor cells in a biological specimen.</t>
  </si>
  <si>
    <t>Granulocytic Myeloid-Derived Suppressor Cell Subpopulation Count</t>
  </si>
  <si>
    <t>MDSCLES</t>
  </si>
  <si>
    <t>MDSC/Leuk Sub</t>
  </si>
  <si>
    <t>MDSC/Leuk Sub; Myeloid-Derived Suppressor Cells/Leukocytes Sub-Population</t>
  </si>
  <si>
    <t>A relative measurement (ratio or percentage) of the myeloid-derived suppressor cells to a sub-population of leukocytes in a biological specimen.</t>
  </si>
  <si>
    <t>Myeloid Derived Suppressor Cell to Leukocyte Subpopulation Ratio Measurement</t>
  </si>
  <si>
    <t>MDSCM</t>
  </si>
  <si>
    <t>MDSC Mono</t>
  </si>
  <si>
    <t>M-MDSC; MDSC Mono; mMDSC; Myeloid-Derived Suppressor Cells Monocytic</t>
  </si>
  <si>
    <t>A measurement of the monocytic myeloid-derived suppressor cells in a biological specimen.</t>
  </si>
  <si>
    <t>Monocytic Myeloid-Derived Suppressor Cell Count</t>
  </si>
  <si>
    <t>MDSCMS</t>
  </si>
  <si>
    <t>MDSC Mono Sub</t>
  </si>
  <si>
    <t>MDSC Mono Sub; Myeloid-Derived Suppressor Cells Monocytic Sub-Population</t>
  </si>
  <si>
    <t>A measurement of a subpopulation of monocytic myeloid-derived suppressor cells in a biological specimen.</t>
  </si>
  <si>
    <t>Monocytic Myeloid-Derived Suppressor Cell Subpopulation Count</t>
  </si>
  <si>
    <t>MDSCS</t>
  </si>
  <si>
    <t>MDSC Sub</t>
  </si>
  <si>
    <t>MDSC Sub; MDSC Sub-Population; Myeloid-Derived Suppressor Cells Sub-Population</t>
  </si>
  <si>
    <t>A measurement of a subpopulation of myeloid-derived suppressor cells in a biological specimen.</t>
  </si>
  <si>
    <t>Myeloid-Derived Suppressor Cell Subpopulation Count</t>
  </si>
  <si>
    <t>MDSDN</t>
  </si>
  <si>
    <t>MDSC Dbl Neg</t>
  </si>
  <si>
    <t>MDSC Dbl Neg; Myeloid-Derived Suppressor Cells Double Negative</t>
  </si>
  <si>
    <t>A measurement of the double-negative myeloid-derived suppressor cells (any MDSC that is both CD14-CD15-) in a biological specimen.</t>
  </si>
  <si>
    <t>Double-Negative Myeloid-Derived Suppressor Cell Count</t>
  </si>
  <si>
    <t>MDSDNMS</t>
  </si>
  <si>
    <t>MDSC Dbl Neg/MDSC</t>
  </si>
  <si>
    <t>MDSC Dbl Neg/MDSC; Myeloid-Derived Suppressor Cells Double Negative/Myeloid-Derived Suppressor Cells</t>
  </si>
  <si>
    <t>A relative measurement (ratio or percentage) of the double negative myeloid-derived suppressor cells to all myeloid-derived suppressor cells in a biological specimen.</t>
  </si>
  <si>
    <t>Double-Negative Myeloid-Derived Suppressor Cell to Myeloid-Derived Suppressor Cell Ratio Measurement</t>
  </si>
  <si>
    <t>MDSDNS</t>
  </si>
  <si>
    <t>MDSC Dbl Neg Sub</t>
  </si>
  <si>
    <t>Double-Negative Myeloid-Derived Suppressor Cells Sub-Population; MDSC Dbl Neg Sub; MDSC Double-Negative Sub-Population</t>
  </si>
  <si>
    <t>A measurement of a sub-population of double-negative myeloid-derived suppressor cells in a biological specimen.</t>
  </si>
  <si>
    <t>Double-Negative Myeloid-Derived Suppressor Subpopulation Count</t>
  </si>
  <si>
    <t>MDSDNSMS</t>
  </si>
  <si>
    <t>MDSC Dbl Neg Sub/MDSC</t>
  </si>
  <si>
    <t>MDSC Dbl Neg Sub/MDSC; Myeloid-Derived Suppressor Cell Double Negative Sub-Population/Myeloid-Derived Suppressor Cells</t>
  </si>
  <si>
    <t>A relative measurement (ratio or percentage) of a sub-population of double-negative myeloid-derived suppressor cells to all myeloid-derived suppressor cells in a biological specimen.</t>
  </si>
  <si>
    <t>Double-Negative Myeloid-Derived Suppressor Cell Subpopulation to Myeloid-Derived Suppressor Cell Ratio Measurement</t>
  </si>
  <si>
    <t>MDSDNSP</t>
  </si>
  <si>
    <t>MDSC Dbl Neg Sub/MDSC Dbl Neg</t>
  </si>
  <si>
    <t>MDSC Dbl Neg Sub/MDSC Dbl Neg; Myeloid-Derived Suppressor Cell Double Negative Sub-Population/Myeloid-Derived Suppressor Cells Double Negative</t>
  </si>
  <si>
    <t>A relative measurement (ratio or percentage) of a sub-population of double-negative myeloid-derived suppressor cells to all double-negative myeloid-derived suppressor cells in a biological specimen.</t>
  </si>
  <si>
    <t>Double-Negative Myeloid-Derived Suppressor Cell Subpopulation to Double-Negative Myeloid-Derived Suppressor Cell Ratio Measurement</t>
  </si>
  <si>
    <t>MDSGG</t>
  </si>
  <si>
    <t>MDSC Gran/Gran</t>
  </si>
  <si>
    <t>MDSC Gran/Gran; Myeloid-Derived Suppressor Cells Granulocytic/Granulocytes; PMN-MDSC/Gran</t>
  </si>
  <si>
    <t>A relative measurement (ratio or percentage) of the granulocytic myeloid-derived suppressor cells to total granulocytes in a biological specimen.</t>
  </si>
  <si>
    <t>Granulocytic Myeloid-Derived Suppressor Cell to Granulocyte Ratio Measurement</t>
  </si>
  <si>
    <t>MDSGLE</t>
  </si>
  <si>
    <t>MDSC Gran/Leuk</t>
  </si>
  <si>
    <t>MDSC Gran/Leuk; Myeloid-Derived Suppressor Cells Granulocytic/Leukocytes; PMN-MDSC/Leuk</t>
  </si>
  <si>
    <t>A relative measurement (ratio or percentage) of the granulocytic myeloid-derived suppressor cells to total leukocytes in a biological specimen.</t>
  </si>
  <si>
    <t>Granulocytic Myeloid-Derived Suppressor Cell to Leukocyte Ratio Measurement</t>
  </si>
  <si>
    <t>MDSGLYS</t>
  </si>
  <si>
    <t>MDSC Gran/Lym Sub</t>
  </si>
  <si>
    <t>MDSC Gran/Lym Sub; Myeloid-Derived Suppressor Cells Granulocytic/Lymphocyte Sub-Population; PMN-MDSC/Lym Sub</t>
  </si>
  <si>
    <t>A relative measurement (ratio or percentage) of the granulocytic myeloid-derived suppressor cells to a sub-population of lymphocytes in a biological specimen.</t>
  </si>
  <si>
    <t>Granulocytic Myeloid-Derived Suppressor Cell to Lymphocyte Subpopulation Ratio Measurement</t>
  </si>
  <si>
    <t>MDSGMS</t>
  </si>
  <si>
    <t>MDSC Gran/MDSC</t>
  </si>
  <si>
    <t>MDSC Gran/MDSC; Myeloid-Derived Suppressor Cells Granulocytic/Myeloid-Derived Suppressor Cells; PMN-MDSC/MDSC</t>
  </si>
  <si>
    <t>A relative measurement (ratio or percentage) of the granulocytic myeloid-derived suppressor cells to all myeloid-derived suppressor cells in a biological specimen.</t>
  </si>
  <si>
    <t>Granulocytic Myeloid-Derived Suppressor Cell to Myeloid-Derived Suppressor Cell Ratio Measurement</t>
  </si>
  <si>
    <t>MDSGSMS</t>
  </si>
  <si>
    <t>MDSC Gran Sub/MDSC</t>
  </si>
  <si>
    <t>MDSC Gran Sub/MDSC; Myeloid-Derived Suppressor Cell Granulocytic Sub-Population/Myeloid-Derived Suppressor Cells; PMN-MDSC Sub/MDSC</t>
  </si>
  <si>
    <t>A relative measurement (ratio or percentage) of a sub-population of granulocytic myeloid-derived suppressor cells to all myeloid-derived suppressor cells in a biological specimen.</t>
  </si>
  <si>
    <t>Granulocytic Myeloid-Derived Suppressor Cell Subpopulation to Myeloid-Derived Suppressor Cell Ratio Measurement</t>
  </si>
  <si>
    <t>MDSGSP</t>
  </si>
  <si>
    <t>MDSC Gran Sub/MDSC Gran</t>
  </si>
  <si>
    <t>MDSC Gran Sub/MDSC Gran; Myeloid-Derived Suppressor Cells Granulocytic Sub-Population/Myeloid-Derived Suppressor Cells Granulocytic; PMN-MDSC Sub/MDSC Gran</t>
  </si>
  <si>
    <t>A relative measurement (ratio or percentage) of a sub-population of granulocytic myeloid-derived suppressor cells to all granulocytic myeloid-derived suppressor cells in a biological specimen.</t>
  </si>
  <si>
    <t>Granulocytic Myeloid-Derived Suppressor Cell Subpopulation to Granulocytic Myeloid-Derived Suppressor Cell Ratio Measurement</t>
  </si>
  <si>
    <t>MDSLE</t>
  </si>
  <si>
    <t>MDSC/Leuk</t>
  </si>
  <si>
    <t>MDSC/Leuk; Myeloid-Derived Suppressor Cells/Leukocytes</t>
  </si>
  <si>
    <t>A relative measurement (ratio or percentage) of the myeloid-derived suppressor cells to total leukocytes in a biological specimen.</t>
  </si>
  <si>
    <t>Myeloid-Derived Suppressor Cell to Leukocyte Ratio Measurement</t>
  </si>
  <si>
    <t>MDSMLE</t>
  </si>
  <si>
    <t>MDSC Mono/Leuk</t>
  </si>
  <si>
    <t>M-MDSC/Leuk; MDSC Mono/Leuk; Myeloid-Derived Suppressor Cells Monocytic/Leukocytes</t>
  </si>
  <si>
    <t>A relative measurement (ratio or percentage) of the monocytic myeloid-derived suppressor cells to total leukocytes in a biological specimen.</t>
  </si>
  <si>
    <t>Monocytic Myeloid-Derived Suppressor Cell to Leukocyte Ratio Measurement</t>
  </si>
  <si>
    <t>MDSMM</t>
  </si>
  <si>
    <t>MDSC Mono/Mono</t>
  </si>
  <si>
    <t>M-MDSC/Mono; MDSC Mono/Mono; Myeloid-Derived Suppressor Cells Monocytic/Monocytes</t>
  </si>
  <si>
    <t>A relative measurement (ratio) of the monocytic myeloid-derived suppressor cells to total monocytes in a biological specimen.</t>
  </si>
  <si>
    <t>Monocytic Myeloid-Derived Suppressor Cell to Monocyte Ratio Measurement</t>
  </si>
  <si>
    <t>MDSMMS</t>
  </si>
  <si>
    <t>MDSC Mono/MDSC</t>
  </si>
  <si>
    <t>M-MDSC/MDSC; MDSC Mono/MDSC; Myeloid-Derived Suppressor Cells Monocytic/Myeloid-Derived Suppressor Cells</t>
  </si>
  <si>
    <t>A relative measurement (ratio or percentage) of the monocytic myeloid-derived suppressor cells to total myeloid-derived suppressor cells in a biological specimen.</t>
  </si>
  <si>
    <t>Monocytic Myeloid-Derived Suppressor Cell to Myeloid-Derived Suppressor Cell Ratio Measurement</t>
  </si>
  <si>
    <t>MDSMSMS</t>
  </si>
  <si>
    <t>MDSC Mono Sub/MDSC</t>
  </si>
  <si>
    <t>M-MDSC Sub/MDSC; MDSC Mono Sub/MDSC; Myeloid-Derived Suppressor Cell Monocytic Sub-Population/Myeloid-Derived Suppressor Cells</t>
  </si>
  <si>
    <t>A relative measurement (ratio or percentage) of a sub-population of monocytic myeloid-derived suppressor cells to all myeloid-derived suppressor cells in a biological specimen.</t>
  </si>
  <si>
    <t>Monocytic Myeloid-Derived Suppressor Cell Subpopulation to Myeloid-Derived Suppressor Cell Ratio Measurement</t>
  </si>
  <si>
    <t>MDSMSP</t>
  </si>
  <si>
    <t>MDSC Mono Sub/MDSC Mono</t>
  </si>
  <si>
    <t>M-MDSC Sub/MDSC Mono; MDSC Mono Sub/MDSC Mono; Myeloid-Derived Suppressor Cell Monocytic Sub-Population/Myeloid-Derived Suppressor Cells Monocytic</t>
  </si>
  <si>
    <t>A relative measurement (ratio or percentage) of a sub-population of monocytic myeloid-derived suppressor cells to all monocytic myeloid-derived suppressor cells in a biological specimen.</t>
  </si>
  <si>
    <t>Monocytic Myeloid-Derived Suppressor Cell Subpopulation to Monocytic Myeloid-Derived Suppressor Cell Ratio Measurement</t>
  </si>
  <si>
    <t>MDSNGLE</t>
  </si>
  <si>
    <t>MDSC/Non-Gran Leuk</t>
  </si>
  <si>
    <t>MDSC/Leuk Non-Gran; MDSC/Non-Gran Leuk; Myeloid-Derived Suppressor Cells/Leukocytes Non-Granulocytic</t>
  </si>
  <si>
    <t>A relative measurement (ratio or percentage) of the myeloid-derived suppressor cells to total non-granulocytic leukocytes in a biological specimen.</t>
  </si>
  <si>
    <t>Myeloid-Derived Suppressor Cell to Non-Granulocytic Leukocyte Ratio Measurement</t>
  </si>
  <si>
    <t>MDSSLE</t>
  </si>
  <si>
    <t>MDSC Sub/Leuk</t>
  </si>
  <si>
    <t>MDSC Sub/Leuk; Myeloid Derived Suppressor Cell Sub-Population/Leukocytes</t>
  </si>
  <si>
    <t>A relative measurement (ratio or percentage) of a sub-population of myeloid derived suppressor cells to leukocytes in a biological specimen.</t>
  </si>
  <si>
    <t>Myeloid Derived Suppressor Cell Subpopulation to Leukocyte Ratio Measurement</t>
  </si>
  <si>
    <t>MDSSMDSS</t>
  </si>
  <si>
    <t>MDSC Sub/MDSC Sub</t>
  </si>
  <si>
    <t>MDSC Sub/MDSC Sub; Myeloid-Derived Suppressor Cells Sub-Population/Myeloid-Derived Suppressor Cells Sub-Population</t>
  </si>
  <si>
    <t>A relative measurement (ratio or percentage) of a sub-population of myeloid-derived suppressor cells to a sub-population of myeloid-derived suppressor cells in a biological specimen.</t>
  </si>
  <si>
    <t>Myeloid-Derived Suppressor Cell Subpopulation to Myeloid-Derived Suppressor Cell Subpopulation Ratio Measurement</t>
  </si>
  <si>
    <t>MDSSP</t>
  </si>
  <si>
    <t>MDSC Sub/MDSC</t>
  </si>
  <si>
    <t>MDSC Sub/MDSC; Myeloid-Derived Suppressor Cell Sub-Population/Myeloid-Derived Suppressor Cells</t>
  </si>
  <si>
    <t>A relative measurement (ratio or percentage) of a sub-population of myeloid-derived suppressor cells to all myeloid-derived suppressor cells in a biological specimen.</t>
  </si>
  <si>
    <t>Myeloid-Derived Suppressor Cell Subpopulation to Myeloid-Derived Suppressor Cell Ratio Measurement</t>
  </si>
  <si>
    <t>MDW</t>
  </si>
  <si>
    <t>Monocyte Distribution Width</t>
  </si>
  <si>
    <t>A measurement of the monocyte volume dispersion in a biological specimen.</t>
  </si>
  <si>
    <t>Monocyte Distribution Width Measurement</t>
  </si>
  <si>
    <t>MDZLM</t>
  </si>
  <si>
    <t>Midazolam</t>
  </si>
  <si>
    <t>A measurement of the midazolam present in a biological specimen.</t>
  </si>
  <si>
    <t>Midazolam Measurement</t>
  </si>
  <si>
    <t>MDZPM</t>
  </si>
  <si>
    <t>Medazepam</t>
  </si>
  <si>
    <t>A measurement of the medazepam present in a biological specimen.</t>
  </si>
  <si>
    <t>Medazepam Measurement</t>
  </si>
  <si>
    <t>MEAAC</t>
  </si>
  <si>
    <t>2-Amino-3-Methyl-9H-Pyrido[2,3-b]indole</t>
  </si>
  <si>
    <t>2-Amino-3-Methyl-9H-Pyrido[2,3-b]indole; MeA-a-C; Mea-Alpha-C</t>
  </si>
  <si>
    <t>A measurement of the 2-Amino-3-Methyl-9H-Pyrido[2,3-b]indole in a specimen.</t>
  </si>
  <si>
    <t>2-Amino-3-Methyl-9H-Pyrido[2,3-b]indole Measurement</t>
  </si>
  <si>
    <t>MEANBP_E</t>
  </si>
  <si>
    <t>Mean Blood Pressure, Estimated</t>
  </si>
  <si>
    <t>The estimated average blood pressure. (NCI)</t>
  </si>
  <si>
    <t>Estimated Mean Blood Pressure</t>
  </si>
  <si>
    <t>MEANVDIA</t>
  </si>
  <si>
    <t>Mean Vessel Diameter</t>
  </si>
  <si>
    <t>The mean of the inside diameters of the normal blood vessel segments.</t>
  </si>
  <si>
    <t>MEASIND</t>
  </si>
  <si>
    <t>Measurable Tumor Indicator</t>
  </si>
  <si>
    <t>An indication as to whether a measurable tumor is present.</t>
  </si>
  <si>
    <t>MEC50FCB</t>
  </si>
  <si>
    <t>Microbial EC50 Fold Change from Baseline</t>
  </si>
  <si>
    <t>A fold change based on the concentration of a specific drug expected to produce 50 percent inhibition of population growth or replication of a microbial organism. (NCI)</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</si>
  <si>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</si>
  <si>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</si>
  <si>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</si>
  <si>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</si>
  <si>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</si>
  <si>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MEC50R</t>
  </si>
  <si>
    <t>Microbial EC50 Reference Control Result</t>
  </si>
  <si>
    <t>A reference control sample response based on the concentration of a specific drug expected to produce 50 percent inhibition of the population growth or replication of a microbial organism. (NCI)</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</si>
  <si>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</si>
  <si>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</si>
  <si>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</si>
  <si>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MECONIUM</t>
  </si>
  <si>
    <t>Meconium</t>
  </si>
  <si>
    <t>A measurement of the meconium in a biological specimen.</t>
  </si>
  <si>
    <t>Meconium Measurement</t>
  </si>
  <si>
    <t>MENARAGE</t>
  </si>
  <si>
    <t>Menarche Age</t>
  </si>
  <si>
    <t>The age at which the first menstruation event occurred. (NCI)</t>
  </si>
  <si>
    <t>Age at Menarche</t>
  </si>
  <si>
    <t>MENARIND</t>
  </si>
  <si>
    <t>Menarche Indicator</t>
  </si>
  <si>
    <t>An indication as to whether the individual's first menstruation event has occurred.</t>
  </si>
  <si>
    <t>MENFDUR</t>
  </si>
  <si>
    <t>Menses Flow Duration</t>
  </si>
  <si>
    <t>The length of time during which menses is expelled from the uterus.</t>
  </si>
  <si>
    <t>Menses Duration</t>
  </si>
  <si>
    <t>MENFRD</t>
  </si>
  <si>
    <t>Menses Flow Rate Description</t>
  </si>
  <si>
    <t>A subjective description of the menstrual flow rate during a menstrual cycle.</t>
  </si>
  <si>
    <t>MENGL</t>
  </si>
  <si>
    <t>Meningeal Cells</t>
  </si>
  <si>
    <t>A measurement of the mengingeal cells in a biological specimen.</t>
  </si>
  <si>
    <t>Meningeal Cell Count</t>
  </si>
  <si>
    <t>MENGLCE</t>
  </si>
  <si>
    <t>Meningeal Cells/Total Cells</t>
  </si>
  <si>
    <t>A relative measurement (ratio or percentage) of the meningeal cells to total cells in a biological specimen.</t>
  </si>
  <si>
    <t>Meningeal Cell to Total Cell Ratio Measurement</t>
  </si>
  <si>
    <t>MENOAGE</t>
  </si>
  <si>
    <t>Menopause Age</t>
  </si>
  <si>
    <t>The age at which permanent cessation of menses occurred. (NCI)</t>
  </si>
  <si>
    <t>Age at Menopause</t>
  </si>
  <si>
    <t>MENOSTAT</t>
  </si>
  <si>
    <t>Menopause Status</t>
  </si>
  <si>
    <t>The status of a female with respect to menopause.</t>
  </si>
  <si>
    <t>MENREG</t>
  </si>
  <si>
    <t>Menstrual Cycle Regularity</t>
  </si>
  <si>
    <t>A description of how an individual's menstrual cycle conforms to a consistent temporal pattern.</t>
  </si>
  <si>
    <t>MENSDUR</t>
  </si>
  <si>
    <t>Menstrual Cycle Duration</t>
  </si>
  <si>
    <t>The length of time of the menses cycle, measured from the beginning of one menstrual period to the beginning of the next.</t>
  </si>
  <si>
    <t>MENSDURA</t>
  </si>
  <si>
    <t>Average Menstrual Cycle Duration</t>
  </si>
  <si>
    <t>Average Menstrual Cycle Duration; Average Menstrual Cycle Length</t>
  </si>
  <si>
    <t>The average length of time of the menses cycle.</t>
  </si>
  <si>
    <t>MEP</t>
  </si>
  <si>
    <t>Maximal Expiratory Pressure</t>
  </si>
  <si>
    <t>The greatest amount of pressure that can be generated by exhaling against a mouthpiece, which is a measure of the strength of respiratory muscles. (NCI)</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</si>
  <si>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</si>
  <si>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</si>
  <si>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</si>
  <si>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</si>
  <si>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MEPRDN</t>
  </si>
  <si>
    <t>Meperidine</t>
  </si>
  <si>
    <t>A measurement of the meperidine in a biological specimen.</t>
  </si>
  <si>
    <t>Meperidine Measurement</t>
  </si>
  <si>
    <t>MERCECE</t>
  </si>
  <si>
    <t>Maturing Erythroid Cells/Total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</si>
  <si>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</si>
  <si>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</si>
  <si>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</si>
  <si>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MERCURY</t>
  </si>
  <si>
    <t>Mercury</t>
  </si>
  <si>
    <t>Hg; Mercury</t>
  </si>
  <si>
    <t>A measurement of the mercury in a specimen.</t>
  </si>
  <si>
    <t>Mercury Measurement</t>
  </si>
  <si>
    <t>MERSRNA</t>
  </si>
  <si>
    <t>MERS-CoV RNA</t>
  </si>
  <si>
    <t>A measurement of the MERS-CoV RNA in a biological specimen.</t>
  </si>
  <si>
    <t>MERS-CoV RNA Measurement</t>
  </si>
  <si>
    <t>MESCALIN</t>
  </si>
  <si>
    <t>Mescaline</t>
  </si>
  <si>
    <t>3,4,5-trimethoxyphenethylamine; Mescaline</t>
  </si>
  <si>
    <t>A measurement of the mescaline in a biological specimen.</t>
  </si>
  <si>
    <t>Mescaline Measurement</t>
  </si>
  <si>
    <t>MESORDZN</t>
  </si>
  <si>
    <t>Mesoridazine</t>
  </si>
  <si>
    <t>A measurement of the mesoridazine in a biological specimen.</t>
  </si>
  <si>
    <t>Mesoridazine Measurement</t>
  </si>
  <si>
    <t>MET</t>
  </si>
  <si>
    <t>Methionine</t>
  </si>
  <si>
    <t>A measurement of the methionine in a biological specimen.</t>
  </si>
  <si>
    <t>Methionine Measurement</t>
  </si>
  <si>
    <t>METAMY</t>
  </si>
  <si>
    <t>Metamyelocytes</t>
  </si>
  <si>
    <t>A measurement of the metamyelocytes (small, myelocytic neutrophils with an indented nucleus) in a biological specimen.</t>
  </si>
  <si>
    <t>Metamyelocyte Count</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</si>
  <si>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</si>
  <si>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</si>
  <si>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</si>
  <si>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</si>
  <si>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</si>
  <si>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</si>
  <si>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</si>
  <si>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</si>
  <si>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METANEPH</t>
  </si>
  <si>
    <t>Metanephrine</t>
  </si>
  <si>
    <t>Metadrenaline; Metanephrine</t>
  </si>
  <si>
    <t>A measurement of the metanephrine in a biological specimen.</t>
  </si>
  <si>
    <t>Metanephrine Measurement</t>
  </si>
  <si>
    <t>METANEXR</t>
  </si>
  <si>
    <t>Metanephrine Excretion Rate</t>
  </si>
  <si>
    <t>A measurement of the amount of metanephrine being excreted in a biological specimen over a defined amount of time (e.g. one hour).</t>
  </si>
  <si>
    <t>METARBCE</t>
  </si>
  <si>
    <t>Metarubricyte/Total Cells</t>
  </si>
  <si>
    <t>A relative measurement (ratio or percentage) of the metarubricytes to total cells in a biological specimen.</t>
  </si>
  <si>
    <t>Metarubricyte to Total Cell Ratio Measurement</t>
  </si>
  <si>
    <t>METARBLE</t>
  </si>
  <si>
    <t>Metarubricytes/Leukocytes</t>
  </si>
  <si>
    <t>A relative measurement (ratio or percentage) of the metarubricytes to leukocytes in a biological specimen.</t>
  </si>
  <si>
    <t>Metarubricyte to Leukocyte Ratio Measurement</t>
  </si>
  <si>
    <t>METARUB</t>
  </si>
  <si>
    <t>Metarubricyte</t>
  </si>
  <si>
    <t>Acidophilic Erythroblast; Metarubricyte; Orthochromatophilic Normoblast; Orthochromic Erythroblast; Orthochromic Normoblast</t>
  </si>
  <si>
    <t>A measurement of the metarubricytes in a biological specimen.</t>
  </si>
  <si>
    <t>Metarubricyte Count</t>
  </si>
  <si>
    <t>METASE</t>
  </si>
  <si>
    <t>Methyltransferase</t>
  </si>
  <si>
    <t>A measurement of the total methyltransferase in a biological specimen.</t>
  </si>
  <si>
    <t>Methyltransferase Measurement</t>
  </si>
  <si>
    <t>METHAMPH</t>
  </si>
  <si>
    <t>Methamphetamine</t>
  </si>
  <si>
    <t>A measurement of the methamphetamine drug present in a biological specimen.</t>
  </si>
  <si>
    <t>Methamphetamine Measurement</t>
  </si>
  <si>
    <t>METHANE</t>
  </si>
  <si>
    <t>Methane</t>
  </si>
  <si>
    <t>CH4; Methane</t>
  </si>
  <si>
    <t>A measurement of the methane in a biological specimen.</t>
  </si>
  <si>
    <t>Methane Measurement</t>
  </si>
  <si>
    <t>METHANOL</t>
  </si>
  <si>
    <t>Methanol</t>
  </si>
  <si>
    <t>A measurement of the methanol in a biological specimen.</t>
  </si>
  <si>
    <t>Methanol Measurement</t>
  </si>
  <si>
    <t>METHDN</t>
  </si>
  <si>
    <t>Methadone</t>
  </si>
  <si>
    <t>A measurement of the methadone present in a biological specimen.</t>
  </si>
  <si>
    <t>Methadone Measurement</t>
  </si>
  <si>
    <t>METHPHEN</t>
  </si>
  <si>
    <t>Methylphenidate</t>
  </si>
  <si>
    <t>A measurement of the methylphenidate in a biological specimen.</t>
  </si>
  <si>
    <t>Methylphenidate Measurement</t>
  </si>
  <si>
    <t>METHQLDN</t>
  </si>
  <si>
    <t>Methaqualone</t>
  </si>
  <si>
    <t>A measurement of the methaqualone present in a biological specimen.</t>
  </si>
  <si>
    <t>Methaqualone Measurement</t>
  </si>
  <si>
    <t>METIND</t>
  </si>
  <si>
    <t>Metastatic Tumor Site Indicator</t>
  </si>
  <si>
    <t>An indication as to whether an anatomical location contains metastases.</t>
  </si>
  <si>
    <t>MFENRX</t>
  </si>
  <si>
    <t>Mefenorex</t>
  </si>
  <si>
    <t>A measurement of the mefenorex in a biological specimen.</t>
  </si>
  <si>
    <t>Mefenorex Measurement</t>
  </si>
  <si>
    <t>MFILARIA</t>
  </si>
  <si>
    <t>Microfilaria</t>
  </si>
  <si>
    <t>Presence of microfilaria stage of filarial nematodes in smears prepared from whole blood or other body fluids.</t>
  </si>
  <si>
    <t>Microfilaria Measurement</t>
  </si>
  <si>
    <t>MFO</t>
  </si>
  <si>
    <t>Mycobacterium fortuitum</t>
  </si>
  <si>
    <t>A measurement of the Mycobacterium fortuitum in a biological specimen.</t>
  </si>
  <si>
    <t>Mycobacterium fortuitum Measurement</t>
  </si>
  <si>
    <t>MG</t>
  </si>
  <si>
    <t>Magnesium</t>
  </si>
  <si>
    <t>A measurement of the magnesium in a biological specimen.</t>
  </si>
  <si>
    <t>Magnesium Measurement</t>
  </si>
  <si>
    <t>MGB</t>
  </si>
  <si>
    <t>Myoglobin</t>
  </si>
  <si>
    <t>A measurement of myoglobin in a biological specimen.</t>
  </si>
  <si>
    <t>Myoglobin Measurement</t>
  </si>
  <si>
    <t>MGBCREAT</t>
  </si>
  <si>
    <t>Myoglobin/Creatinine</t>
  </si>
  <si>
    <t>A relative measurement (ratio or percentage) of the myoglobin to creatinine present in a sample.</t>
  </si>
  <si>
    <t>Myoglobin to Creatinine Ratio Measurement</t>
  </si>
  <si>
    <t>MGCREAT</t>
  </si>
  <si>
    <t>Magnesium/Creatinine</t>
  </si>
  <si>
    <t>A relative measurement (ratio or percentage) of the magnesium to creatinine in a biological specimen.</t>
  </si>
  <si>
    <t>Magnesium to Creatinine Ratio Measurement</t>
  </si>
  <si>
    <t>MGE</t>
  </si>
  <si>
    <t>Mycoplasma genitalium</t>
  </si>
  <si>
    <t>A measurement of the Mycoplasma genitalium in a biological specimen.</t>
  </si>
  <si>
    <t>Mycoplasma genitalium Measurement</t>
  </si>
  <si>
    <t>MGEDNA</t>
  </si>
  <si>
    <t>Mycoplasma genitalium DNA</t>
  </si>
  <si>
    <t>A measurement of the Mycoplasma genitalium DNA in a biological specimen.</t>
  </si>
  <si>
    <t>Mycoplasma genitalium DNA Measurement</t>
  </si>
  <si>
    <t>MGION</t>
  </si>
  <si>
    <t>Magnesium, Ionized</t>
  </si>
  <si>
    <t>A measurement of the ionized magnesium in a biological specimen.</t>
  </si>
  <si>
    <t>Ionized Magnesium Measurement</t>
  </si>
  <si>
    <t>MGPRES</t>
  </si>
  <si>
    <t>Mean Pressure Gradient</t>
  </si>
  <si>
    <t>A value that represents the mean pressure gradient that exists between two points across a structure.</t>
  </si>
  <si>
    <t>MHBMA</t>
  </si>
  <si>
    <t>Monohydroxybutyl Mercapturic Acid</t>
  </si>
  <si>
    <t>MHBMA; Monohydroxybutyl Mercapturate; Monohydroxybutyl Mercapturic Acid</t>
  </si>
  <si>
    <t>A measurement of the monohydroxybutyl mercapturic acid in a specimen.</t>
  </si>
  <si>
    <t>Monohydroxybutyl Mercapturic Acid Measurement</t>
  </si>
  <si>
    <t>MHODNA</t>
  </si>
  <si>
    <t>Mycoplasma hominis DNA</t>
  </si>
  <si>
    <t>A measurement of the Mycoplasma hominis DNA in a biological specimen.</t>
  </si>
  <si>
    <t>Mycoplasma hominis DNA Measurement</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</si>
  <si>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</si>
  <si>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</si>
  <si>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</si>
  <si>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</si>
  <si>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</si>
  <si>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MI</t>
  </si>
  <si>
    <t>Myocardial Infarction</t>
  </si>
  <si>
    <t>An electrocardiographic assessment of findings suggestive of myocardial infarction.</t>
  </si>
  <si>
    <t>Myocardial Infarction ECG Assessment</t>
  </si>
  <si>
    <t>MI12EXC</t>
  </si>
  <si>
    <t>Exclusion of Type 1 and Type 2 MI</t>
  </si>
  <si>
    <t>An indication of whether a Type 1 and Type 2 myocardial infarction is excluded as a diagnosis.</t>
  </si>
  <si>
    <t>Exclusion of Type 1 and Type 2 Myocardial Infarction Diagnosis Indicator</t>
  </si>
  <si>
    <t>MIC</t>
  </si>
  <si>
    <t>Minimum Inhibitory Concentration</t>
  </si>
  <si>
    <t>A measurement that specifies the minimum concentration of the agent at which organism growth was inhibited.</t>
  </si>
  <si>
    <t>Minimum Inhibitory Concentration Test</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</si>
  <si>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</si>
  <si>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</si>
  <si>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</si>
  <si>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</si>
  <si>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</si>
  <si>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</si>
  <si>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</si>
  <si>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</si>
  <si>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MIC50R</t>
  </si>
  <si>
    <t>Microbial IC50 Reference Control Result</t>
  </si>
  <si>
    <t>A reference control sample response based on the concentration of a specific drug expected to produce 50 percent inhibition on the enzymatic activity of a microbial organism.</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</si>
  <si>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</si>
  <si>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</si>
  <si>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</si>
  <si>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</si>
  <si>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</si>
  <si>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</si>
  <si>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</si>
  <si>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</si>
  <si>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</si>
  <si>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</si>
  <si>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</si>
  <si>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</si>
  <si>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</si>
  <si>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</si>
  <si>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</si>
  <si>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</si>
  <si>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</si>
  <si>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</si>
  <si>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</si>
  <si>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MICA</t>
  </si>
  <si>
    <t>MHC Class I Chain Related Protein A</t>
  </si>
  <si>
    <t>A measurement of the MHC class I chain related protein A in a biological specimen.</t>
  </si>
  <si>
    <t>MHC Class I Chain Related Protein A Measurement</t>
  </si>
  <si>
    <t>MICRISTB</t>
  </si>
  <si>
    <t>Microsatellite Instability</t>
  </si>
  <si>
    <t>An assessment of the variability in length of microsatellite sequences.</t>
  </si>
  <si>
    <t>Microsatellite Instability Length Assessment</t>
  </si>
  <si>
    <t>MICROCY</t>
  </si>
  <si>
    <t>Microcytes</t>
  </si>
  <si>
    <t>A measurement of the microcytes in a biological specimen.</t>
  </si>
  <si>
    <t>Microcyte Count</t>
  </si>
  <si>
    <t>MICROSUS</t>
  </si>
  <si>
    <t>Microbial Susceptibility</t>
  </si>
  <si>
    <t>A phenotypic or genotypic assessment of the response of the microbial organism to an antimicrobial agent.</t>
  </si>
  <si>
    <t>Microbial Susceptibility Test</t>
  </si>
  <si>
    <t>MIDCEF</t>
  </si>
  <si>
    <t>Mid Cell Fraction</t>
  </si>
  <si>
    <t>Mid Cell Fraction; Mid Cells</t>
  </si>
  <si>
    <t>A measurement of the mid cell fraction, including eosinophils, basophils, monocytes and other precursor white blood cells, in a biological specimen.</t>
  </si>
  <si>
    <t>Mid Cell Fraction Measurement</t>
  </si>
  <si>
    <t>MILTSTAT</t>
  </si>
  <si>
    <t>Military Status</t>
  </si>
  <si>
    <t>The status of an individual with regard to military service.</t>
  </si>
  <si>
    <t>MINLDIAM</t>
  </si>
  <si>
    <t>Minimum Vessel Lumen Diameter</t>
  </si>
  <si>
    <t>The minimum diameter of the inside of a blood vessel (lumen) derived quantitatively in a single view.</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</si>
  <si>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</si>
  <si>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</si>
  <si>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</si>
  <si>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</si>
  <si>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MIP1</t>
  </si>
  <si>
    <t>Macrophage Inflammatory Protein 1</t>
  </si>
  <si>
    <t>A measurement of total macrophage inflammatory protein 1 in a biological specimen.</t>
  </si>
  <si>
    <t>Macrophage Inflammatory Protein 1 Measurement</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</si>
  <si>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</si>
  <si>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</si>
  <si>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</si>
  <si>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</si>
  <si>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</si>
  <si>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</si>
  <si>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</si>
  <si>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</si>
  <si>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</si>
  <si>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</si>
  <si>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MIP1G</t>
  </si>
  <si>
    <t>Macrophage Inflammatory Protein 1 Gamma</t>
  </si>
  <si>
    <t>A measurement of the macrophage inflammatory protein 1 gamma in a biological specimen.</t>
  </si>
  <si>
    <t>Macrophage Inflammatory Protein 1 Gamma Measurement</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</si>
  <si>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</si>
  <si>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</si>
  <si>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</si>
  <si>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</si>
  <si>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MITRALEA</t>
  </si>
  <si>
    <t>Mitral E/A Ratio</t>
  </si>
  <si>
    <t>The ratio of the peak early ventricular diastolic (E) transmitral velocity to the peak late ventricular diastolic (A) transmitral velocity.</t>
  </si>
  <si>
    <t>MITRALEE</t>
  </si>
  <si>
    <t>Mitral E/e' Ratio</t>
  </si>
  <si>
    <t>The ratio of the peak early ventricular diastolic (E) transmitral velocity to the peak early mitral annular motion velocity (e').</t>
  </si>
  <si>
    <t>MJDIA</t>
  </si>
  <si>
    <t>Major Axis Cross-sec. Diameter</t>
  </si>
  <si>
    <t>Major Axis Cross-sec. Diameter; Major Axis Cross-sectional Diameter</t>
  </si>
  <si>
    <t>The cross sectional diameter of a tissue, organ, or structure measured along its major axis. (NCI)</t>
  </si>
  <si>
    <t>Major Axis Cross-sectional Diameter</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</si>
  <si>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</si>
  <si>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</si>
  <si>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</si>
  <si>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</si>
  <si>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</si>
  <si>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</si>
  <si>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</si>
  <si>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</si>
  <si>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</si>
  <si>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</si>
  <si>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</si>
  <si>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</si>
  <si>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</si>
  <si>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</si>
  <si>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</si>
  <si>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</si>
  <si>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</si>
  <si>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</si>
  <si>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</si>
  <si>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</si>
  <si>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</si>
  <si>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</si>
  <si>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</si>
  <si>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</si>
  <si>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</si>
  <si>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MKA</t>
  </si>
  <si>
    <t>Mycobacterium kansasii</t>
  </si>
  <si>
    <t>A measurement of the Mycobacterium kansasii in a biological specimen.</t>
  </si>
  <si>
    <t>Mycobacterium kansasii Measurement</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</si>
  <si>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</si>
  <si>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</si>
  <si>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</si>
  <si>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</si>
  <si>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</si>
  <si>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MLATONIN</t>
  </si>
  <si>
    <t>Melatonin</t>
  </si>
  <si>
    <t>A measurement of the melatonin hormone in a biological specimen.</t>
  </si>
  <si>
    <t>Melatonin Measurement</t>
  </si>
  <si>
    <t>MLD</t>
  </si>
  <si>
    <t>Margin Limbal Distance</t>
  </si>
  <si>
    <t>A measurement of the distance from the inferior limbus to the central upper-eyelid margin, with the patient's gaze pointed upward.</t>
  </si>
  <si>
    <t>MLIGCE</t>
  </si>
  <si>
    <t>Malignant Cells, NOS</t>
  </si>
  <si>
    <t>A measurement of the malignant cells of all types in a biological specimen.</t>
  </si>
  <si>
    <t>Malignant Cell Count</t>
  </si>
  <si>
    <t>MLIGCEBC</t>
  </si>
  <si>
    <t>Malignant Cells, NOS/Blood Cells</t>
  </si>
  <si>
    <t>A relative measurement (ratio or percentage) of the malignant cells of all types to all blood cells in a biological specimen.</t>
  </si>
  <si>
    <t>Malignant Cell to Blood Cell Ratio Measurement</t>
  </si>
  <si>
    <t>MLNCPRN</t>
  </si>
  <si>
    <t>Milnacipran</t>
  </si>
  <si>
    <t>A measurement of the milnacipran in a biological specimen.</t>
  </si>
  <si>
    <t>Milnacipran Measurement</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</si>
  <si>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</si>
  <si>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</si>
  <si>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</si>
  <si>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</si>
  <si>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</si>
  <si>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MLRPGIND</t>
  </si>
  <si>
    <t>Molar Pregnancy Indicator</t>
  </si>
  <si>
    <t>Hydatidiform Mole Indicator; Molar Pregnancy Indicator</t>
  </si>
  <si>
    <t>An indication as to whether a molar pregnancy (hydatidiform mole) has occurred.</t>
  </si>
  <si>
    <t>MMA</t>
  </si>
  <si>
    <t>Methylmalonic Acid</t>
  </si>
  <si>
    <t>Methylmalonate; Methylmalonic Acid</t>
  </si>
  <si>
    <t>A measurement of the methylmalonic acid in a biological specimen.</t>
  </si>
  <si>
    <t>Methylmalonic Acid Measurement</t>
  </si>
  <si>
    <t>MMARG</t>
  </si>
  <si>
    <t>Monomethylarginine</t>
  </si>
  <si>
    <t>Monomethylarginine; Tilarginine</t>
  </si>
  <si>
    <t>A measurement of the monomethylarginine in a biological specimen.</t>
  </si>
  <si>
    <t>Monomethylarginine Measurement</t>
  </si>
  <si>
    <t>MMIF</t>
  </si>
  <si>
    <t>Macrophage Migration Inhibitory Factor</t>
  </si>
  <si>
    <t>Macrophage Migration Inhibitory Factor; MIF</t>
  </si>
  <si>
    <t>A measurement of the macrophage migration inhibitory factor in a biological specimen.</t>
  </si>
  <si>
    <t>Macrophage Migration Inhibitory Factor Measurement</t>
  </si>
  <si>
    <t>MMO</t>
  </si>
  <si>
    <t>Morganella morganii</t>
  </si>
  <si>
    <t>A measurement of the Morganella morganii in a biological specimen.</t>
  </si>
  <si>
    <t>Morganella morganii Measurement</t>
  </si>
  <si>
    <t>MMP1</t>
  </si>
  <si>
    <t>Matrix Metalloproteinase 1</t>
  </si>
  <si>
    <t>Interstitial Collagenase; Matrix Metalloproteinase 1</t>
  </si>
  <si>
    <t>A measurement of the matrix metalloproteinase 1 in a biological specimen.</t>
  </si>
  <si>
    <t>Matrix Metalloproteinase 1 Measurement</t>
  </si>
  <si>
    <t>MMP10</t>
  </si>
  <si>
    <t>Matrix Metalloproteinase 10</t>
  </si>
  <si>
    <t>Matrix Metalloproteinase 10; Stromelysin 2</t>
  </si>
  <si>
    <t>A measurement of the matrix metalloproteinase 10 in a specimen.</t>
  </si>
  <si>
    <t>Matrix Metalloproteinase 10 Measurement</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</si>
  <si>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</si>
  <si>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</si>
  <si>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</si>
  <si>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</si>
  <si>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</si>
  <si>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MMP13</t>
  </si>
  <si>
    <t>Matrix Metalloproteinase 13</t>
  </si>
  <si>
    <t>CLG3; Collagenase 3; Matrix Metalloproteinase 13</t>
  </si>
  <si>
    <t>A measurement of the matrix metalloproteinase 13 in a specimen.</t>
  </si>
  <si>
    <t>Matrix Metalloproteinase 13 Measurement</t>
  </si>
  <si>
    <t>MMP2</t>
  </si>
  <si>
    <t>Matrix Metalloproteinase 2</t>
  </si>
  <si>
    <t>Gelatinase A; Matrix Metalloproteinase 2</t>
  </si>
  <si>
    <t>A measurement of the matrix metalloproteinase 2 in a biological specimen.</t>
  </si>
  <si>
    <t>Matrix Metalloproteinase 2 Measurement</t>
  </si>
  <si>
    <t>MMP3</t>
  </si>
  <si>
    <t>Matrix Metalloproteinase 3</t>
  </si>
  <si>
    <t>Matrix Metalloproteinase 3; Stromelysin 1</t>
  </si>
  <si>
    <t>A measurement of the matrix metalloproteinase 3 in a biological specimen.</t>
  </si>
  <si>
    <t>Matrix Metalloproteinase 3 Measurement</t>
  </si>
  <si>
    <t>MMP7</t>
  </si>
  <si>
    <t>Matrix Metalloproteinase 7</t>
  </si>
  <si>
    <t>Matrilysin; Matrix Metalloproteinase 7</t>
  </si>
  <si>
    <t>A measurement of the matrix metalloproteinase 7 in a biological specimen.</t>
  </si>
  <si>
    <t>Matrix Metalloproteinase 7 Measurement</t>
  </si>
  <si>
    <t>MMP8</t>
  </si>
  <si>
    <t>Matrix Metalloproteinase 8</t>
  </si>
  <si>
    <t>Matrix Metalloproteinase 8; Neutrophil Collagenase</t>
  </si>
  <si>
    <t>A measurement of the matrix metalloproteinase 8 in a biological specimen.</t>
  </si>
  <si>
    <t>Matrix Metalloproteinase 8 Measurement</t>
  </si>
  <si>
    <t>MMP9</t>
  </si>
  <si>
    <t>Matrix Metalloproteinase 9</t>
  </si>
  <si>
    <t>Gelatinase B; Matrix Metalloproteinase 9</t>
  </si>
  <si>
    <t>A measurement of the matrix metalloproteinase 9 in a biological specimen.</t>
  </si>
  <si>
    <t>Matrix Metalloproteinase 9 Measurement</t>
  </si>
  <si>
    <t>MMPRNA</t>
  </si>
  <si>
    <t>Mumps Virus RNA</t>
  </si>
  <si>
    <t>Mumps rubulavirus RNA; Mumps Virus RNA</t>
  </si>
  <si>
    <t>A measurement of the Mumps rubulavirus RNA in a biological specimen.</t>
  </si>
  <si>
    <t>Mumps Virus RNA Measurement</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</si>
  <si>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</si>
  <si>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</si>
  <si>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</si>
  <si>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</si>
  <si>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</si>
  <si>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MNARS</t>
  </si>
  <si>
    <t>Minimum Angle of Resolution</t>
  </si>
  <si>
    <t>The smallest angle of separation that allows an image-forming device, including the retina, to distinguish two objects as distinct entities.</t>
  </si>
  <si>
    <t>MNARSLOG</t>
  </si>
  <si>
    <t>Minimum Angle of Resolution, Log10</t>
  </si>
  <si>
    <t>The base-10 logarithm of the minimum angle of resolution achieved by an individual during testing.</t>
  </si>
  <si>
    <t>Log10 Minimum Angle of Resolution</t>
  </si>
  <si>
    <t>MNC</t>
  </si>
  <si>
    <t>Mononuclear Cells</t>
  </si>
  <si>
    <t>Mononuclear Cells; Mononucleated Cells</t>
  </si>
  <si>
    <t>A measurement of the mononuclear cells in a biological specimen.</t>
  </si>
  <si>
    <t>Mononuclear Cell Count</t>
  </si>
  <si>
    <t>MNCAT</t>
  </si>
  <si>
    <t>Mononuclear Cells Atypical</t>
  </si>
  <si>
    <t>A measurement of the atypical mononuclear cells in a biological specimen.</t>
  </si>
  <si>
    <t>Atypical Mononuclear Cell Count</t>
  </si>
  <si>
    <t>MNCATLE</t>
  </si>
  <si>
    <t>Mononuclear Cells Atypical/Leukocytes</t>
  </si>
  <si>
    <t>A relative measurement (ratio or percentage) of the atypical mononuclear cells to leukocytes in a biological specimen.</t>
  </si>
  <si>
    <t>Atypical Mononuclear Cells to Leukocytes Ratio Measurement</t>
  </si>
  <si>
    <t>MNCL</t>
  </si>
  <si>
    <t>Mono Classic</t>
  </si>
  <si>
    <t>Mono Classic; Monocytes Classical</t>
  </si>
  <si>
    <t>A measurement of the classical monocytes in a biological specimen.</t>
  </si>
  <si>
    <t>Classic Monocytes Count</t>
  </si>
  <si>
    <t>MNCLLE</t>
  </si>
  <si>
    <t>Mono Classic/Leuk</t>
  </si>
  <si>
    <t>Mono Classic/Leuk; Monocytes Classic/Leukocytes</t>
  </si>
  <si>
    <t>A relative measurement (ratio or percentage) of the classical monocytes to total leukocytes in a biological specimen.</t>
  </si>
  <si>
    <t>Classical Monocyte to Leukocyte Ratio Measurement</t>
  </si>
  <si>
    <t>MNCLLES</t>
  </si>
  <si>
    <t>Mono Classic/Leuk Sub</t>
  </si>
  <si>
    <t>Mono Classic/Leuk Sub; Monocytes Classic/Leukocytes Sub-Population; Monocytes Classical/Leukocytes Sub-Population</t>
  </si>
  <si>
    <t>A relative measurement (ratio or percentage) of the classical monocytes to a sub-population of leukocytes in a biological specimen.</t>
  </si>
  <si>
    <t>Classical Monocyte to Leukocyte Subpopulation Ratio Measurement</t>
  </si>
  <si>
    <t>MNCLLYS</t>
  </si>
  <si>
    <t>Mono Classic/Lym Sub</t>
  </si>
  <si>
    <t>Mono Classic/Lym Sub; Monocytes Classic/Lymphocytes Sub-Population; Monocytes Classical/Lymphocytes Sub-Population</t>
  </si>
  <si>
    <t>A relative measurement (ratio or percentage) of the classical monocytes to a sub-population of lymphocytes in a biological specimen.</t>
  </si>
  <si>
    <t>Classical Monocyte to Lymphocyte Subpopulation Ratio Measurement</t>
  </si>
  <si>
    <t>MNCLMN</t>
  </si>
  <si>
    <t>Mono Classic/Mono</t>
  </si>
  <si>
    <t>Mono Classic/Mono; Monocytes Classic/Monocytes; Monocytes Classical/Monocytes</t>
  </si>
  <si>
    <t>A relative measurement (ratio or percentage) of classical monocytes to monocytes in a biological specimen.</t>
  </si>
  <si>
    <t>Classical Monocyte to Monocyte Ratio Measurement</t>
  </si>
  <si>
    <t>MNCLMYC</t>
  </si>
  <si>
    <t>Mono Classic/Myeloid Cells</t>
  </si>
  <si>
    <t>Mono Classic/Myeloid Cells; Monocytes Classic/Myeloid Cells</t>
  </si>
  <si>
    <t>A relative measurement (ratio or percentage) of the classical monocytes to total myeloid cells in a biological specimen.</t>
  </si>
  <si>
    <t>Classical Monocyte to Myeloid Cell Ratio Measurement</t>
  </si>
  <si>
    <t>MNCLS</t>
  </si>
  <si>
    <t>Mono Classic Sub</t>
  </si>
  <si>
    <t>Mono Classic Sub; Monocytes Classical Sub-Population</t>
  </si>
  <si>
    <t>A measurement of a sub-population of classical monocytes in a biological specimen.</t>
  </si>
  <si>
    <t>Classical Monocyte Subpopulation Count</t>
  </si>
  <si>
    <t>MNCLSP</t>
  </si>
  <si>
    <t>Mono Classic Sub/Mono Classic</t>
  </si>
  <si>
    <t>Mono Classic Sub/Mono Classic; Monocytes Classical Sub-Population/Monocytes Classical</t>
  </si>
  <si>
    <t>A relative measurement (ratio or percentage) of a sub-population of classical monocytes to total classical monocytes in a biological specimen.</t>
  </si>
  <si>
    <t>Classical Monocyte Subpopulation to Classical Monocyte Ratio Measurement</t>
  </si>
  <si>
    <t>MNDIA</t>
  </si>
  <si>
    <t>Minor Axis Cross-sec. Diameter</t>
  </si>
  <si>
    <t>Minor Axis Cross-sec. Diameter; Minor Axis Cross-sectional Diameter</t>
  </si>
  <si>
    <t>The cross sectional diameter of a tissue, organ, or structure measured along its minor axis. (NCI)</t>
  </si>
  <si>
    <t>Minor Axis Cross-sectional Diameter</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</si>
  <si>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</si>
  <si>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</si>
  <si>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</si>
  <si>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</si>
  <si>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</si>
  <si>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</si>
  <si>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</si>
  <si>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</si>
  <si>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</si>
  <si>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</si>
  <si>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</si>
  <si>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</si>
  <si>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</si>
  <si>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</si>
  <si>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</si>
  <si>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</si>
  <si>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</si>
  <si>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</si>
  <si>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</si>
  <si>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</si>
  <si>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</si>
  <si>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</si>
  <si>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</si>
  <si>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</si>
  <si>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</si>
  <si>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MNIF</t>
  </si>
  <si>
    <t>Mono Inflamm</t>
  </si>
  <si>
    <t>Mono Inflamm; Monocytes Inflammatory</t>
  </si>
  <si>
    <t>A measurement of the inflammatory monocytes in a biological specimen.</t>
  </si>
  <si>
    <t>Inflammatory Monocytes Count</t>
  </si>
  <si>
    <t>MNIN</t>
  </si>
  <si>
    <t>Mono Intermed</t>
  </si>
  <si>
    <t>Mono Intermed; Monocytes Intermediate</t>
  </si>
  <si>
    <t>A measurement of the intermediate monocytes in a biological specimen.</t>
  </si>
  <si>
    <t>Intermediate Monocytes Count</t>
  </si>
  <si>
    <t>MNINLE</t>
  </si>
  <si>
    <t>Mono Intermed/Leuk</t>
  </si>
  <si>
    <t>Mono Intermed/Leuk; Monocytes Intermediate/Leukocytes</t>
  </si>
  <si>
    <t>A relative measurement (ratio or percentage) of the intermediate monocytes to total leukocytes in a biological specimen.</t>
  </si>
  <si>
    <t>Intermediate Monocyte to Leukocyte Ratio Measurement</t>
  </si>
  <si>
    <t>MNINLES</t>
  </si>
  <si>
    <t>Mono Intermed/Leuk Sub</t>
  </si>
  <si>
    <t>Mono Intermed/Leuk Sub; Monocytes Intermediate/Leukocytes Sub-Population</t>
  </si>
  <si>
    <t>A relative measurement (ratio or percentage) of the intermediate monocytes to a sub-population of leukocytes in a biological specimen.</t>
  </si>
  <si>
    <t>Intermediate Monocyte to Leukocyte Subpopulation Ratio Measurement</t>
  </si>
  <si>
    <t>MNINLYS</t>
  </si>
  <si>
    <t>Mono Intermed/Lym Sub</t>
  </si>
  <si>
    <t>Mono Intermed/Lym Sub; Monocytes Intermediate/Lymphocytes Sub-Population</t>
  </si>
  <si>
    <t>A relative measurement (ratio or percentage) of the intermediate monocytes to a sub-population of lymphocytes in a biological specimen.</t>
  </si>
  <si>
    <t>Intermediate Monocytes to Lymphocyte Subpopulation Ratio Measurement</t>
  </si>
  <si>
    <t>MNINMN</t>
  </si>
  <si>
    <t>Mono Intermed/Mono</t>
  </si>
  <si>
    <t>Mono Intermed/Mono; Monocytes Intermediate/Monocytes</t>
  </si>
  <si>
    <t>A relative measurement (ratio or percentage) of intermediate monocytes to monocytes in a biological specimen.</t>
  </si>
  <si>
    <t>Intermediate Monocyte to Monocyte Ratio Measurement</t>
  </si>
  <si>
    <t>MNINMYC</t>
  </si>
  <si>
    <t>Mono Intermed/Myeloid Cells</t>
  </si>
  <si>
    <t>Mono Intermed/Myeloid Cells; Monocytes Intermediate/Myeloid Cells</t>
  </si>
  <si>
    <t>A relative measurement (ratio or percentage) of the intermediate monocytes to myeloid cells in a biological specimen.</t>
  </si>
  <si>
    <t>Intermediate Monocyte to Myeloid Cell Ratio Measurement</t>
  </si>
  <si>
    <t>MNINS</t>
  </si>
  <si>
    <t>Mono Intermed Sub</t>
  </si>
  <si>
    <t>Mono Intermed Sub; Monocytes Intermediate Sub-Population</t>
  </si>
  <si>
    <t>A measurement of a sub-population of intermediate monocytes in a biological specimen.</t>
  </si>
  <si>
    <t>Intermediate Monocyte Subpopulation Count</t>
  </si>
  <si>
    <t>MNINSP</t>
  </si>
  <si>
    <t>Mono Intermed Sub/Mono Intermed</t>
  </si>
  <si>
    <t>Mono Intermed Sub/Mono Int; Mono Intermed Sub/Mono Intermed; Monocytes Intermediate Sub-Population/Monocytes Intermediate</t>
  </si>
  <si>
    <t>A relative measurement (ratio or percentage) of a sub-population of intermediate monocytes to total intermediate monocytes in a biological specimen.</t>
  </si>
  <si>
    <t>Intermediate Monocyte Subpopulation to Intermediate Monocyte Ratio Measurement</t>
  </si>
  <si>
    <t>MNMA</t>
  </si>
  <si>
    <t>Mono Mat</t>
  </si>
  <si>
    <t>Mono Mat; Monocytes Mature</t>
  </si>
  <si>
    <t>A measurement of the mature monocytes in a biological specimen.</t>
  </si>
  <si>
    <t>Mature Monocytes Count</t>
  </si>
  <si>
    <t>MNNCL</t>
  </si>
  <si>
    <t>Mono NonClassic</t>
  </si>
  <si>
    <t>Mono NonClassic; Monocytes Non-Classical</t>
  </si>
  <si>
    <t>A measurement of the non-classical monocytes in a biological specimen.</t>
  </si>
  <si>
    <t>Non-Classical Monocytes Count</t>
  </si>
  <si>
    <t>MNNCLLE</t>
  </si>
  <si>
    <t>Mono NonClassic/Leuk</t>
  </si>
  <si>
    <t>Mono NonClassic/Leuk; Monocytes Non-Classic/Leukocytes; Monocytes Non-Classical/Leukocytes</t>
  </si>
  <si>
    <t>A relative measurement (ratio or percentage) of the non-classical monocytes to total leukocytes in a biological specimen.</t>
  </si>
  <si>
    <t>Non-Classical Monocyte to Leukocyte Ratio Measurement</t>
  </si>
  <si>
    <t>MNNCLLES</t>
  </si>
  <si>
    <t>Mono NonClassic/Leuk Sub</t>
  </si>
  <si>
    <t>Mono NonClassic/Leuk Sub; Monocytes Non-Classic/Leukocytes Sub-Population; Monocytes Non-Classical/Leukocytes Sub-Population</t>
  </si>
  <si>
    <t>A relative measurement (ratio or percentage) of the non-classical monocytes to a sub-population of leukocytes in a biological specimen.</t>
  </si>
  <si>
    <t>Non-Classical Monocyte to Leukocyte Subpopulation Ratio Measurement</t>
  </si>
  <si>
    <t>MNNCLLYS</t>
  </si>
  <si>
    <t>Mono NonClassic/Lym Sub</t>
  </si>
  <si>
    <t>Mono NonClassic/Lym Sub; Monocytes Non-Classic/Lymphocytes Sub-Population; Monocytes Non-Classical/Lymphocytes Sub-Population</t>
  </si>
  <si>
    <t>A relative measurement (ratio or percentage) of the non-classical monocytes to a sub-population of lymphocytes in a biological specimen.</t>
  </si>
  <si>
    <t>Non-Classical Monocyte to Lymphocyte Subpopulation Ratio Measurement</t>
  </si>
  <si>
    <t>MNNCLMN</t>
  </si>
  <si>
    <t>Mono NonClassic/Mono</t>
  </si>
  <si>
    <t>A relative measurement (ratio or percentage) of non-classical monocytes to monocytes in a biological specimen.</t>
  </si>
  <si>
    <t>Non-Classical Monocyte to Monocyte Ratio Measurement</t>
  </si>
  <si>
    <t>MNNCLMYC</t>
  </si>
  <si>
    <t>Mono NonClassic/Myeloid Cells</t>
  </si>
  <si>
    <t>Mono NonClassic/Myeloid Cells; Monocytes Non-Classic/Myeloid Cells; Monocytes Non-Classical/Myeloid Cells</t>
  </si>
  <si>
    <t>A relative measurement (ratio or percentage) of the non-classical monocytes to myeloid cells in a biological specimen.</t>
  </si>
  <si>
    <t>Non-Classical Monocyte to Myeloid Cell Ratio Measurement</t>
  </si>
  <si>
    <t>MNNCLS</t>
  </si>
  <si>
    <t>Mono NonClassic Sub</t>
  </si>
  <si>
    <t>Mono NonClassic Sub; Monocytes Non-Classical Sub-Population</t>
  </si>
  <si>
    <t>A measurement of a sub-population of non-classical monocytes in a biological specimen.</t>
  </si>
  <si>
    <t>Non-Classical Monocyte Subpopulation Count</t>
  </si>
  <si>
    <t>MNNCLSP</t>
  </si>
  <si>
    <t>Mono NonClassic Sub/Mono NonClassic</t>
  </si>
  <si>
    <t>Mono NonClassic Sub/Mono NonClassic; Monocytes Non-Classical Sub-Population/Monocytes Non-Classical</t>
  </si>
  <si>
    <t>A relative measurement (ratio or percentage) of a sub-population of non-classical monocytes to total non-classical monocytes in a biological specimen.</t>
  </si>
  <si>
    <t>Non-Classical Monocyte Subpopulation to Non-Classical Monocyte Ratio Measurement</t>
  </si>
  <si>
    <t>MNPIF</t>
  </si>
  <si>
    <t>Mono Proinflam</t>
  </si>
  <si>
    <t>Mono Proinflam; Monocytes Proinflammatory</t>
  </si>
  <si>
    <t>A measurement of the pro-inflammatory monocytes in a biological specimen.</t>
  </si>
  <si>
    <t>Proinflammatory Monocytes Count</t>
  </si>
  <si>
    <t>MNPIFMN</t>
  </si>
  <si>
    <t>Mono Proinflam/Mono</t>
  </si>
  <si>
    <t>Mono Proinflam/Mono; Monocytes Proinflammatory/Monocytes</t>
  </si>
  <si>
    <t>A relative measurement (ratio or percentage) of the proinflammatory monocytes to total monocytes in a biological specimen.</t>
  </si>
  <si>
    <t>Proinflammatory Monocyte to Monocyte Ratio Measurement</t>
  </si>
  <si>
    <t>MNPIFS</t>
  </si>
  <si>
    <t>Mono Proinflam Sub</t>
  </si>
  <si>
    <t>Mono Proinflam Sub; Monocytes Proinflammatory Sub-Population; Proinflammatory Monocytes Sub-Population</t>
  </si>
  <si>
    <t>A measurement of a sub-population of proinflammatory monocytes in a biological specimen.</t>
  </si>
  <si>
    <t>Proinflammatory Monocyte Subpopulation Count</t>
  </si>
  <si>
    <t>MNPIFSP</t>
  </si>
  <si>
    <t>Mono Proinflam Sub/MonoPI</t>
  </si>
  <si>
    <t>Mono Proinflam Sub/Mono Proinflam; Mono Proinflam Sub/MonoPI; Monocytes Proinflammatory Sub-Population/Monocytes Proinflammatory</t>
  </si>
  <si>
    <t>A relative measurement (ratio or percentage) of a sub-population of proinflammatory monocytes to total proinflammatory monocytes in a biological specimen.</t>
  </si>
  <si>
    <t>Proinflammatory Monocyte Subpopulation to Proinflammatory Monocyte Ratio Measurement</t>
  </si>
  <si>
    <t>MNR</t>
  </si>
  <si>
    <t>Mono Resident</t>
  </si>
  <si>
    <t>Mono Resident; Monocytes Resident</t>
  </si>
  <si>
    <t>A measurement of the resident monocytes in a biological specimen.</t>
  </si>
  <si>
    <t>Resident Monocytes Count</t>
  </si>
  <si>
    <t>MNS</t>
  </si>
  <si>
    <t>Mono Sub</t>
  </si>
  <si>
    <t>Mono Sub; Monocytes Sub; Monocytes Sub-Population</t>
  </si>
  <si>
    <t>A measurement of a subpopulation of monocytes in a biological specimen.</t>
  </si>
  <si>
    <t>Monocytes Subpopulation Count</t>
  </si>
  <si>
    <t>MNSMN</t>
  </si>
  <si>
    <t>Mono Sub/Mono</t>
  </si>
  <si>
    <t>Mono Sub/Mono; Monocytes Sub-Population/Monocytes; Monocytes Sub/Monocytes</t>
  </si>
  <si>
    <t>A relative measurement (ratio or percentage) of a subpopulation of monocytes to monocytes in a biological specimen.</t>
  </si>
  <si>
    <t>Monocyte Subpopulation to Total Monocytes Ratio Measurement</t>
  </si>
  <si>
    <t>MNSMNS</t>
  </si>
  <si>
    <t>Mono Sub/Mono Sub</t>
  </si>
  <si>
    <t>Mono Sub/Mono Sub; Monocytes Sub-Population/Monocytes Sub-Population</t>
  </si>
  <si>
    <t>A relative measurement (ratio or percentage) of a sub-population of monocytes to a sub-population of monocytes in a biological specimen.</t>
  </si>
  <si>
    <t>Monocyte Subpopulation to Monocyte Subpopulation Ratio Measurement</t>
  </si>
  <si>
    <t>MOCVDNA</t>
  </si>
  <si>
    <t>Molluscum Contagiosum Virus DNA</t>
  </si>
  <si>
    <t>A measurement of the molluscum contagiosum virus DNA in a biological specimen.</t>
  </si>
  <si>
    <t>Molluscum contagiosum Virus DNA Measurement</t>
  </si>
  <si>
    <t>MOCYCE</t>
  </si>
  <si>
    <t>Monocytoid Cells</t>
  </si>
  <si>
    <t>A measurement of the monocytoid cells in a biological specimen.</t>
  </si>
  <si>
    <t>Monocytoid Cell Count</t>
  </si>
  <si>
    <t>MOCYCECE</t>
  </si>
  <si>
    <t>Monocytoid Cells/Total Cells</t>
  </si>
  <si>
    <t>A relative measurement (ratio or percentage) of the monocytoid cells to total cells in a biological specimen.</t>
  </si>
  <si>
    <t>Monocytoid Cell to Total Cell Ratio Measurement</t>
  </si>
  <si>
    <t>MOCYCELE</t>
  </si>
  <si>
    <t>Monocytoid Cells/Leukocytes</t>
  </si>
  <si>
    <t>A relative measurement (ratio or percentage) of the monocytoid cells to leukocytes in a biological specimen.</t>
  </si>
  <si>
    <t>Monocytoid Cells to Leukocytes Ratio Measurement</t>
  </si>
  <si>
    <t>MODAFNIL</t>
  </si>
  <si>
    <t>Modafinil</t>
  </si>
  <si>
    <t>A measurement of the modafinil in a biological specimen.</t>
  </si>
  <si>
    <t>Modafinil Measurement</t>
  </si>
  <si>
    <t>MOHXITAL</t>
  </si>
  <si>
    <t>Methohexital</t>
  </si>
  <si>
    <t>A measurement of the methohexital in a biological specimen.</t>
  </si>
  <si>
    <t>Methohexital Measurement</t>
  </si>
  <si>
    <t>MOISTCTT</t>
  </si>
  <si>
    <t>Moisture Content</t>
  </si>
  <si>
    <t>Moisture; Moisture Content</t>
  </si>
  <si>
    <t>The total amount of water and other volatiles in an ingredient, component, or product.</t>
  </si>
  <si>
    <t>MOLINDN</t>
  </si>
  <si>
    <t>Molindone</t>
  </si>
  <si>
    <t>A measurement of the molindone in a biological specimen.</t>
  </si>
  <si>
    <t>Molindone Measurement</t>
  </si>
  <si>
    <t>MONMPHLE</t>
  </si>
  <si>
    <t>Monocytes and Macrophages/Leukocytes</t>
  </si>
  <si>
    <t>A relative measurement (ratio or percentage) of the monocytes and macrophages to total leukocytes in a biological specimen.</t>
  </si>
  <si>
    <t>Monocytes and Macrophages to Leukocytes Ratio Measurement</t>
  </si>
  <si>
    <t>MONO</t>
  </si>
  <si>
    <t>Monocytes</t>
  </si>
  <si>
    <t>A measurement of the monocytes in a biological specimen.</t>
  </si>
  <si>
    <t>Monocyte Count</t>
  </si>
  <si>
    <t>MONOBL</t>
  </si>
  <si>
    <t>Monoblasts</t>
  </si>
  <si>
    <t>A measurement of the monoblast cells in a biological specimen.</t>
  </si>
  <si>
    <t>Monoblast Count</t>
  </si>
  <si>
    <t>MONOBLCE</t>
  </si>
  <si>
    <t>Monoblasts/Total Cells</t>
  </si>
  <si>
    <t>A relative measurement (ratio or percentage) of the monoblasts to total cells in a biological specimen.</t>
  </si>
  <si>
    <t>Monoblast to Total Cell Ratio Measurement</t>
  </si>
  <si>
    <t>MONOBLLE</t>
  </si>
  <si>
    <t>Monoblasts/Leukocytes</t>
  </si>
  <si>
    <t>A relative measurement (ratio or percentage) of the monoblasts to leukocytes in a biological specimen.</t>
  </si>
  <si>
    <t>Monoblast to Leukocyte Ratio Measurement</t>
  </si>
  <si>
    <t>MONOCE</t>
  </si>
  <si>
    <t>Monocytes/Total Cells</t>
  </si>
  <si>
    <t>A relative measurement (ratio or percentage) of the monocytes to total cells in a biological specimen (for example a bone marrow specimen).</t>
  </si>
  <si>
    <t>Monocytes to Total Cell Ratio Measurement</t>
  </si>
  <si>
    <t>MONOIM</t>
  </si>
  <si>
    <t>Immature Monocytes</t>
  </si>
  <si>
    <t>A measurement of the immature monocytes in a biological specimen.</t>
  </si>
  <si>
    <t>Immature Monocyte Count</t>
  </si>
  <si>
    <t>MONOIMLE</t>
  </si>
  <si>
    <t>Immature Monocytes/Leukocytes</t>
  </si>
  <si>
    <t>A relative measurement (ratio or percentage) of immature monocytes to total leukocytes in a biological specimen.</t>
  </si>
  <si>
    <t>Immature Monocyte to Leukocyte Ratio Measurement</t>
  </si>
  <si>
    <t>MONOLE</t>
  </si>
  <si>
    <t>Monocytes/Leukocytes</t>
  </si>
  <si>
    <t>A relative measurement (ratio or percentage) of the monocytes to leukocytes in a biological specimen.</t>
  </si>
  <si>
    <t>Monocyte to Leukocyte Ratio</t>
  </si>
  <si>
    <t>MONOLES</t>
  </si>
  <si>
    <t>Mono/Leuk Sub</t>
  </si>
  <si>
    <t>Mono/Leuk Sub; Monocytes/Leukocytes Sub-Population</t>
  </si>
  <si>
    <t>A relative measurement (ratio or percentage) of the monocytes to a sub-population of leukocytes in a biological specimen.</t>
  </si>
  <si>
    <t>Monocyte to Leukocyte Subpopulation Ratio Measurement</t>
  </si>
  <si>
    <t>MONOLYS</t>
  </si>
  <si>
    <t>Mono/Lym Sub</t>
  </si>
  <si>
    <t>Mono/Lym Sub; Monocytes/Lymphocytes Sub-Population</t>
  </si>
  <si>
    <t>A relative measurement (ratio or percentage) of the monocytes to a sub-population of lymphocytes in a biological specimen.</t>
  </si>
  <si>
    <t>Monocyte to Lymphocyte Subpopulation Ratio Measurement</t>
  </si>
  <si>
    <t>MONOMA</t>
  </si>
  <si>
    <t>Monocytes/Macrocytes</t>
  </si>
  <si>
    <t>A relative measurement (ratio or percentage) of the monocytes to macrocytes present in a sample.</t>
  </si>
  <si>
    <t>Monocytes to Macrocytes Ratio Measurement</t>
  </si>
  <si>
    <t>MONOMYC</t>
  </si>
  <si>
    <t>Mono/Myeloid Cells</t>
  </si>
  <si>
    <t>Mono/Myeloid Cells; Monocytes/Myeloid Cells</t>
  </si>
  <si>
    <t>A relative measurement (ratio or percentage) of the monocytes to myeloid cells in a biological specimen.</t>
  </si>
  <si>
    <t>Monocyte to Myeloid Cell Ratio Measurement</t>
  </si>
  <si>
    <t>MONONSQE</t>
  </si>
  <si>
    <t>Monocytes/Non-Squam Epi Cells</t>
  </si>
  <si>
    <t>A relative measurement (ratio or percentage) of the monocytes to non-squamous epithelial cells in a biological specimen.</t>
  </si>
  <si>
    <t>Monocytes to Non-Squamous Epithelial Cells Ratio Measurement</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</si>
  <si>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</si>
  <si>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</si>
  <si>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</si>
  <si>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</si>
  <si>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</si>
  <si>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MONOSLE</t>
  </si>
  <si>
    <t>Mono Sub/Leuk</t>
  </si>
  <si>
    <t>Mono Sub/Leuk; Monocytes Sub-Population/Leukocytes</t>
  </si>
  <si>
    <t>A relative measurement (ratio or percentage) of a sub-population of monocytes to total leukocytes in a biological specimen.</t>
  </si>
  <si>
    <t>Monocyte Subpopulation to Leukocyte Ratio Measurement</t>
  </si>
  <si>
    <t>MONTMKNM</t>
  </si>
  <si>
    <t>Mononucleotide Marker Names</t>
  </si>
  <si>
    <t>The literal identifier of the mononucleotide markers present in an assay kit.</t>
  </si>
  <si>
    <t>Mononucleotide Marker Name</t>
  </si>
  <si>
    <t>MORGANEL</t>
  </si>
  <si>
    <t>Morganella</t>
  </si>
  <si>
    <t>A measurement of the organisms that are not assigned to the species level but are assigned to the Morganella genus level in a biological specimen.</t>
  </si>
  <si>
    <t>Morganella Measurement</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</si>
  <si>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</si>
  <si>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</si>
  <si>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</si>
  <si>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MORPHDS</t>
  </si>
  <si>
    <t>Desomorphine</t>
  </si>
  <si>
    <t>A measurement of the desomorphine in a biological specimen.</t>
  </si>
  <si>
    <t>Desomorphine Measurement</t>
  </si>
  <si>
    <t>MORPHET</t>
  </si>
  <si>
    <t>Ethylmorphine</t>
  </si>
  <si>
    <t>A measurement of the ethylmorphine in a biological specimen.</t>
  </si>
  <si>
    <t>Ethylmorphine Measurement</t>
  </si>
  <si>
    <t>MORPHINE</t>
  </si>
  <si>
    <t>Morphine</t>
  </si>
  <si>
    <t>A measurement of the morphine present in a biological specimen.</t>
  </si>
  <si>
    <t>Morphine Measurement</t>
  </si>
  <si>
    <t>MORPHNC</t>
  </si>
  <si>
    <t>Nicomorphine</t>
  </si>
  <si>
    <t>A measurement of the nicomorphine in a biological specimen.</t>
  </si>
  <si>
    <t>Nicomorphine Measurement</t>
  </si>
  <si>
    <t>MORPHNR</t>
  </si>
  <si>
    <t>Normorphine</t>
  </si>
  <si>
    <t>A measurement of the normorphine in a biological specimen.</t>
  </si>
  <si>
    <t>Normorphine Measurement</t>
  </si>
  <si>
    <t>MPC</t>
  </si>
  <si>
    <t>Mean Platelet Component</t>
  </si>
  <si>
    <t>A measurement of the mean platelet component (platelet activity) in a blood specimen.</t>
  </si>
  <si>
    <t>Mean Platelet Component Measurement</t>
  </si>
  <si>
    <t>MPHDRN</t>
  </si>
  <si>
    <t>Mephedrone</t>
  </si>
  <si>
    <t>A measurement of the mephedrone in a biological specimen.</t>
  </si>
  <si>
    <t>Mephedrone Measurement</t>
  </si>
  <si>
    <t>MPHNBRB</t>
  </si>
  <si>
    <t>Methylphenobarbital</t>
  </si>
  <si>
    <t>Mephobarbital; Methylphenobarbital</t>
  </si>
  <si>
    <t>A measurement of the methylphenobarbital in a biological specimen.</t>
  </si>
  <si>
    <t>Mephobarbital Measurement</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</si>
  <si>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</si>
  <si>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</si>
  <si>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</si>
  <si>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</si>
  <si>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</si>
  <si>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</si>
  <si>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</si>
  <si>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</si>
  <si>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MPM</t>
  </si>
  <si>
    <t>Mean Platelet Dry Mass</t>
  </si>
  <si>
    <t>A measurement of the mean platelet dry mass in a biological specimen.</t>
  </si>
  <si>
    <t>MPN</t>
  </si>
  <si>
    <t>Mycoplasma pneumoniae</t>
  </si>
  <si>
    <t>A measurement of the Mycoplasma pneumoniae in a biological specimen.</t>
  </si>
  <si>
    <t>Mycoplasma pneumoniae Measurement</t>
  </si>
  <si>
    <t>MPNDNA</t>
  </si>
  <si>
    <t>Mycoplasma pneumoniae DNA</t>
  </si>
  <si>
    <t>A measurement of the Mycoplasma pneumoniae DNA in a biological specimen.</t>
  </si>
  <si>
    <t>Mycoplasma pneumoniae DNA Measurement</t>
  </si>
  <si>
    <t>MPNNUAC</t>
  </si>
  <si>
    <t>Mycoplasma pneumoniae Nucleic Acid</t>
  </si>
  <si>
    <t>A measurement of the Mycoplasma pneumoniae nucleic acid in a biological specimen.</t>
  </si>
  <si>
    <t>Mycoplasma pneumoniae Nucleic Acid Measurement</t>
  </si>
  <si>
    <t>MPO</t>
  </si>
  <si>
    <t>Myeloperoxidase</t>
  </si>
  <si>
    <t>A measurement of the myeloperoxidase in a biological specimen.</t>
  </si>
  <si>
    <t>Myeloperoxidase Measurement</t>
  </si>
  <si>
    <t>MPRBMATE</t>
  </si>
  <si>
    <t>Meprobamate</t>
  </si>
  <si>
    <t>A measurement of the meprobamate in a biological specimen.</t>
  </si>
  <si>
    <t>Meprobamate Measurement</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</si>
  <si>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</si>
  <si>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</si>
  <si>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</si>
  <si>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</si>
  <si>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</si>
  <si>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</si>
  <si>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</si>
  <si>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</si>
  <si>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</si>
  <si>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MPRYLON</t>
  </si>
  <si>
    <t>Methyprylon</t>
  </si>
  <si>
    <t>A measurement of the methyprylon in a biological specimen.</t>
  </si>
  <si>
    <t>Methyprylon Measurement</t>
  </si>
  <si>
    <t>MPV</t>
  </si>
  <si>
    <t>Mean Platelet Volume</t>
  </si>
  <si>
    <t>A measurement of the average size of the platelets present in a blood sample.</t>
  </si>
  <si>
    <t>Mean Platelet Volume Measurement</t>
  </si>
  <si>
    <t>MPXI</t>
  </si>
  <si>
    <t>Myeloperoxidase Index</t>
  </si>
  <si>
    <t>The mean peroxidase activity index or staining intensity of the neutrophil population relative to the archetype.</t>
  </si>
  <si>
    <t>Neutrophil Myeloperoxidase Index</t>
  </si>
  <si>
    <t>MPXV</t>
  </si>
  <si>
    <t>Monkeypox Virus</t>
  </si>
  <si>
    <t>Monkey Pox Virus; Monkeypox Virus</t>
  </si>
  <si>
    <t>A measurement of the Monkeypox virus in a biological specimen.</t>
  </si>
  <si>
    <t>Monkeypox Virus Measurement</t>
  </si>
  <si>
    <t>MPXVDNA</t>
  </si>
  <si>
    <t>Monkeypox Virus DNA</t>
  </si>
  <si>
    <t>A measurement of the Monkeypox virus DNA in a biological specimen.</t>
  </si>
  <si>
    <t>Monkeypox Virus DNA Measurement</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</si>
  <si>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</si>
  <si>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</si>
  <si>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</si>
  <si>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</si>
  <si>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</si>
  <si>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</si>
  <si>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</si>
  <si>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</si>
  <si>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</si>
  <si>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</si>
  <si>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</si>
  <si>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</si>
  <si>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</si>
  <si>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MRICTYPE</t>
  </si>
  <si>
    <t>MRI Coil Type</t>
  </si>
  <si>
    <t>The classification of the coil that is used in an magnetic resonance imaging procedure. Usually refers to the anatomical location for where the coil is placed such as head, body or breast.</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</si>
  <si>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</si>
  <si>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</si>
  <si>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</si>
  <si>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</si>
  <si>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</si>
  <si>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MRSXIDTC</t>
  </si>
  <si>
    <t>Date of Most Recent Sexual Intercourse</t>
  </si>
  <si>
    <t>The date of the most recent occurrence of sexual intercourse.</t>
  </si>
  <si>
    <t>Date of Last Sexual Intercourse</t>
  </si>
  <si>
    <t>MSCRGIND</t>
  </si>
  <si>
    <t>Miscarriage Indicator</t>
  </si>
  <si>
    <t>Miscarriage Indicator; Spontaneous Abortion Indicator</t>
  </si>
  <si>
    <t>An indication as to whether any pregnancies resulted in miscarriages.</t>
  </si>
  <si>
    <t>MSHA</t>
  </si>
  <si>
    <t>Alpha Melanocyte Stimulating Hormone</t>
  </si>
  <si>
    <t>Alpha Melanocyte Stimulating Hormone; Alpha-MSH</t>
  </si>
  <si>
    <t>A measurement of the alpha melanocyte stimulating hormone in a biological specimen.</t>
  </si>
  <si>
    <t>Alpha Melanocyte Stimulating Hormone Measurement</t>
  </si>
  <si>
    <t>MSI</t>
  </si>
  <si>
    <t>Mycobacterium simiae</t>
  </si>
  <si>
    <t>A measurement of the Mycobacterium simiae in a biological specimen.</t>
  </si>
  <si>
    <t>Mycobacterium simiae Measurement</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</si>
  <si>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</si>
  <si>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</si>
  <si>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</si>
  <si>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</si>
  <si>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</si>
  <si>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MSTHCE</t>
  </si>
  <si>
    <t>Mesothelial Cells</t>
  </si>
  <si>
    <t>A measurement of the mesothelial cells in a biological specimen.</t>
  </si>
  <si>
    <t>Mesothelial Cells Count</t>
  </si>
  <si>
    <t>MSTHCELE</t>
  </si>
  <si>
    <t>Mesothelial Cells/Leukocytes</t>
  </si>
  <si>
    <t>A relative measurement (ratio or percentage) of the mesothelial cells to total leukocytes in a biological specimen.</t>
  </si>
  <si>
    <t>Mesothelial Cells to Leukocytes Ratio Measurement</t>
  </si>
  <si>
    <t>MSTRLN</t>
  </si>
  <si>
    <t>Mesterolone</t>
  </si>
  <si>
    <t>Mesterelone; Mesterolone</t>
  </si>
  <si>
    <t>A measurement of the mesterolone in a biological specimen.</t>
  </si>
  <si>
    <t>Mesterolone Measurement</t>
  </si>
  <si>
    <t>MTB</t>
  </si>
  <si>
    <t>Mycobacterium tuberculosis</t>
  </si>
  <si>
    <t>A measurement of the organisms that are assigned to the Mycobacterium tuberculosis species in a biological specimen.</t>
  </si>
  <si>
    <t>Mycobacterium Tuberculosis Measurement</t>
  </si>
  <si>
    <t>MTBCMPLX</t>
  </si>
  <si>
    <t>Mycobacterium tuberculosis Complex</t>
  </si>
  <si>
    <t>A measurement of the organisms assignable to the Mycobacterium tuberculosis complex in a biological specimen.</t>
  </si>
  <si>
    <t>Mycobacterium tuberculosis Complex Measurement</t>
  </si>
  <si>
    <t>MTBIINTP</t>
  </si>
  <si>
    <t>Metabolic Imaging Interpretation</t>
  </si>
  <si>
    <t>An interpretive summary of the metabolic activity of a tumor or lesion based on imaging analysis.</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</si>
  <si>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</si>
  <si>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</si>
  <si>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</si>
  <si>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</si>
  <si>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</si>
  <si>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MTENDIND</t>
  </si>
  <si>
    <t>Motion Tenderness Indicator</t>
  </si>
  <si>
    <t>An indication as to whether there are symptoms of motion tenderness.</t>
  </si>
  <si>
    <t>MTESTOS</t>
  </si>
  <si>
    <t>Methyltestosterone</t>
  </si>
  <si>
    <t>A measurement of the methyltestosterone in a biological specimen.</t>
  </si>
  <si>
    <t>Methyltestosterone Measurement</t>
  </si>
  <si>
    <t>MTETKET</t>
  </si>
  <si>
    <t>Methyl Ethyl Ketone</t>
  </si>
  <si>
    <t>MEK; Methyl Ethyl Ketone</t>
  </si>
  <si>
    <t>A measurement of the methyl ethyl ketone in a specimen.</t>
  </si>
  <si>
    <t>Methyl Ethyl Ketone Measurement</t>
  </si>
  <si>
    <t>MTHACT</t>
  </si>
  <si>
    <t>Methyl Acetate</t>
  </si>
  <si>
    <t>Methyl Acetate; Methyl Acetic Acid</t>
  </si>
  <si>
    <t>A measurement of the methyl acetate in a specimen.</t>
  </si>
  <si>
    <t>Methyl Acetate Measurement</t>
  </si>
  <si>
    <t>MTHCRYN5</t>
  </si>
  <si>
    <t>5-Methylchrysene</t>
  </si>
  <si>
    <t>A measurement of the 5-methylchrysene in a specimen.</t>
  </si>
  <si>
    <t>5-Methylchrysene Measurement</t>
  </si>
  <si>
    <t>MTHSTRN</t>
  </si>
  <si>
    <t>Methasterone</t>
  </si>
  <si>
    <t>A measurement of the methasterone in a biological specimen.</t>
  </si>
  <si>
    <t>Methasterone Measurement</t>
  </si>
  <si>
    <t>MTHXT3</t>
  </si>
  <si>
    <t>3-Methoxytyramine</t>
  </si>
  <si>
    <t>A measurement of the total 3-methoxytyramine in a biological specimen.</t>
  </si>
  <si>
    <t>Total 3-Methoxytyramine Measurement</t>
  </si>
  <si>
    <t>MTHXT3FR</t>
  </si>
  <si>
    <t>3-Methoxytyramine, Free</t>
  </si>
  <si>
    <t>A measurement of the free 3-methoxytyramine in a biological specimen.</t>
  </si>
  <si>
    <t>Free 3-Methoxytyramine Measurement</t>
  </si>
  <si>
    <t>MTNEPHFR</t>
  </si>
  <si>
    <t>Metanephrine, Free</t>
  </si>
  <si>
    <t>A measurement of the free metanephrine in a biological specimen.</t>
  </si>
  <si>
    <t>Free Metanephrine Measurement</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</si>
  <si>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</si>
  <si>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</si>
  <si>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</si>
  <si>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</si>
  <si>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</si>
  <si>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MTNNMTN</t>
  </si>
  <si>
    <t>Metanephrine+Normetanephrine</t>
  </si>
  <si>
    <t>A measurement of the metanephrine and normetanephrine in a biological specimen.</t>
  </si>
  <si>
    <t>Metanephrine and Normetanephrine Measurement</t>
  </si>
  <si>
    <t>MUARMCIR</t>
  </si>
  <si>
    <t>Mid-Upper Arm Circumference</t>
  </si>
  <si>
    <t>The distance around an individual's upper arm, at the widest point.</t>
  </si>
  <si>
    <t>MUCTHR</t>
  </si>
  <si>
    <t>Mucous Threads</t>
  </si>
  <si>
    <t>A measurement of the mucous threads present in a biological specimen.</t>
  </si>
  <si>
    <t>Mucous Thread Measurement</t>
  </si>
  <si>
    <t>MUG</t>
  </si>
  <si>
    <t>Murinoglobulin</t>
  </si>
  <si>
    <t>A measurement of the murinoglobulin in a biological specimen.</t>
  </si>
  <si>
    <t>Murinoglobulin Measurement</t>
  </si>
  <si>
    <t>MULTPLEX</t>
  </si>
  <si>
    <t>Multiplex Probe Parameter</t>
  </si>
  <si>
    <t>A descriptor referring to the number of unique molecular probes contained in each assay component from which results are obtained, such as each well in a 96-well plate.</t>
  </si>
  <si>
    <t>MUSCRIG</t>
  </si>
  <si>
    <t>Muscular Rigidity</t>
  </si>
  <si>
    <t>An evaluation of muscular rigidity (an involuntary, persistent state of firm, tense muscles with marked resistance to passive movement).</t>
  </si>
  <si>
    <t>Muscular Rigidity Evaluation</t>
  </si>
  <si>
    <t>MVRGF</t>
  </si>
  <si>
    <t>Mitral Valve Regurgitant Fraction</t>
  </si>
  <si>
    <t>A measurement of the volume of retrograde blood flow across the orifice of the mitral valve expressed as a percentage of the anterograde flow volume.</t>
  </si>
  <si>
    <t>MVRGJA</t>
  </si>
  <si>
    <t>Mitral Valve Regurgitant Jet Area</t>
  </si>
  <si>
    <t>The measured area of the regurgitant jet of blood into the left atrium.</t>
  </si>
  <si>
    <t>MVRGVOL</t>
  </si>
  <si>
    <t>Mitral Valve Regurgitant Volume</t>
  </si>
  <si>
    <t>A measurement of the volume of retrograde blood flow across the orifice of the mitral valve.</t>
  </si>
  <si>
    <t>MVVCA</t>
  </si>
  <si>
    <t>Mitral Valve Vena Contracta Area</t>
  </si>
  <si>
    <t>The area of the vena contracta of the mitral valve.</t>
  </si>
  <si>
    <t>MVVCW</t>
  </si>
  <si>
    <t>Mitral Valve Vena Contracta Width</t>
  </si>
  <si>
    <t>The width of the vena contracta of the mitral valve.</t>
  </si>
  <si>
    <t>MX1</t>
  </si>
  <si>
    <t>Interferon-Induced Protein p78</t>
  </si>
  <si>
    <t>Interferon-Induced GTP-Binding Protein Mx1; Interferon-Induced Protein p78</t>
  </si>
  <si>
    <t>A measurement of the interferon-induced protein P78 in a biological specimen.</t>
  </si>
  <si>
    <t>Interferon-Induced Protein p78 Measurement</t>
  </si>
  <si>
    <t>MXDOSAMT</t>
  </si>
  <si>
    <t>Maximum Dose Amount</t>
  </si>
  <si>
    <t>A determination of the maximum amount of a substance taken as a dose by a subject.</t>
  </si>
  <si>
    <t>MXDOSFRQ</t>
  </si>
  <si>
    <t>Frequency of Maximum Dose Amount</t>
  </si>
  <si>
    <t>A determination of how often a subject takes a substance at the maximum dose amount.</t>
  </si>
  <si>
    <t>MYBLA</t>
  </si>
  <si>
    <t>Myeloblasts</t>
  </si>
  <si>
    <t>Myeloblasts; Myeloid Blasts</t>
  </si>
  <si>
    <t>A measurement of the myeloblast cells in a biological specimen.</t>
  </si>
  <si>
    <t>Myeloblast Count</t>
  </si>
  <si>
    <t>MYBLALE</t>
  </si>
  <si>
    <t>Myeloblasts/Leukocytes</t>
  </si>
  <si>
    <t>A relative measurement (ratio or percentage) of the myeloblasts to leukocytes in a biological specimen.</t>
  </si>
  <si>
    <t>Myeloblast to Leukocyte Ratio</t>
  </si>
  <si>
    <t>MYBLAT1</t>
  </si>
  <si>
    <t>Type I Myeloblasts</t>
  </si>
  <si>
    <t>A measurement of type I myeloblast cells per unit of a biological specimen.</t>
  </si>
  <si>
    <t>Type I Myeloblasts Measurement</t>
  </si>
  <si>
    <t>MYBLAT2</t>
  </si>
  <si>
    <t>Type II Myeloblasts</t>
  </si>
  <si>
    <t>A measurement of type II myeloblast cells per unit of a biological specimen.</t>
  </si>
  <si>
    <t>Type II Myeloblasts Measurement</t>
  </si>
  <si>
    <t>MYBLAT3</t>
  </si>
  <si>
    <t>Type III Myeloblasts</t>
  </si>
  <si>
    <t>A measurement of type III myeloblast cells per unit of a biological specimen.</t>
  </si>
  <si>
    <t>Type III Myeloblasts Measurement</t>
  </si>
  <si>
    <t>MYC</t>
  </si>
  <si>
    <t>Myeloid Cells</t>
  </si>
  <si>
    <t>A measurement of the myeloid cells in a biological specimen.</t>
  </si>
  <si>
    <t>Myeloid Cell Count</t>
  </si>
  <si>
    <t>MYCEMIDX</t>
  </si>
  <si>
    <t>Myeloid Maturation Index</t>
  </si>
  <si>
    <t>A relative measurement (ratio) of the sum of myeloid maturation phase cells (pool) to the sum of myeloid proliferative phase cells (pool) in a biological specimen.</t>
  </si>
  <si>
    <t>MYCEMPOL</t>
  </si>
  <si>
    <t>Myeloid Maturation Pool</t>
  </si>
  <si>
    <t>A measurement of the myeloid maturation phase cells (metamyelocytes, band neutrophils, and segmented neutrophils) in a biological specimen.</t>
  </si>
  <si>
    <t>Myeloid Maturation Pool Count</t>
  </si>
  <si>
    <t>MYCEPIDX</t>
  </si>
  <si>
    <t>Myeloid Proliferation Index</t>
  </si>
  <si>
    <t>A relative measurement (ratio) of the sum of myeloid proliferative phase cells (pool) to the sum of myeloid maturation phase cells (pool) in a biological specimen.</t>
  </si>
  <si>
    <t>MYCEPPOL</t>
  </si>
  <si>
    <t>Myeloid Proliferation Pool</t>
  </si>
  <si>
    <t>A measurement of the myeloid proliferative phase cells (myeloblasts, promyelocytes, and myelocytes) in a biological specimen.</t>
  </si>
  <si>
    <t>Myeloid Proliferation Pool Count</t>
  </si>
  <si>
    <t>MYCOBACT</t>
  </si>
  <si>
    <t>Mycobacterium</t>
  </si>
  <si>
    <t>A measurement of the organisms that are not assigned to the species level but are assigned to the Mycobacterium genus level in a biological specimen.</t>
  </si>
  <si>
    <t>Mycobacterium Measurement</t>
  </si>
  <si>
    <t>MYCOPLAS</t>
  </si>
  <si>
    <t>Mycoplasma</t>
  </si>
  <si>
    <t>A measurement of the organisms that are not assigned to the species level but are assigned to the Mycoplasma genus level in a biological specimen.</t>
  </si>
  <si>
    <t>Mycoplasma Measurement</t>
  </si>
  <si>
    <t>MYCY</t>
  </si>
  <si>
    <t>Myelocytes</t>
  </si>
  <si>
    <t>A measurement of the myelocytes in a biological specimen.</t>
  </si>
  <si>
    <t>Myelocyte Count</t>
  </si>
  <si>
    <t>MYCYCE</t>
  </si>
  <si>
    <t>Myelocytes/Total Cells</t>
  </si>
  <si>
    <t>A relative measurement (ratio or percentage) of the myelocytes to total cells in a biological specimen (for example a bone marrow specimen).</t>
  </si>
  <si>
    <t>Myelocyte to Total Cell Ratio Measurement</t>
  </si>
  <si>
    <t>MYCYLE</t>
  </si>
  <si>
    <t>Myelocytes/Leukocytes</t>
  </si>
  <si>
    <t>A relative measurement (ratio or percentage) of the myelocytes to leukocytes in a biological specimen.</t>
  </si>
  <si>
    <t>Myelocyte to Leukocyte Ratio</t>
  </si>
  <si>
    <t>MYECV</t>
  </si>
  <si>
    <t>Myocardial Extracellular Volume</t>
  </si>
  <si>
    <t>MECV; Myocardial Extracellular Volume</t>
  </si>
  <si>
    <t>The percent of myocardial tissue comprised of extracellular space calculated from native and post-contrast T1 maps and a contemporaneous hematocrit level.</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</si>
  <si>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</si>
  <si>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</si>
  <si>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</si>
  <si>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</si>
  <si>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</si>
  <si>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MYPC</t>
  </si>
  <si>
    <t>Myeloid Progenitor Cells</t>
  </si>
  <si>
    <t>A measurement of the myeloid progenitor cells in a biological specimen.</t>
  </si>
  <si>
    <t>Myeloid Progenitor Cell Count</t>
  </si>
  <si>
    <t>MYPCCE</t>
  </si>
  <si>
    <t>Myeloid Progenitor Cells/Total Cells</t>
  </si>
  <si>
    <t>A relative measurement (ratio or percentage) of the myeloid progenitor cells to total cells in a biological specimen.</t>
  </si>
  <si>
    <t>Myeloid Progenitor Cell to Total Cell Ratio Measurement</t>
  </si>
  <si>
    <t>MYPCERPC</t>
  </si>
  <si>
    <t>Myeloid/Erythroid Ratio</t>
  </si>
  <si>
    <t>A relative measurement of myeloid progenitor cells to erythrocyte precursor cells in a biological specimen.</t>
  </si>
  <si>
    <t>Myeloid to Erythroid Ratio Measurement</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</si>
  <si>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</si>
  <si>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</si>
  <si>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</si>
  <si>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</si>
  <si>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</si>
  <si>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MYTBNUAC</t>
  </si>
  <si>
    <t>Mycobacterium tuberculosis Nucleic Acid</t>
  </si>
  <si>
    <t>A measurement of the Mycobacterium tuberculosis nucleic acid in a biological specimen.</t>
  </si>
  <si>
    <t>Mycobacterium tuberculosis Nucleic Acid Measurement</t>
  </si>
  <si>
    <t>N145LAT</t>
  </si>
  <si>
    <t>N145 Latency</t>
  </si>
  <si>
    <t>An assessment of the latency of the N145 or N2 wave of the visual evoked potential assessment waveform.</t>
  </si>
  <si>
    <t>N1SLPDUR</t>
  </si>
  <si>
    <t>N1 Sleep Duration</t>
  </si>
  <si>
    <t>N1 Sleep Duration; Stage 1 Sleep Duration</t>
  </si>
  <si>
    <t>The length of time of N1 sleep.</t>
  </si>
  <si>
    <t>N1 Sleep Phase Duration</t>
  </si>
  <si>
    <t>N1SLPTST</t>
  </si>
  <si>
    <t>N1 Sleep/Total Sleep Time</t>
  </si>
  <si>
    <t>A relative measurement (percentage) of the N1 sleep time to total sleep time.</t>
  </si>
  <si>
    <t>N1 Sleep to Total Sleep Time Ratio Measurement</t>
  </si>
  <si>
    <t>N2SLPDUR</t>
  </si>
  <si>
    <t>N2 Sleep Duration</t>
  </si>
  <si>
    <t>N2 Sleep Duration; Stage 2 Sleep Duration</t>
  </si>
  <si>
    <t>The length of time of N2 sleep.</t>
  </si>
  <si>
    <t>N2 Sleep Phase Duration</t>
  </si>
  <si>
    <t>N2SLPTST</t>
  </si>
  <si>
    <t>N2 Sleep/Total Sleep Time</t>
  </si>
  <si>
    <t>A relative measurement (percentage) of the N2 sleep time to total sleep time.</t>
  </si>
  <si>
    <t>N2 Sleep to Total Sleep Time Ratio Measurement</t>
  </si>
  <si>
    <t>N3_IQ</t>
  </si>
  <si>
    <t>2-Amino-3-Methylimidazo[4,5-f]quinoline</t>
  </si>
  <si>
    <t>2-Amino-3-Methylimidazo[4,5-f]quinoline; IQ; N3-IQ</t>
  </si>
  <si>
    <t>A measurement of the 2-amino-3-methylimidazo[4,5-f]quinoline in a specimen.</t>
  </si>
  <si>
    <t>2-Amino-3-Methylimidazo[4,5-f]quinoline Measurement</t>
  </si>
  <si>
    <t>N3SLPDUR</t>
  </si>
  <si>
    <t>N3 Sleep Duration</t>
  </si>
  <si>
    <t>N3 Sleep Duration; Stage 3 Sleep Duration</t>
  </si>
  <si>
    <t>The length of time of N3 sleep.</t>
  </si>
  <si>
    <t>N3 Sleep Phase Duration</t>
  </si>
  <si>
    <t>N3SLPTST</t>
  </si>
  <si>
    <t>N3 Sleep/Total Sleep Time</t>
  </si>
  <si>
    <t>A relative measurement (percentage) of the N3 sleep time to total sleep time.</t>
  </si>
  <si>
    <t>N3 Sleep to Total Sleep Time Ratio Measurement</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</si>
  <si>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</si>
  <si>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</si>
  <si>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</si>
  <si>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</si>
  <si>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</si>
  <si>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N75LAT</t>
  </si>
  <si>
    <t>N75 Latency</t>
  </si>
  <si>
    <t>N1 Latency; N75 Latency</t>
  </si>
  <si>
    <t>An assessment of the latency of the N75 or N1 wave of the visual evoked potential assessment waveform.</t>
  </si>
  <si>
    <t>NAA</t>
  </si>
  <si>
    <t>N-Acetyl Aspartate</t>
  </si>
  <si>
    <t>A measurement of the N-acetyl aspartate in a biological specimen.</t>
  </si>
  <si>
    <t>N-Acetyl Aspartate Measurement</t>
  </si>
  <si>
    <t>NAACHO</t>
  </si>
  <si>
    <t>N-Acetyl Aspartate/Choline</t>
  </si>
  <si>
    <t>A relative measurement (ratio) of the N-acetyl aspartate to the choline in a biological specimen.</t>
  </si>
  <si>
    <t>N-Acetyl Aspartate to Choline Ratio Measurement</t>
  </si>
  <si>
    <t>NAACTN</t>
  </si>
  <si>
    <t>N-Acetyl Aspartate/Creatine</t>
  </si>
  <si>
    <t>A relative measurement (ratio) of the N-acetyl aspartate to the creatine in a biological specimen.</t>
  </si>
  <si>
    <t>N-Acetyl Aspartate to Creatine Ratio Measurement</t>
  </si>
  <si>
    <t>NAACTNCH</t>
  </si>
  <si>
    <t>N-Acetyl Aspartate/Creatine+Choline</t>
  </si>
  <si>
    <t>A relative measurement (ratio) of the N-acetyl aspartate to the creatinine plus choline to the creatine in a biological specimen.</t>
  </si>
  <si>
    <t>N-Acetyl Aspartate to Creatine and Choline Ratio Measurement</t>
  </si>
  <si>
    <t>NAANAAG</t>
  </si>
  <si>
    <t>NAA+NAAG</t>
  </si>
  <si>
    <t>N-acetylaspartate + N-acetyl-aspartylglutamate; NAA+NAAG</t>
  </si>
  <si>
    <t>A measurement of the N-acetylaspartate plus N-acetyl-aspartylglutamate in a biological specimen.</t>
  </si>
  <si>
    <t>N-acetylaspartate and N-acetyl-aspartylglutamate Measurement</t>
  </si>
  <si>
    <t>NACLR</t>
  </si>
  <si>
    <t>Sodium Clearance</t>
  </si>
  <si>
    <t>A measurement of the volume of serum or plasma that would be cleared of sodium by excretion of urine for a specified unit of time (e.g. one minute).</t>
  </si>
  <si>
    <t>Sodium Clearance Measurement</t>
  </si>
  <si>
    <t>NACREAT</t>
  </si>
  <si>
    <t>Sodium/Creatinine</t>
  </si>
  <si>
    <t>A relative measurement (ratio or percentage) of the sodium to creatinine in a biological specimen.</t>
  </si>
  <si>
    <t>Sodium to Creatinine Ratio Measurement</t>
  </si>
  <si>
    <t>NAG</t>
  </si>
  <si>
    <t>N-Acetyl Glucosamide</t>
  </si>
  <si>
    <t>N-Acetyl Glucosamide; N-Acetyl Glucosamine</t>
  </si>
  <si>
    <t>A measurement of N-acetyl glucosamide (sugar derivative) in a biological specimen.</t>
  </si>
  <si>
    <t>N-Acetyl Glucosamide Measurement</t>
  </si>
  <si>
    <t>NAGASE</t>
  </si>
  <si>
    <t>N-acetyl-beta-D-glucosaminidase</t>
  </si>
  <si>
    <t>Beta-N-acetyl-D-glucosaminidase; N-acetyl-beta-D-glucosaminidase</t>
  </si>
  <si>
    <t>A measurement of the N-acetyl-beta-D-glucosaminidase (enzyme) in a biological specimen.</t>
  </si>
  <si>
    <t>N-acetyl-beta-D-glucosaminidase Measurement</t>
  </si>
  <si>
    <t>NAGASECR</t>
  </si>
  <si>
    <t>N-acetyl-B-D-glucosaminidase/Creatinine</t>
  </si>
  <si>
    <t>A relative measurement (ratio or percentage) of the N-acetyl-beta-D-glucosaminidase to creatinine in a biological specimen.</t>
  </si>
  <si>
    <t>N-acetyl-Beta-D-glucosaminidase to Creatinine Ratio Measurement</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</si>
  <si>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</si>
  <si>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</si>
  <si>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</si>
  <si>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</si>
  <si>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</si>
  <si>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NAGCREAT</t>
  </si>
  <si>
    <t>N-Acetyl Glucosamide/Creatinine</t>
  </si>
  <si>
    <t>A relative measurement (ratio or percentage) of the N-acetyl glucosamide to creatinine in a biological specimen.</t>
  </si>
  <si>
    <t>N-Acetyl Glucosamide to Creatinine Ratio Measurement</t>
  </si>
  <si>
    <t>NAK</t>
  </si>
  <si>
    <t>Sodium/Potassium</t>
  </si>
  <si>
    <t>A relative measurement (ratio or percentage) of the sodium to potassium in a biological specimen.</t>
  </si>
  <si>
    <t>Sodium to Potassium Ratio Measurement</t>
  </si>
  <si>
    <t>NALORPHN</t>
  </si>
  <si>
    <t>Nalorphine</t>
  </si>
  <si>
    <t>Allorphine; Antorphine; N-allylnormorphine; Nalorphine</t>
  </si>
  <si>
    <t>A measurement of the nalorphine in a biological specimen.</t>
  </si>
  <si>
    <t>Nalorphine Measurement</t>
  </si>
  <si>
    <t>NANDRLN</t>
  </si>
  <si>
    <t>Nandrolone</t>
  </si>
  <si>
    <t>Nandrolone; Norandrostenolone; Nortestosterone</t>
  </si>
  <si>
    <t>A measurement of the nandrolone in a biological specimen.</t>
  </si>
  <si>
    <t>Nandrolone Measurement</t>
  </si>
  <si>
    <t>NAPHYRON</t>
  </si>
  <si>
    <t>Naphyrone</t>
  </si>
  <si>
    <t>A measurement of the naphyrone in a biological specimen.</t>
  </si>
  <si>
    <t>Naphyrone Measurement</t>
  </si>
  <si>
    <t>NATORIG</t>
  </si>
  <si>
    <t>National Origin</t>
  </si>
  <si>
    <t>System of classification based on nation from which a person originates, regardless of the nation in which he/she currently resides.</t>
  </si>
  <si>
    <t>NBNL2IND</t>
  </si>
  <si>
    <t>Two or More New Bone Lesions Indicator</t>
  </si>
  <si>
    <t>An indication as to whether there are two or more new bone lesions, in comparison to a reference timepoint.</t>
  </si>
  <si>
    <t>NBNLNUM</t>
  </si>
  <si>
    <t>Number of New Bone Lesions</t>
  </si>
  <si>
    <t>The number of new lesions within the bone, in comparison to a reference timepoint.</t>
  </si>
  <si>
    <t>NBNZ</t>
  </si>
  <si>
    <t>Nitrobenzene</t>
  </si>
  <si>
    <t>A measurement of the nitrobenzene in a specimen.</t>
  </si>
  <si>
    <t>Nitrobenzene Measurement</t>
  </si>
  <si>
    <t>NCCPTN</t>
  </si>
  <si>
    <t>Nociceptin</t>
  </si>
  <si>
    <t>Nociceptin; Orphanin FQ</t>
  </si>
  <si>
    <t>A measurement of the nociceptin in a biological specimen.</t>
  </si>
  <si>
    <t>Nociceptin Measurement</t>
  </si>
  <si>
    <t>NCLOSTBL</t>
  </si>
  <si>
    <t>Norclostebol</t>
  </si>
  <si>
    <t>A measurement of the norclostebol in a biological specimen.</t>
  </si>
  <si>
    <t>Norclostebol Measurement</t>
  </si>
  <si>
    <t>NCT1NOX</t>
  </si>
  <si>
    <t>Nicotine 1-N-Oxide</t>
  </si>
  <si>
    <t>Nicotine 1-N-Oxide; Nicotine-1 N-Oxide</t>
  </si>
  <si>
    <t>A measurement of the nicotine 1-N-oxide in a specimen.</t>
  </si>
  <si>
    <t>Nicotine 1-N-Oxide Measurement</t>
  </si>
  <si>
    <t>NCTD5P</t>
  </si>
  <si>
    <t>5 Prime Nucleotidase</t>
  </si>
  <si>
    <t>5 Prime Nucleotidase; 5'-Ribonucleotide Phosphohydrolase</t>
  </si>
  <si>
    <t>A measurement of the 5'-nucleotidase in a biological specimen.</t>
  </si>
  <si>
    <t>5 Prime Nucleotidase Measurement</t>
  </si>
  <si>
    <t>NCTGLC</t>
  </si>
  <si>
    <t>Nicotine Glucuronide</t>
  </si>
  <si>
    <t>Nicotine Glucuronide; Nicotine N-glucuronide; Nicotine-Glucuronide</t>
  </si>
  <si>
    <t>A measurement of the nicotine glucuronide in a specimen.</t>
  </si>
  <si>
    <t>Nicotine Glucuronide Measurement</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</si>
  <si>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</si>
  <si>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</si>
  <si>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</si>
  <si>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</si>
  <si>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</si>
  <si>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NCVALTYP</t>
  </si>
  <si>
    <t>Native Cardiac Valve Intervention Type</t>
  </si>
  <si>
    <t>A description of what kind of intervention has been performed on a native cardiac valve.</t>
  </si>
  <si>
    <t>NCY</t>
  </si>
  <si>
    <t>Nocardia cyriacigeorgica</t>
  </si>
  <si>
    <t>A measurement of the Nocardia cyriacigeorgica in a biological specimen.</t>
  </si>
  <si>
    <t>Nocardia cyriacigeorgica Measurement</t>
  </si>
  <si>
    <t>NDEA</t>
  </si>
  <si>
    <t>N-Nitrosodiethylamine</t>
  </si>
  <si>
    <t>N-Nitrosodiethylamine; NDEA</t>
  </si>
  <si>
    <t>A measurement of the N-nitrosodiethylamine in a specimen.</t>
  </si>
  <si>
    <t>N-Nitrosodiethylamine Measurement</t>
  </si>
  <si>
    <t>NDELA</t>
  </si>
  <si>
    <t>N-Nitrosodiethanolamine</t>
  </si>
  <si>
    <t>N-Nitrosodiethanolamine; NDELA</t>
  </si>
  <si>
    <t>A measurement of the N-nitrosodiethanolamine in a specimen.</t>
  </si>
  <si>
    <t>N-Nitrosodiethanolamine Measurement</t>
  </si>
  <si>
    <t>NDLGAUGE</t>
  </si>
  <si>
    <t>Needle Gauge</t>
  </si>
  <si>
    <t>A number representing the outer diameter of a needle. (NCI)</t>
  </si>
  <si>
    <t>NDMA</t>
  </si>
  <si>
    <t>N-Nitrosodimethylamine</t>
  </si>
  <si>
    <t>N-Nitrosodimethylamine; NDMA</t>
  </si>
  <si>
    <t>A measurement of the N-nitrosodimethylamine in a specimen.</t>
  </si>
  <si>
    <t>N-Nitrosodimethylamine Measurement</t>
  </si>
  <si>
    <t>NDMOLZPN</t>
  </si>
  <si>
    <t>N-Desmethylolanzapine</t>
  </si>
  <si>
    <t>Desmethylolanzapine; DMO; N-Desmethylolanzapine; Norolanzapine</t>
  </si>
  <si>
    <t>A measurement of the N-desmethylolanzapine in a biological specimen.</t>
  </si>
  <si>
    <t>N-Desmethylolanzapine Measurement</t>
  </si>
  <si>
    <t>NDMTASE</t>
  </si>
  <si>
    <t>N-Demethylase</t>
  </si>
  <si>
    <t>A measurement of the N-Demethylase in a biological specimen.</t>
  </si>
  <si>
    <t>N-Demethylase Measurement</t>
  </si>
  <si>
    <t>NDSMT</t>
  </si>
  <si>
    <t>N-Desmethyltramadol</t>
  </si>
  <si>
    <t>N-Desmethyltramadol; N-DSMT</t>
  </si>
  <si>
    <t>A measurement of the N-desmethyltramadol in a biological specimen.</t>
  </si>
  <si>
    <t>N-Desmethyltramadol Measurement</t>
  </si>
  <si>
    <t>NEARJNT</t>
  </si>
  <si>
    <t>Nearest Joint</t>
  </si>
  <si>
    <t>The anatomical joint in closest proximity to the entity or object of interest.</t>
  </si>
  <si>
    <t>NECKCIR</t>
  </si>
  <si>
    <t>Neck Circumference</t>
  </si>
  <si>
    <t>A circumferential measurement of the neck, just below the larynx.</t>
  </si>
  <si>
    <t>NEOPTERN</t>
  </si>
  <si>
    <t>Neopterin</t>
  </si>
  <si>
    <t>A measurement of the neopterin in a biological specimen.</t>
  </si>
  <si>
    <t>Neopterin Measurement</t>
  </si>
  <si>
    <t>NEOVASC</t>
  </si>
  <si>
    <t>Neovascularization</t>
  </si>
  <si>
    <t>An evaluation of neovascularization (new vessel formation) in a biological specimen or location.</t>
  </si>
  <si>
    <t>Neovascularization Assessment</t>
  </si>
  <si>
    <t>NEPHRIN</t>
  </si>
  <si>
    <t>Nephrin</t>
  </si>
  <si>
    <t>Nephrin; NPHS1 Adhesion Molecule, Nephrin</t>
  </si>
  <si>
    <t>A measurement of the nephrin in a biological specimen.</t>
  </si>
  <si>
    <t>Nephrin Measurement</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</si>
  <si>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</si>
  <si>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</si>
  <si>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</si>
  <si>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</si>
  <si>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NEUT</t>
  </si>
  <si>
    <t>Neutrophils</t>
  </si>
  <si>
    <t>A measurement of the neutrophils in a biological specimen.</t>
  </si>
  <si>
    <t>Absolute Neutrophil Count</t>
  </si>
  <si>
    <t>NEUTAGR</t>
  </si>
  <si>
    <t>Agranular Neutrophils</t>
  </si>
  <si>
    <t>A measurement of the agranular neutrophils in a biological specimen.</t>
  </si>
  <si>
    <t>Agranular Neutrophils Measurement</t>
  </si>
  <si>
    <t>NEUTB</t>
  </si>
  <si>
    <t>Neutrophils Band Form</t>
  </si>
  <si>
    <t>A measurement of the banded neutrophils in a biological specimen.</t>
  </si>
  <si>
    <t>Neutrophil Band Form Count</t>
  </si>
  <si>
    <t>NEUTBCE</t>
  </si>
  <si>
    <t>Neutrophils Band Form/Total Cells</t>
  </si>
  <si>
    <t>A relative measurement (ratio or percentage) of the banded neutrophils to total cells in a biological specimen.</t>
  </si>
  <si>
    <t>Neutrophil Band Form to Total Cell Ratio Measurement</t>
  </si>
  <si>
    <t>NEUTBLE</t>
  </si>
  <si>
    <t>Neutrophils Band Form/Leukocytes</t>
  </si>
  <si>
    <t>A relative measurement (ratio or percentage) of the banded neutrophils to leukocytes in a biological specimen.</t>
  </si>
  <si>
    <t>Neutrophil Band Form to Leukocyte Ratio</t>
  </si>
  <si>
    <t>NEUTBNE</t>
  </si>
  <si>
    <t>Neutrophils Band Form/ Neutrophils</t>
  </si>
  <si>
    <t>A relative measurement (ratio or percentage) of banded neutrophils to total neutrophils in a biological specimen.</t>
  </si>
  <si>
    <t>Neutrophils Band Form to Neutrophils Ratio Measurement</t>
  </si>
  <si>
    <t>NEUTCE</t>
  </si>
  <si>
    <t>Neutrophils/Total Cells</t>
  </si>
  <si>
    <t>A relative measurement (ratio or percentage) of the neutrophils to total cells in a biological specimen (for example a bone marrow specimen).</t>
  </si>
  <si>
    <t>Neutrophil to Total Cell Ratio Measurement</t>
  </si>
  <si>
    <t>NEUTCYBS</t>
  </si>
  <si>
    <t>Cytoplasmic Basophilia Neutrophil</t>
  </si>
  <si>
    <t>A measurement of the neutrophils in a biological specimen showing a dark staining pattern in the cytoplasm due to increased acidic content.</t>
  </si>
  <si>
    <t>Cytoplasmic Basophilia Neutrophil Count</t>
  </si>
  <si>
    <t>NEUTGT</t>
  </si>
  <si>
    <t>Giant Neutrophils</t>
  </si>
  <si>
    <t>A measurement of the giant neutrophils in a biological specimen.</t>
  </si>
  <si>
    <t>Giant Neutrophil Count</t>
  </si>
  <si>
    <t>NEUTHYGR</t>
  </si>
  <si>
    <t>Hypogranular Neutrophils</t>
  </si>
  <si>
    <t>A measurement of the hypogranular neutrophils in a biological specimen.</t>
  </si>
  <si>
    <t>Hypogranular Neutrophil Measurement</t>
  </si>
  <si>
    <t>NEUTIM</t>
  </si>
  <si>
    <t>Immature Neutrophils</t>
  </si>
  <si>
    <t>A measurement of the total immature neutrophils in a biological specimen.</t>
  </si>
  <si>
    <t>Immature Neutrophil Count</t>
  </si>
  <si>
    <t>NEUTIMLE</t>
  </si>
  <si>
    <t>Immature Neutrophils/Leukocytes</t>
  </si>
  <si>
    <t>A relative measurement (ratio or percentage) of the immature neutrophils to leukocytes in a biological specimen.</t>
  </si>
  <si>
    <t>Immature Neutrophils to Leukocytes Ratio Measurement</t>
  </si>
  <si>
    <t>NEUTLE</t>
  </si>
  <si>
    <t>Neutrophils/Leukocytes</t>
  </si>
  <si>
    <t>A relative measurement (ratio or percentage) of the neutrophils to leukocytes in a biological specimen.</t>
  </si>
  <si>
    <t>Neutrophil to Leukocyte Ratio Measurement</t>
  </si>
  <si>
    <t>NEUTLS</t>
  </si>
  <si>
    <t>Left Shift Neutrophils</t>
  </si>
  <si>
    <t>An observation of the above normal incidence of immature neutrophils, including band neutrophils and neutrophil precursors in a biological specimen.</t>
  </si>
  <si>
    <t>Left Shift Neutrophil Measurement</t>
  </si>
  <si>
    <t>NEUTLY</t>
  </si>
  <si>
    <t>Neutrophils/Lymphocytes</t>
  </si>
  <si>
    <t>A relative measurement (ratio) of the neutrophils to lymphocytes in a biological specimen.</t>
  </si>
  <si>
    <t>Neutrophil to Lymphocyte Ratio Measurement</t>
  </si>
  <si>
    <t>NEUTMM</t>
  </si>
  <si>
    <t>Neutrophilic Metamyelocytes</t>
  </si>
  <si>
    <t>A measurement of the neutrophilic metamyelocytes in a biological specimen.</t>
  </si>
  <si>
    <t>Neutrophilic Metamyelocyte Count</t>
  </si>
  <si>
    <t>NEUTMMCE</t>
  </si>
  <si>
    <t>Neutrophilic Metamyelocytes/Total Cells</t>
  </si>
  <si>
    <t>A relative measurement (ratio or percentage) of the neutrophilic metamyelocytes to total cells in a biological specimen.</t>
  </si>
  <si>
    <t>Neutrophilic Metamyelocyte to Total Cell Ratio Measurement</t>
  </si>
  <si>
    <t>NEUTMY</t>
  </si>
  <si>
    <t>Neutrophilic Myelocytes</t>
  </si>
  <si>
    <t>A measurement of the neutrophilic myelocytes in a biological specimen.</t>
  </si>
  <si>
    <t>Neutrophilic Myelocyte Count</t>
  </si>
  <si>
    <t>NEUTNSQE</t>
  </si>
  <si>
    <t>Neutrophils/Non-Squam Epi Cells</t>
  </si>
  <si>
    <t>A relative measurement (ratio or percentage) of the neutrophils to non-squamous epithelial cells in a biological specimen.</t>
  </si>
  <si>
    <t>Neutrophils to Non-Squamous Epithelial Cells Ratio Measurement</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</si>
  <si>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</si>
  <si>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</si>
  <si>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</si>
  <si>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</si>
  <si>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</si>
  <si>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NEUTSG</t>
  </si>
  <si>
    <t>Neutrophils, Segmented</t>
  </si>
  <si>
    <t>A measurement of the segmented neutrophils in a biological specimen.</t>
  </si>
  <si>
    <t>Segmented Neutrophil Count</t>
  </si>
  <si>
    <t>NEUTSGB</t>
  </si>
  <si>
    <t>Neutrophils, Segmented + Band Form</t>
  </si>
  <si>
    <t>A measurement of the segmented and band form neutrophils in a biological specimen.</t>
  </si>
  <si>
    <t>Segmented and Band Form Neutrophils Measurement</t>
  </si>
  <si>
    <t>NEUTSGBP</t>
  </si>
  <si>
    <t>Neutrophils, Seg + Band Form + Precursor</t>
  </si>
  <si>
    <t>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</si>
  <si>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</si>
  <si>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</si>
  <si>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NEUTSGCE</t>
  </si>
  <si>
    <t>Neutrophils, Segmented/Total Cells</t>
  </si>
  <si>
    <t>A relative measurement (ratio or percentage) of segmented neutrophils to total cells in a biological specimen.</t>
  </si>
  <si>
    <t>Segmented Neutrophil to Total Cell Ratio Measurement</t>
  </si>
  <si>
    <t>NEUTSGLE</t>
  </si>
  <si>
    <t>Neutrophils, Segmented/Leukocytes</t>
  </si>
  <si>
    <t>A relative measurement (ratio or percentage) of segmented neutrophils to leukocytes in a biological specimen.</t>
  </si>
  <si>
    <t>Segmented Neutrophil to Leukocyte Ratio Measurement</t>
  </si>
  <si>
    <t>NEUTSGNE</t>
  </si>
  <si>
    <t>Neutrophils, Segmented/Neutrophils</t>
  </si>
  <si>
    <t>A relative measurement (ratio or percentage) of segmented neutrophils to total neutrophils in a biological specimen.</t>
  </si>
  <si>
    <t>Segmented Neutrophils to Neutrophils Ratio Measurement</t>
  </si>
  <si>
    <t>NEUTTOXC</t>
  </si>
  <si>
    <t>Neutrophilic Toxic Change</t>
  </si>
  <si>
    <t>A measurement of any type of toxic change in cells of the neutrophilic lineage in a biological specimen.</t>
  </si>
  <si>
    <t>Neutrophilic Toxic Change Assessment</t>
  </si>
  <si>
    <t>NEUTVAC</t>
  </si>
  <si>
    <t>Vacuolated Neutrophils</t>
  </si>
  <si>
    <t>A measurement of the neutrophils containing small vacuoles in a biological specimen.</t>
  </si>
  <si>
    <t>Vacuolated Neutrophil Count</t>
  </si>
  <si>
    <t>NEWCONF</t>
  </si>
  <si>
    <t>New Tumor Confirmed</t>
  </si>
  <si>
    <t>The verification/confirmation by other methods or modalities that a tumor, which has not been previously seen or characterized, is present in the subject.</t>
  </si>
  <si>
    <t>New Tumor Confirmation</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</si>
  <si>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</si>
  <si>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</si>
  <si>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</si>
  <si>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NFH</t>
  </si>
  <si>
    <t>Neurofilament Heavy Polypeptide</t>
  </si>
  <si>
    <t>Neurofilament Heavy Chain; Neurofilament Heavy Polypeptide; Neurofilament Triplet H Protein; NF-H</t>
  </si>
  <si>
    <t>A measurement of the neurofilament heavy polypeptide in a biological specimen.</t>
  </si>
  <si>
    <t>Neurofilament Heavy Polypeptide Measurement</t>
  </si>
  <si>
    <t>NFHP</t>
  </si>
  <si>
    <t>Phosphorylated Neurofilament Heavy Chain</t>
  </si>
  <si>
    <t>A measurement of the phosphorylated neurofilament heavy chain in a biological specimen.</t>
  </si>
  <si>
    <t>Phosphorylated Neurofilament Heavy Chain Measurement</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</si>
  <si>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</si>
  <si>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</si>
  <si>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</si>
  <si>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</si>
  <si>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</si>
  <si>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NGF</t>
  </si>
  <si>
    <t>Nerve Growth Factor</t>
  </si>
  <si>
    <t>A measurement of the total nerve growth factor in a biological specimen.</t>
  </si>
  <si>
    <t>Nerve Growth Factor Measurement</t>
  </si>
  <si>
    <t>NGFA</t>
  </si>
  <si>
    <t>Nerve Growth Factor Alpha</t>
  </si>
  <si>
    <t>A measurement of the nerve growth factor alpha in a biological specimen.</t>
  </si>
  <si>
    <t>Nerve Growth Factor Alpha Measurement</t>
  </si>
  <si>
    <t>NGFB</t>
  </si>
  <si>
    <t>Nerve Growth Factor Beta</t>
  </si>
  <si>
    <t>A measurement of the nerve growth factor beta in a biological specimen.</t>
  </si>
  <si>
    <t>Nerve Growth Factor Beta Measurement</t>
  </si>
  <si>
    <t>NGFG</t>
  </si>
  <si>
    <t>Nerve Growth Factor Gamma</t>
  </si>
  <si>
    <t>A measurement of the nerve growth factor gamma in a biological specimen.</t>
  </si>
  <si>
    <t>Nerve Growth Factor Gamma Measurement</t>
  </si>
  <si>
    <t>NGLE</t>
  </si>
  <si>
    <t>Non-Gran Leuk</t>
  </si>
  <si>
    <t>Leukocytes, Non-Granulocytic; Non-Gran Leuk; Non-Granulocytic Leukocytes</t>
  </si>
  <si>
    <t>A measurement of the non-granulocytic leukocytes in a biological specimen.</t>
  </si>
  <si>
    <t>Non-Granulocytic Leukocyte Count</t>
  </si>
  <si>
    <t>NGO</t>
  </si>
  <si>
    <t>Neisseria gonorrhoeae</t>
  </si>
  <si>
    <t>A measurement of the Neisseria gonorrhoeae in a biological specimen.</t>
  </si>
  <si>
    <t>Neisseria gonorrhoeae Measurement</t>
  </si>
  <si>
    <t>NGOBLN</t>
  </si>
  <si>
    <t>N. gonorrhoeae, Beta-lactamase Negative</t>
  </si>
  <si>
    <t>A measurement of the beta-lactamase negative strain of Neisseria gonorrhoeae in a biological specimen.</t>
  </si>
  <si>
    <t>Neisseria gonorrhoeae, Beta-lactamase Negative Measurement</t>
  </si>
  <si>
    <t>NGOBLP</t>
  </si>
  <si>
    <t>N. gonorrhoeae, Beta-lactamase Positive</t>
  </si>
  <si>
    <t>A measurement of the beta-lactamase positive strain of Neisseria gonorrhoeae in a biological specimen.</t>
  </si>
  <si>
    <t>Neisseria gonorrhoeae, Beta-lactamase Positive Measurement</t>
  </si>
  <si>
    <t>NGODNA</t>
  </si>
  <si>
    <t>Neisseria gonorrhoeae DNA</t>
  </si>
  <si>
    <t>A measurement of the Neisseria gonorrhoeae DNA in a biological specimen.</t>
  </si>
  <si>
    <t>Neisseria gonorrhoeae DNA Measurement</t>
  </si>
  <si>
    <t>NGORNA</t>
  </si>
  <si>
    <t>Neisseria gonorrhoeae RNA</t>
  </si>
  <si>
    <t>A measurement of the Neisseria gonorrhoeae RNA in a biological specimen.</t>
  </si>
  <si>
    <t>Neisseria gonorrhoeae RNA Measurement</t>
  </si>
  <si>
    <t>NHDLLDL</t>
  </si>
  <si>
    <t>Non-HDL Cholesterol/LDL Cholesterol</t>
  </si>
  <si>
    <t>A relative measurement (ratio or percentage) of the non-HDL cholesterol to LDL cholesterol in a biological specimen.</t>
  </si>
  <si>
    <t>Non-HDL Cholesterol to LDL Cholesterol Ratio Measurement</t>
  </si>
  <si>
    <t>NHMCE</t>
  </si>
  <si>
    <t>Nonhematic Cells</t>
  </si>
  <si>
    <t>A measurement of the cells of nonhematopoietic origin in a biological specimen.</t>
  </si>
  <si>
    <t>Nonhematic Cells Count</t>
  </si>
  <si>
    <t>NHMCELE</t>
  </si>
  <si>
    <t>Nonhematic Cells/Leukocytes</t>
  </si>
  <si>
    <t>A relative measurement (ratio) of the nonhematic cells to total leukocytes in a biological specimen.</t>
  </si>
  <si>
    <t>Nonhematic Cells to Leukocytes Ratio Measurement</t>
  </si>
  <si>
    <t>NHYDCDN</t>
  </si>
  <si>
    <t>Norhydrocodone</t>
  </si>
  <si>
    <t>A measurement of the norhydrocodone in a biological specimen.</t>
  </si>
  <si>
    <t>Norhydrocodone Measurement</t>
  </si>
  <si>
    <t>NICKEL</t>
  </si>
  <si>
    <t>Nickel</t>
  </si>
  <si>
    <t>Ni; Nickel</t>
  </si>
  <si>
    <t>A measurement of the nickel in a specimen.</t>
  </si>
  <si>
    <t>Nickel Measurement</t>
  </si>
  <si>
    <t>NICOTINE</t>
  </si>
  <si>
    <t>Nicotine</t>
  </si>
  <si>
    <t>A measurement of the nicotine in a specimen.</t>
  </si>
  <si>
    <t>Nicotine Measurement</t>
  </si>
  <si>
    <t>NICTDSRT</t>
  </si>
  <si>
    <t>Nicotine Dissolution Rate</t>
  </si>
  <si>
    <t>The rate at which nicotine dissolves in a medium.</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</si>
  <si>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</si>
  <si>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</si>
  <si>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</si>
  <si>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</si>
  <si>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</si>
  <si>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NICTNFR</t>
  </si>
  <si>
    <t>Nicotine, Free</t>
  </si>
  <si>
    <t>Free Nicotine Measurement</t>
  </si>
  <si>
    <t>NINVIMGC</t>
  </si>
  <si>
    <t>Non-Invasive Imaging Change</t>
  </si>
  <si>
    <t>A description of the clinical change to the subject after a non-invasive imaging procedure.</t>
  </si>
  <si>
    <t>Clinical Change by Non-Invasive Imaging Procedure</t>
  </si>
  <si>
    <t>NITRATE</t>
  </si>
  <si>
    <t>Nitrate</t>
  </si>
  <si>
    <t>Nitrate; Nitric Acid</t>
  </si>
  <si>
    <t>A measurement of the nitrate in a biological specimen.</t>
  </si>
  <si>
    <t>Nitrate Measurement</t>
  </si>
  <si>
    <t>NITRICOX</t>
  </si>
  <si>
    <t>Nitric Oxide</t>
  </si>
  <si>
    <t>Nitric Oxide; NO</t>
  </si>
  <si>
    <t>A measurement of the nitric oxide in a biological specimen.</t>
  </si>
  <si>
    <t>Nitric Oxide Measurement</t>
  </si>
  <si>
    <t>NITRITE</t>
  </si>
  <si>
    <t>Nitrite</t>
  </si>
  <si>
    <t>A measurement of the nitrite in a biological specimen.</t>
  </si>
  <si>
    <t>Nitrite Measurement</t>
  </si>
  <si>
    <t>NKCE</t>
  </si>
  <si>
    <t>Natural Killer Cells</t>
  </si>
  <si>
    <t>A measurement of the total natural killer cells in a biological specimen.</t>
  </si>
  <si>
    <t>Natural Killer Cell Count</t>
  </si>
  <si>
    <t>NKCECE</t>
  </si>
  <si>
    <t>Natural Killer Cells/Total Cells</t>
  </si>
  <si>
    <t>A relative measurement (ratio or percentage) of the natural killer cells to total cells in a biological specimen.</t>
  </si>
  <si>
    <t>Natural Killer Cells to Total Cells Ratio Measurement</t>
  </si>
  <si>
    <t>NKCEFUNC</t>
  </si>
  <si>
    <t>Natural Killer Cell Function</t>
  </si>
  <si>
    <t>Natural Killer Cell Activity; Natural Killer Cell Function</t>
  </si>
  <si>
    <t>A measurement of the natural killer cell function in a biological specimen.</t>
  </si>
  <si>
    <t>Natural Killer Cell Activity Measurement</t>
  </si>
  <si>
    <t>NKCMLYS</t>
  </si>
  <si>
    <t>Natural Killer Cell-Mediated Cytolysis</t>
  </si>
  <si>
    <t>Natural Killer Cell-Mediated Cytolysis; NK Cell-Mediated Cytolysis</t>
  </si>
  <si>
    <t>A measurement of the lysis of target cells mediated by natural killer cells in a biological specimen.</t>
  </si>
  <si>
    <t>Natural Killer Cell-Mediated Cytolysis Assessment</t>
  </si>
  <si>
    <t>NKIM</t>
  </si>
  <si>
    <t>NK Cells Immat</t>
  </si>
  <si>
    <t>Natural Killer Cells Immature; NK Cells Immat</t>
  </si>
  <si>
    <t>A measurement of the immature natural killer cells in a biological specimen.</t>
  </si>
  <si>
    <t>Immature Natural Killer Cell Count</t>
  </si>
  <si>
    <t>NKIMI</t>
  </si>
  <si>
    <t>NK Cells Immat Int</t>
  </si>
  <si>
    <t>Natural Killer Cells Immature Intermediate; NK Cells Immat Int</t>
  </si>
  <si>
    <t>A measurement of the immature intermediate natural killer cells in a biological specimen.</t>
  </si>
  <si>
    <t>Immature Intermediate Natural Killer Cell Count</t>
  </si>
  <si>
    <t>NKIMILE</t>
  </si>
  <si>
    <t>NK Cells Immat Int/Leuk</t>
  </si>
  <si>
    <t>Natural Killer Cells Immature Intermediate/Leukocytes; NK Cells Immat Int/Leuk</t>
  </si>
  <si>
    <t>A relative measurement (ratio or percentage) of the immature intermediate natural killer cells to leukocytes in a biological specimen.</t>
  </si>
  <si>
    <t>Immature Intermediate Natural Killer Cell to Leukocyte Ratio Measurement</t>
  </si>
  <si>
    <t>NKIMINK</t>
  </si>
  <si>
    <t>NK Cells Immat Int/NK Cells</t>
  </si>
  <si>
    <t>Natural Killer Cells Immature Intermediate/Natural Killer Cells; NK Cells Immat Int/NK Cells</t>
  </si>
  <si>
    <t>A relative measurement (ratio or percentage) of the immature intermediate natural killer cells to total natural killer cells in a biological specimen.</t>
  </si>
  <si>
    <t>Immature Intermediate Natural Killer Cell to Natural Killer Cell Ratio Measurement</t>
  </si>
  <si>
    <t>NKIMISP</t>
  </si>
  <si>
    <t>NK Cells Immat Int Sub/NK Immat Int</t>
  </si>
  <si>
    <t>Natural Killer Cells Immature Intermediate Sub-Population/Natural Killer Cells Immature Intermediate; NK Cells Immat Int Sub/NK Immat Int</t>
  </si>
  <si>
    <t>A relative measurement (ratio or percentage) of a sub-population of immature intermediate natural killer cells to total immature intermediate natural killer cells in a biological specimen.</t>
  </si>
  <si>
    <t>Immature Intermediate Natural Killer Cell Subpopulation to Immature Intermediate Natural Killer Cell Ratio Measurement</t>
  </si>
  <si>
    <t>NKIMLE</t>
  </si>
  <si>
    <t>NK Cells Immat/Leuk</t>
  </si>
  <si>
    <t>Natural Killer Cells Immature/Leukocytes; NK Cells Immat/Leuk</t>
  </si>
  <si>
    <t>A relative measurement (ratio or percentage) of the immature natural killer cells to total leukocytes in a biological specimen.</t>
  </si>
  <si>
    <t>Immature Natural Killer Cell to Leukocyte Ratio Measurement</t>
  </si>
  <si>
    <t>NKIMLY</t>
  </si>
  <si>
    <t>NK Cells Immat/Lym</t>
  </si>
  <si>
    <t>Natural Killer Cells Immature/Lymphocytes; NK Cells Immat/Lym</t>
  </si>
  <si>
    <t>A relative measurement (ratio or percentage) of the immature natural killer cells to total lymphocytes in a biological specimen.</t>
  </si>
  <si>
    <t>Immature Natural Killer Cell to Lymphocyte Ratio Measurement</t>
  </si>
  <si>
    <t>NKIMLYS</t>
  </si>
  <si>
    <t>NK Cells Immat/Lym Sub</t>
  </si>
  <si>
    <t>Natural Killer Cells Immature/Lymphocytes Sub-Population; NK Cells Immat/Lym Sub</t>
  </si>
  <si>
    <t>A relative measurement (ratio or percentage) of the immature natural killer cells to a sub-population of lymphocytes in a biological specimen.</t>
  </si>
  <si>
    <t>Immature Natural Killer Cell to Lymphocyte Subpopulation Ratio Measurement</t>
  </si>
  <si>
    <t>NKIMNK</t>
  </si>
  <si>
    <t>NK Cells Immat/NK</t>
  </si>
  <si>
    <t>Natural Killer Cells Immature/Natural Killer Cells; NK Cells Immat/NK</t>
  </si>
  <si>
    <t>A relative measurement (ratio or percentage) of the immature natural killer cells to total natural killer cells in a biological specimen.</t>
  </si>
  <si>
    <t>Immature Natural Killer Cell to Natural Killer Cell Ratio Measurement</t>
  </si>
  <si>
    <t>NKIMS</t>
  </si>
  <si>
    <t>NK Cells Immat Sub</t>
  </si>
  <si>
    <t>Immature Natural Killer Cells Sub-Population; Immature NK Sub-Population; Immature NKC Sub-Population; Natural Killer Cells Immature Sub-Population; NK Cells Immat Sub</t>
  </si>
  <si>
    <t>A measurement of a sub-population of immature natural killer cells in a biological specimen.</t>
  </si>
  <si>
    <t>Immature Natural Killer Cell Subpopulation Count</t>
  </si>
  <si>
    <t>NKIMSP</t>
  </si>
  <si>
    <t>NK Cells Immat Sub/NK Immat</t>
  </si>
  <si>
    <t>Natural Killer Cells Immature Sub-Population/Natural Killer Cells Immature; NK Cells Immat Sub/NK Immat</t>
  </si>
  <si>
    <t>A relative measurement (ratio or percentage) of a sub-population of immature natural killer cells to total immature natural killer cells in a biological specimen.</t>
  </si>
  <si>
    <t>Immature Natural Killer Cell Subpopulation to Immature Natural Killer Cell Ratio Measurement</t>
  </si>
  <si>
    <t>NKIN</t>
  </si>
  <si>
    <t>NK Cells Intermed</t>
  </si>
  <si>
    <t>Natural Killer Cells Intermediate; NK Cells Intermed</t>
  </si>
  <si>
    <t>A measurement of the intermediate natural killer cells in a biological specimen.</t>
  </si>
  <si>
    <t>Intermediate Natural Killer Cell Count</t>
  </si>
  <si>
    <t>NKINA</t>
  </si>
  <si>
    <t>Neurokinin A</t>
  </si>
  <si>
    <t>Neurokinin A; NKA; Substance K</t>
  </si>
  <si>
    <t>A measurement of the neurokinin A in a biological specimen.</t>
  </si>
  <si>
    <t>Neurokinin A Measurement</t>
  </si>
  <si>
    <t>NKINLE</t>
  </si>
  <si>
    <t>NK Cells Intermed/Leuk</t>
  </si>
  <si>
    <t>Natural Killer Cells Intermediate/Leukocytes; NK Cells Intermed/Leuk</t>
  </si>
  <si>
    <t>A relative measurement (ratio or percentage) of the intermediate natural killer cells to total leukocytes in a biological specimen.</t>
  </si>
  <si>
    <t>Intermediate Natural Killer Cell to Leukocyte Ratio Measurement</t>
  </si>
  <si>
    <t>NKINLY</t>
  </si>
  <si>
    <t>NK Cells Intermed/Lym</t>
  </si>
  <si>
    <t>Natural Killer Cells Intermediate/Lymphocytes; NK Cells Intermed/Lym</t>
  </si>
  <si>
    <t>A relative measurement (ratio or percentage) of the intermediate natural killer cells to total lymphocytes in a biological specimen.</t>
  </si>
  <si>
    <t>Intermediate Natural Killer Cell to Lymphocyte Ratio Measurement</t>
  </si>
  <si>
    <t>NKINLYS</t>
  </si>
  <si>
    <t>NK Cells Intermed/Lym Sub</t>
  </si>
  <si>
    <t>Natural Killer Cells Intermediate/Lymphocytes Sub-Population; NK Cells Intermed/Lym Sub</t>
  </si>
  <si>
    <t>A relative measurement (ratio or percentage) of the intermediate natural killer cells to a sub-population of lymphocytes in a biological specimen.</t>
  </si>
  <si>
    <t>Intermediate Natural Killer Cell to Lymphocyte Subpopulation Ratio Measurement</t>
  </si>
  <si>
    <t>NKINNK</t>
  </si>
  <si>
    <t>NK Cells Intermed/NK</t>
  </si>
  <si>
    <t>Natural Killer Cells Intermediate/Natural Killer Cells; NK Cells Intermed/NK</t>
  </si>
  <si>
    <t>A relative measurement (ratio or percentage) of the intermediate natural killer cells to total natural killer cells in a biological specimen.</t>
  </si>
  <si>
    <t>Intermediate Natural Killer Cell to Natural Killer Cell Ratio Measurement</t>
  </si>
  <si>
    <t>NKINS</t>
  </si>
  <si>
    <t>NK Cells Intermed Sub</t>
  </si>
  <si>
    <t>Intermediate Natural Killer Cells Sub-Population; Intermediate NK Sub-Population; Intermediate NKC Sub-Population; Natural Killer Cells Intermediate Sub-Population; NK Cells Intermed Sub</t>
  </si>
  <si>
    <t>A measurement of a sub-population of intermediate natural killer cells in a biological specimen.</t>
  </si>
  <si>
    <t>Intermediate Natural Killer Cell Subpopulation Count</t>
  </si>
  <si>
    <t>NKINSLE</t>
  </si>
  <si>
    <t>NK Cells Intermed Sub/Leuk</t>
  </si>
  <si>
    <t>Natural Killer Cells Intermediate Sub-Population/Leukocytes; NK Cells Intermed Sub/Leuk</t>
  </si>
  <si>
    <t>A relative measurement (ratio or percentage) of a sub-population of intermediate natural killer cells to total leukocytes in a biological specimen.</t>
  </si>
  <si>
    <t>Intermediate Natural Killer Cell Subpopulation to Leukocyte Ratio Measurement</t>
  </si>
  <si>
    <t>NKINSLY</t>
  </si>
  <si>
    <t>NK Cells Intermed Sub/Lym</t>
  </si>
  <si>
    <t>Natural Killer Cells Intermediate Sub-Population/Lymphocytes; NK Cells Intermed Sub/Lym</t>
  </si>
  <si>
    <t>A relative measurement (ratio or percentage) of a sub-population of intermediate natural killer cells to total lymphocytes in a biological specimen.</t>
  </si>
  <si>
    <t>Intermediate Natural Killer Cell Subpopulation to Lymphocyte Ratio Measurement</t>
  </si>
  <si>
    <t>NKINSP</t>
  </si>
  <si>
    <t>NK Cells Intermed Sub/NK Intermed</t>
  </si>
  <si>
    <t>Natural Killer Cells Intermediate Sub-Population/Natural Killer Cells Intermediate; NK Cells Intermed Sub/NK Intermed</t>
  </si>
  <si>
    <t>A relative measurement (ratio or percentage) of a sub-population of intermediate natural killer cells to total intermediate natural killer cells in a biological specimen.</t>
  </si>
  <si>
    <t>Intermediate Natural Killer Cell Subpopulation to Intermediate Natural Killer Cell Ratio Measurement</t>
  </si>
  <si>
    <t>NKLE</t>
  </si>
  <si>
    <t>NK Cells/Leuk</t>
  </si>
  <si>
    <t>Natural Killer Cells/Leukocytes; NK Cells/Leuk</t>
  </si>
  <si>
    <t>A relative measurement (ratio or percentage) of the natural killer cells to leukocytes in a biological specimen.</t>
  </si>
  <si>
    <t>Natural Killer Cells to Leukocytes Ratio Measurement</t>
  </si>
  <si>
    <t>NKLY</t>
  </si>
  <si>
    <t>NK Cells/Lym</t>
  </si>
  <si>
    <t>Natural Killer Cells/Lymphocytes; NK Cells/Lym</t>
  </si>
  <si>
    <t>A relative measurement (ratio or percentage) of the natural killer cells to lymphocytes in a biological specimen.</t>
  </si>
  <si>
    <t>Natural Killer Cells to Lymphocytes Ratio Measurement</t>
  </si>
  <si>
    <t>NKLYS</t>
  </si>
  <si>
    <t>NK Cells/Lym Sub</t>
  </si>
  <si>
    <t>Natural Killer Cells/Lymphocytes Sub-Population; NK Cells/Lym Sub</t>
  </si>
  <si>
    <t>A relative measurement (ratio or percentage) of natural killer cells to a sub-population of lymphocytes in a biological specimen.</t>
  </si>
  <si>
    <t>Natural Killer Cell to Lymphocyte Subpopulation Ratio Measurement</t>
  </si>
  <si>
    <t>NKMA</t>
  </si>
  <si>
    <t>NK Cells Mat</t>
  </si>
  <si>
    <t>Natural Killer Cells Mature; NK Cells Mat</t>
  </si>
  <si>
    <t>A measurement of the mature natural killer cells in a biological specimen.</t>
  </si>
  <si>
    <t>Mature Natural Killer Cell Count</t>
  </si>
  <si>
    <t>NKMALE</t>
  </si>
  <si>
    <t>NK Cells Mat/Leuk</t>
  </si>
  <si>
    <t>Natural Killer Cells Mature/Leukocytes; NK Cells Mat/Leuk</t>
  </si>
  <si>
    <t>A relative measurement (ratio or percentage) of the mature natural killer cells to total leukocytes in a biological specimen.</t>
  </si>
  <si>
    <t>Mature Natural Killer Cell to Leukocyte Ratio Measurement</t>
  </si>
  <si>
    <t>NKMALY</t>
  </si>
  <si>
    <t>NK Cells Mat/Lym</t>
  </si>
  <si>
    <t>Natural Killer Cells Mature/Lymphocytes; NK Cells Mat/Lym</t>
  </si>
  <si>
    <t>A relative measurement (ratio or percentage) of the mature natural killer cells to total lymphocytes in a biological specimen.</t>
  </si>
  <si>
    <t>Mature Natural Killer Cell to Lymphocyte Ratio Measurement</t>
  </si>
  <si>
    <t>NKMALYS</t>
  </si>
  <si>
    <t>NK Cells Mat/Lym Sub</t>
  </si>
  <si>
    <t>Natural Killer Cells Mature/Lymphocytes Sub-Population; NK Cells Mat/Lym Sub</t>
  </si>
  <si>
    <t>A relative measurement (ratio or percentage) of the mature natural killer cells to a sub-population of lymphocytes in a biological specimen.</t>
  </si>
  <si>
    <t>Mature Natural Killer Cell to Lymphocyte Subpopulation Ratio Measurement</t>
  </si>
  <si>
    <t>NKMANK</t>
  </si>
  <si>
    <t>NK Cells Mat/NK</t>
  </si>
  <si>
    <t>Natural Killer Cells Mature/Natural Killer Cells; NK Cells Mat/NK</t>
  </si>
  <si>
    <t>A relative measurement (ratio or percentage) of the mature natural killer cells to total natural killer cells in a biological specimen.</t>
  </si>
  <si>
    <t>Mature Natural Killer Cell to Natural Killer Cell Ratio Measurement</t>
  </si>
  <si>
    <t>NKMAS</t>
  </si>
  <si>
    <t>NK Cells Mat Sub</t>
  </si>
  <si>
    <t>Mature Natural Killer Cells Sub-Population; Mature NK Sub-Population; Mature NKC Sub-Population; Natural Killer Cells Mature Sub-Population; NK Cells Mat Sub</t>
  </si>
  <si>
    <t>A measurement of a sub-population of mature natural killer cells in a biological specimen.</t>
  </si>
  <si>
    <t>Mature Natural Killer Cell Subpopulation Count</t>
  </si>
  <si>
    <t>NKMASLE</t>
  </si>
  <si>
    <t>NK Cells Mat Sub/Leuk</t>
  </si>
  <si>
    <t>Natural Killer Cells Mature Sub-Population/Leukocytes; NK Cells Mat Sub/Leuk</t>
  </si>
  <si>
    <t>A relative measurement (ratio or percentage) of a sub-population of mature natural killer cells to total leukocytes in a biological specimen.</t>
  </si>
  <si>
    <t>Mature Natural Killer Cell Subpopulation to Leukocyte Ratio Measurement</t>
  </si>
  <si>
    <t>NKMASLY</t>
  </si>
  <si>
    <t>NK Cells Mat Sub/Lym</t>
  </si>
  <si>
    <t>Natural Killer Cells Mature Sub-Population/Lymphocytes; NK Cells Mat Sub/Lym</t>
  </si>
  <si>
    <t>A relative measurement (ratio or percentage) of a sub-population of mature natural killer cells to total lymphocytes in a biological specimen.</t>
  </si>
  <si>
    <t>Mature Natural Killer Cell Subpopulation to Lymphocyte Ratio Measurement</t>
  </si>
  <si>
    <t>NKMASNK</t>
  </si>
  <si>
    <t>NK Cells Mat Sub/NK</t>
  </si>
  <si>
    <t>Natural Killer Cells Mature Sub-Population/Natural Killer Cells; NK Cells Mat Sub/NK</t>
  </si>
  <si>
    <t>A relative measurement (ratio or percentage) of a sub-population of mature natural killer cells to total natural killer cells in a biological specimen.</t>
  </si>
  <si>
    <t>Mature Natural Killer Cell Subpopulation to Natural Killer Cell Ratio Measurement</t>
  </si>
  <si>
    <t>NKMASP</t>
  </si>
  <si>
    <t>NK Cells Mat Sub/NK Mat</t>
  </si>
  <si>
    <t>Natural Killer Cells Mature Sub-Population/Natural Killer Cells Mature; NK Cells Mat Sub/NK Mat</t>
  </si>
  <si>
    <t>A relative measurement (ratio or percentage) of a sub-population of mature natural killer cells to total mature natural killer cells in a biological specimen.</t>
  </si>
  <si>
    <t>Mature Natural Killer Cell Subpopulation to Mature Natural Killer Cell Ratio Measurement</t>
  </si>
  <si>
    <t>NKS</t>
  </si>
  <si>
    <t>NK Cells Sub</t>
  </si>
  <si>
    <t>Natural Killer Cells Sub-Population; NK Cells Sub; NK Cells Sub-Population</t>
  </si>
  <si>
    <t>A measurement of a subpopulation of natural killer cells in a biological specimen.</t>
  </si>
  <si>
    <t>Natural Killer Cells Subpopulation Count</t>
  </si>
  <si>
    <t>NKSLE</t>
  </si>
  <si>
    <t>NK Cells Sub/Leuk</t>
  </si>
  <si>
    <t>Natural Killer Cells Sub-Population/Leukocytes; NK Cells Sub/Leuk</t>
  </si>
  <si>
    <t>A relative measurement (ratio or percentage) of a sub-population of natural killer cells to total leukocytes in a biological specimen.</t>
  </si>
  <si>
    <t>Natural Killer Cell Subpopulation to Leukocyte Ratio Measurement</t>
  </si>
  <si>
    <t>NKSLYS</t>
  </si>
  <si>
    <t>NK Cells Sub/Lym Sub</t>
  </si>
  <si>
    <t>Natural Killer Cells Sub-Population/Lymphocytes Sub-Population; NK Cells Sub/Lym Sub</t>
  </si>
  <si>
    <t>A relative measurement (ratio or percentage) of a sub-population of natural killer cells to a sub-population of lymphocytes in a biological specimen.</t>
  </si>
  <si>
    <t>Natural Killer Cell Subpopulation to Lymphocyte Subpopulation Ratio Measurement</t>
  </si>
  <si>
    <t>NKSNK</t>
  </si>
  <si>
    <t>NK Cells Sub/NK Cells</t>
  </si>
  <si>
    <t>Natural Killer Cells Sub-Population/Natural Killer Cells; NK Cells Sub/NK Cells</t>
  </si>
  <si>
    <t>A relative measurement (ratio or percentage) of a sub population of natural killer cells to total natural killer cells in a biological specimen.</t>
  </si>
  <si>
    <t>Natural Killer Cells Subpopulation to Total Natural Killer Cells Ratio Measurement</t>
  </si>
  <si>
    <t>NKSNKS</t>
  </si>
  <si>
    <t>NK Cells Sub/NK Cells Sub</t>
  </si>
  <si>
    <t>Natural Killer Cells Sub-Population/Natural Killer Cells Sub-Population; NK Cells Sub/NK Cells Sub</t>
  </si>
  <si>
    <t>A relative measurement (ratio or percentage) of a sub-population of natural killer cells to a sub-population of natural killer cells in a biological specimen.</t>
  </si>
  <si>
    <t>Natural Killer Cell Subpopulation to Natural Killer Cell Subpopulation Ratio Measurement</t>
  </si>
  <si>
    <t>NKT</t>
  </si>
  <si>
    <t>NK TLym</t>
  </si>
  <si>
    <t>Natural Killer T-Cells; Natural Killer T-Lymphocytes; NK TLym; NKT</t>
  </si>
  <si>
    <t>A measurement of the natural killer T-lymphocytes in a biological specimen.</t>
  </si>
  <si>
    <t>Natural Killer T-Lymphocyte Count</t>
  </si>
  <si>
    <t>NKTIV</t>
  </si>
  <si>
    <t>NK TLym Invar</t>
  </si>
  <si>
    <t>iNKT; Natural Killer T-Lymphocytes Invariant; NK TLym Invar</t>
  </si>
  <si>
    <t>A measurement of the invariant natural killer T-lymphocytes in a biological specimen.</t>
  </si>
  <si>
    <t>Invariant Natural Killer T-Lymphocyte Count</t>
  </si>
  <si>
    <t>NKTIVNKT</t>
  </si>
  <si>
    <t>NK TLym Invar/NKT</t>
  </si>
  <si>
    <t>Natural Killer T-Lymphocytes Invariant/Natural Killer T-Lymphocytes; NK TLym Invar/NKT</t>
  </si>
  <si>
    <t>A relative measurement (ratio or percentage) of the invariant natural killer T-lymphocytes to total natural killer T-lymphocytes in a biological specimen.</t>
  </si>
  <si>
    <t>Invariant Natural Killer T-Lymphocyte to Natural Killer T-Lymphocyte Ratio Measurement</t>
  </si>
  <si>
    <t>NKTIVS</t>
  </si>
  <si>
    <t>NK TLym Invar Sub</t>
  </si>
  <si>
    <t>iNKT Sub-population; Natural Killer T-Lymphocytes Invariant Sub-Population; NK TLym Invar Sub</t>
  </si>
  <si>
    <t>A measurement of a sub-population of invariant natural killer T-lymphocytes in a biological specimen.</t>
  </si>
  <si>
    <t>Invariant Natural Killer T-Lymphocyte Subpopulation Count</t>
  </si>
  <si>
    <t>NKTIVSP</t>
  </si>
  <si>
    <t>NK TLym Invar Sub/NKT Invar</t>
  </si>
  <si>
    <t>iNKT Sub-Population/iNKT; Natural Killer T-Lymphocytes Invariant Sub-Population/Natural Killer T-Lymphocytes Invariant; NK TLym Invar Sub/NK TLym Invar; NK TLym Invar Sub/NKT Invar</t>
  </si>
  <si>
    <t>A relative measurement (ratio or percentage) of a sub-population of invariant natural killer T-lymphocytes to total invariant natural killer T-lymphocytes in a biological specimen.</t>
  </si>
  <si>
    <t>Invariant Natural Killer T-Lymphocyte Subpopulation to Invariant Natural Killer T-Lymphocyte Ratio Measurement</t>
  </si>
  <si>
    <t>NKTLE</t>
  </si>
  <si>
    <t>NK TLym/Leuk</t>
  </si>
  <si>
    <t>Natural Killer T-Lymphocytes/Leukocytes; NK TLym/Leuk; NK TLym/Leukocytes; NKT/Leuk</t>
  </si>
  <si>
    <t>A relative measurement (ratio or percentage) of natural killer T-lymphocytes to leukocytes in a biological specimen.</t>
  </si>
  <si>
    <t>Natural Killer T-Lymphocyte to Leukocyte Ratio Measurement</t>
  </si>
  <si>
    <t>NKTLY</t>
  </si>
  <si>
    <t>NK TLym/Lym</t>
  </si>
  <si>
    <t>Natural Killer T-Lymphocytes/Lymphocytes; NK TLym/Lym; NKT/Lym</t>
  </si>
  <si>
    <t>A relative measurement (ratio or percentage) of the natural killer T-lymphocytes to total lymphocytes in a biological specimen.</t>
  </si>
  <si>
    <t>Natural Killer T-Lymphocytes to Lymphocytes Ratio Measurement</t>
  </si>
  <si>
    <t>NKTS</t>
  </si>
  <si>
    <t>NK TLym Sub</t>
  </si>
  <si>
    <t>Natural Killer T-Cells Sub-Population; Natural Killer T-Lymphocytes Sub-Population; NK TLym Sub; NKT Sub</t>
  </si>
  <si>
    <t>A measurement of a sub-population of natural killer T-lymphocytes in a biological specimen.</t>
  </si>
  <si>
    <t>Natural Killer T-Lymphocyte Subpopulation Count</t>
  </si>
  <si>
    <t>NKTSNKTS</t>
  </si>
  <si>
    <t>NK TLym Sub/NK TLym Sub</t>
  </si>
  <si>
    <t>Natural Killer T-Lymphocytes Sub-Population/Natural Killer T-Lymphocytes Sub-Population; NK TLym Sub/NK TLym Sub; NKT Sub/NKT Sub</t>
  </si>
  <si>
    <t>A relative measurement (ratio or percentage) of a sub-population of natural killer T-lymphocytes to a sub-population of natural killer T-lymphocytes in a biological specimen.</t>
  </si>
  <si>
    <t>Natural Killer T-Lymphocyte Subpopulation to Natural Killer T-Lymphocyte Subpopulation Ratio Measurement</t>
  </si>
  <si>
    <t>NKTSP</t>
  </si>
  <si>
    <t>NK TLym Sub/NKT</t>
  </si>
  <si>
    <t>Natural Killer T-Lymphocytes Sub-Population/Natural Killer T-Lymphocytes; NK TLym Sub/NKT; NKT Sub/NKT</t>
  </si>
  <si>
    <t>A relative measurement (ratio or percentage) of a sub-population of natural killer T-lymphocytes to total natural killer T-lymphocytes in a biological specimen.</t>
  </si>
  <si>
    <t>Natural Killer T-Lymphocyte Subpopulation to Natural Killer T-Lymphocyte Ratio Measurement</t>
  </si>
  <si>
    <t>NKTSTLY</t>
  </si>
  <si>
    <t>NK TLym Sub/TLym</t>
  </si>
  <si>
    <t>Natural Killer T-Lymphocytes Sub-Population/T-Lymphocytes; NK TLym Sub/TLym; NKT Sub/TLym</t>
  </si>
  <si>
    <t>A relative measurement (ratio or percentage) of a sub-population of natural killer T-lymphocytes to total T-lymphocytes in a biological specimen.</t>
  </si>
  <si>
    <t>Natural Killer T-Lymphocyte Subpopulation to T-Lymphocyte Ratio Measurement</t>
  </si>
  <si>
    <t>NKTTLY</t>
  </si>
  <si>
    <t>NK TLym/TLym</t>
  </si>
  <si>
    <t>Natural Killer T-Lymphocytes/T-Lymphocytes; NK TLym/TLym; NKT/TLym</t>
  </si>
  <si>
    <t>A relative measurement (ratio or percentage) of the natural killer T-lymphocytes to total T-lymphocytes in a biological specimen.</t>
  </si>
  <si>
    <t>Natural Killer T-Lymphocyte to T-Lymphocyte Ratio Measurement</t>
  </si>
  <si>
    <t>NL63NC</t>
  </si>
  <si>
    <t>HCoV-NL63 Nucleic Acid</t>
  </si>
  <si>
    <t>HCoV-NL63 Nucleic Acid; Human Coronavirus NL63 Nucleic Acid</t>
  </si>
  <si>
    <t>A measurement of the Human coronavirus NL63 nucleic acid in a biological specimen.</t>
  </si>
  <si>
    <t>Human Coronavirus NL63 Nucleic Acid Measurement</t>
  </si>
  <si>
    <t>NL63RNA</t>
  </si>
  <si>
    <t>HCoV-NL63 RNA</t>
  </si>
  <si>
    <t>HCoV-NL63 RNA; Human Coronavirus NL63 RNA</t>
  </si>
  <si>
    <t>A measurement of the Human coronavirus NL63 RNA in a biological specimen.</t>
  </si>
  <si>
    <t>HCoV-NL63 RNA Measurement</t>
  </si>
  <si>
    <t>NMEA</t>
  </si>
  <si>
    <t>N-Nitrosomethylethylamine</t>
  </si>
  <si>
    <t>N-Nitrosomethylethylamine; NEMA; NMEA</t>
  </si>
  <si>
    <t>A measurement of the N-nitrosomethylethylamine in a specimen.</t>
  </si>
  <si>
    <t>N-Nitrosomethylethylamine Measurement</t>
  </si>
  <si>
    <t>NMEAAG</t>
  </si>
  <si>
    <t>Neisseria meningitidis A Antigen</t>
  </si>
  <si>
    <t>A measurement of Neisseria meningitidis A antigen in a biological specimen.</t>
  </si>
  <si>
    <t>Neisseria meningitidis A Antigen Measurement</t>
  </si>
  <si>
    <t>NMECAG</t>
  </si>
  <si>
    <t>Neisseria meningitidis C Antigen</t>
  </si>
  <si>
    <t>A measurement of Neisseria meningitidis C antigen in a biological specimen.</t>
  </si>
  <si>
    <t>Neisseria meningitidis C Antigen Measurement</t>
  </si>
  <si>
    <t>NMEDNA</t>
  </si>
  <si>
    <t>Neisseria meningitidis DNA</t>
  </si>
  <si>
    <t>A measurement of Neisseria meningitidis DNA in a biological specimen.</t>
  </si>
  <si>
    <t>Neisseria meningitidis DNA Measurement</t>
  </si>
  <si>
    <t>NMETHANE</t>
  </si>
  <si>
    <t>Nitromethane</t>
  </si>
  <si>
    <t>A measurement of the nitromethane in a specimen.</t>
  </si>
  <si>
    <t>Nitromethane Measurement</t>
  </si>
  <si>
    <t>NMH</t>
  </si>
  <si>
    <t>N-methylhistamine</t>
  </si>
  <si>
    <t>A measurement of the N-methylhistamine in a biological specimen.</t>
  </si>
  <si>
    <t>N-Methylhistamine Measurement</t>
  </si>
  <si>
    <t>NMOR</t>
  </si>
  <si>
    <t>N-Nitrosomorpholine</t>
  </si>
  <si>
    <t>N-Nitrosomorpholine; NMOR</t>
  </si>
  <si>
    <t>A measurement of the N-nitrosomorpholine in a specimen.</t>
  </si>
  <si>
    <t>N-Nitrosomorpholine Measurement</t>
  </si>
  <si>
    <t>NMP22</t>
  </si>
  <si>
    <t>Nuclear Matrix Protein 22</t>
  </si>
  <si>
    <t>Nuclear Matrix Protein 22; Nuclear Mitotic Apparatus Protein 1; NUMA1</t>
  </si>
  <si>
    <t>A measurement of the nuclear matrix protein 22 in a biological specimen.</t>
  </si>
  <si>
    <t>Nuclear Matrix Protein 22 Measurement</t>
  </si>
  <si>
    <t>NNAL</t>
  </si>
  <si>
    <t>4-(Methylnitrosamino)-4-(3-pyridyl)-1-butanol; NNAL</t>
  </si>
  <si>
    <t>A measurement of the total 4-(methylnitrosamino)-4-(3-pyridyl)-1-butanol (NNAL) in a specimen.</t>
  </si>
  <si>
    <t>4-(Methylnitrosamino)-4-(3-pyridyl)-1-Butanol Measurement</t>
  </si>
  <si>
    <t>NNAL Measurement</t>
  </si>
  <si>
    <t>NNALFR</t>
  </si>
  <si>
    <t>NNAL, Free</t>
  </si>
  <si>
    <t>4-(Methylnitrosamino)-4-(3-pyridyl)-1-butanol, Free; NNAL, Free</t>
  </si>
  <si>
    <t>A measurement of the free 4-(methylnitrosamino)-4-(3-pyridyl)-1-butanol (NNAL, Free) in a specimen.</t>
  </si>
  <si>
    <t>Free NNAL Measurement</t>
  </si>
  <si>
    <t>NNALNGLC</t>
  </si>
  <si>
    <t>NNAL-N-Gluc</t>
  </si>
  <si>
    <t>NNAL-N-Gluc; NNAL-N-Glucuronide</t>
  </si>
  <si>
    <t>A measurement of the NNAL-N-gluc in a specimen.</t>
  </si>
  <si>
    <t>NNAL-N-Gluc Measurement</t>
  </si>
  <si>
    <t>NNALOGLC</t>
  </si>
  <si>
    <t>NNAL-O-Gluc</t>
  </si>
  <si>
    <t>NNAL-O-Gluc; NNAL-O-Glucuronide</t>
  </si>
  <si>
    <t>A measurement of the NNAL-O-gluc in a specimen.</t>
  </si>
  <si>
    <t>NNAL-O-Gluc Measurement</t>
  </si>
  <si>
    <t>NNANABSN</t>
  </si>
  <si>
    <t>N-Nitrosoanabasine</t>
  </si>
  <si>
    <t>N'-Nitrosoanabasine; N-Nitrosoanabasine</t>
  </si>
  <si>
    <t>A measurement of the N-nitrosoanabasine in a specimen.</t>
  </si>
  <si>
    <t>N-Nitrosoanabasine Measurement</t>
  </si>
  <si>
    <t>NNANATBN</t>
  </si>
  <si>
    <t>N-Nitrosoanatabine</t>
  </si>
  <si>
    <t>N'-Nitrosoanatabine; N-Nitrosoanatabine</t>
  </si>
  <si>
    <t>A measurement of the N-nitrosoanatabine in a specimen.</t>
  </si>
  <si>
    <t>N-Nitrosoanatabine Measurement</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</si>
  <si>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</si>
  <si>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</si>
  <si>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</si>
  <si>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</si>
  <si>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</si>
  <si>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NNN</t>
  </si>
  <si>
    <t>N-Nitrosonornicotine</t>
  </si>
  <si>
    <t>N-Nitrosonornicotine; NNN</t>
  </si>
  <si>
    <t>A measurement of the N-nitrosonornicotine in a specimen.</t>
  </si>
  <si>
    <t>N-Nitrosonornicotine Measurement</t>
  </si>
  <si>
    <t>NNNGLC</t>
  </si>
  <si>
    <t>NNN-Glucuronide</t>
  </si>
  <si>
    <t>NNN-Glucuronide; NNN-N-Glucuronide</t>
  </si>
  <si>
    <t>A measurement of the NNN-glucuronide in a specimen.</t>
  </si>
  <si>
    <t>NNN-Glucuronide Measurement</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</si>
  <si>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</si>
  <si>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</si>
  <si>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</si>
  <si>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</si>
  <si>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NONHDL</t>
  </si>
  <si>
    <t>Non-HDL Cholesterol</t>
  </si>
  <si>
    <t>Non-HDL Cholesterol; Non-High Density Lipoprotein</t>
  </si>
  <si>
    <t>A measurement of the non-high density lipoprotein cholesterol in a biological specimen.</t>
  </si>
  <si>
    <t>Non-High Density Lipoprotein Cholesterol Measurement</t>
  </si>
  <si>
    <t>NORDOXPN</t>
  </si>
  <si>
    <t>Nordoxepin</t>
  </si>
  <si>
    <t>A measurement of the nordoxepin present in a biological specimen.</t>
  </si>
  <si>
    <t>Nordoxepin Measurement</t>
  </si>
  <si>
    <t>NOREPEXR</t>
  </si>
  <si>
    <t>Norepinephrine Excretion Rate</t>
  </si>
  <si>
    <t>A measurement of the amount of norepinephrine being excreted in a biological specimen over a defined amount of time (e.g. one hour).</t>
  </si>
  <si>
    <t>NOREPIN</t>
  </si>
  <si>
    <t>Norepinephrine</t>
  </si>
  <si>
    <t>Noradrenaline; Norepinephrine</t>
  </si>
  <si>
    <t>A measurement of the norepinephrine hormone in a biological specimen.</t>
  </si>
  <si>
    <t>Noradrenaline Measurement</t>
  </si>
  <si>
    <t>NORMBASO</t>
  </si>
  <si>
    <t>Basophilic Normoblast</t>
  </si>
  <si>
    <t>A measurement of the basophilic normoblasts in a biological specimen taken from a non-human organism.</t>
  </si>
  <si>
    <t>Basophilic Normoblast Count</t>
  </si>
  <si>
    <t>NORMEEXR</t>
  </si>
  <si>
    <t>Normetanephrine Excretion Rate</t>
  </si>
  <si>
    <t>A measurement of the amount of normetanephrine being excreted in a biological specimen over a defined amount of time (e.g. one hour).</t>
  </si>
  <si>
    <t>NORMETA</t>
  </si>
  <si>
    <t>Normetanephrine</t>
  </si>
  <si>
    <t>A measurement of the normetanephrine in a biological specimen.</t>
  </si>
  <si>
    <t>Normetanephrine Measurement</t>
  </si>
  <si>
    <t>NORMETFR</t>
  </si>
  <si>
    <t>Normetanephrine, Free</t>
  </si>
  <si>
    <t>A measurement of the free normetanephrine in a biological specimen.</t>
  </si>
  <si>
    <t>Free Normetanephrine Measurement</t>
  </si>
  <si>
    <t>NORNCTN</t>
  </si>
  <si>
    <t>Nornicotine</t>
  </si>
  <si>
    <t>A measurement of the nornicotine in a biological specimen.</t>
  </si>
  <si>
    <t>Nornicotine Measurement</t>
  </si>
  <si>
    <t>NOROVIRU</t>
  </si>
  <si>
    <t>Norovirus</t>
  </si>
  <si>
    <t>A measurement of the organisms that are not assigned to the species level but are assigned to the Norovirus genus level in a biological specimen.</t>
  </si>
  <si>
    <t>Norovirus Measurement</t>
  </si>
  <si>
    <t>NORTRPTL</t>
  </si>
  <si>
    <t>Nortriptyline</t>
  </si>
  <si>
    <t>A measurement of the nortriptyline in a biological specimen.</t>
  </si>
  <si>
    <t>Nortriptyline Measurement</t>
  </si>
  <si>
    <t>NOVRNA</t>
  </si>
  <si>
    <t>Norwalk virus RNA</t>
  </si>
  <si>
    <t>Norwalk calicivirus RNA; Norwalk virus RNA</t>
  </si>
  <si>
    <t>A measurement of the Norwalk virus RNA in a biological specimen.</t>
  </si>
  <si>
    <t>Norwalk virus RNA Measurement</t>
  </si>
  <si>
    <t>NOXYCDN</t>
  </si>
  <si>
    <t>Noroxycodone</t>
  </si>
  <si>
    <t>A measurement of the noroxycodone in a biological specimen.</t>
  </si>
  <si>
    <t>Noroxycodone Measurement</t>
  </si>
  <si>
    <t>NPAP</t>
  </si>
  <si>
    <t>Non-Prostatic Acid Phosphatase</t>
  </si>
  <si>
    <t>A measurement of the non-prostatic acid phosphatase in a biological specimen.</t>
  </si>
  <si>
    <t>Non-Prostatic Acid Phosphatase Measurement</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</si>
  <si>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</si>
  <si>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</si>
  <si>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</si>
  <si>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</si>
  <si>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NPHTH</t>
  </si>
  <si>
    <t>Naphthalene</t>
  </si>
  <si>
    <t>A measurement of the naphthalene in a specimen.</t>
  </si>
  <si>
    <t>Naphthalene Measurement</t>
  </si>
  <si>
    <t>NPIP</t>
  </si>
  <si>
    <t>N-Nitrosopiperidine</t>
  </si>
  <si>
    <t>N-Nitrosopiperidine; NPIP</t>
  </si>
  <si>
    <t>A measurement of the N-nitrosopiperidine in a specimen.</t>
  </si>
  <si>
    <t>N-Nitrosopiperidine Measurement</t>
  </si>
  <si>
    <t>NPRPN2</t>
  </si>
  <si>
    <t>2-Nitropropane</t>
  </si>
  <si>
    <t>2-Nitropropane; 2-NP</t>
  </si>
  <si>
    <t>A measurement of the 2-nitropropane in a specimen.</t>
  </si>
  <si>
    <t>2-Nitropropane Measurement</t>
  </si>
  <si>
    <t>NPY</t>
  </si>
  <si>
    <t>Neuropeptide Y</t>
  </si>
  <si>
    <t>A measurement of the neuropeptide Y in a biological specimen.</t>
  </si>
  <si>
    <t>Neuropeptide Y Measurement</t>
  </si>
  <si>
    <t>NPYR</t>
  </si>
  <si>
    <t>N-Nitrosopyrrolidine</t>
  </si>
  <si>
    <t>N-Nitrosopyrrolidine; NPYR</t>
  </si>
  <si>
    <t>A measurement of the N-nitrosopyrrolidine in a specimen.</t>
  </si>
  <si>
    <t>N-Nitrosopyrrolidine Measurement</t>
  </si>
  <si>
    <t>NRDZPM</t>
  </si>
  <si>
    <t>Nordazepam</t>
  </si>
  <si>
    <t>Desmethyldiazepam; N-Desmethyldiazepam; Nordazepam; Nordiazepam</t>
  </si>
  <si>
    <t>A measurement of the nordazepam present in a biological specimen.</t>
  </si>
  <si>
    <t>Nordazepam Measurement</t>
  </si>
  <si>
    <t>NRENDRLN</t>
  </si>
  <si>
    <t>Norethandrolone</t>
  </si>
  <si>
    <t>A measurement of the norethandrolone in a biological specimen.</t>
  </si>
  <si>
    <t>Norethandrolone Measurement</t>
  </si>
  <si>
    <t>NRP1</t>
  </si>
  <si>
    <t>Neuropilin-1</t>
  </si>
  <si>
    <t>BDCA4; Neuropilin-1; NP1; NRP; Soluble CD304; VEGF165R</t>
  </si>
  <si>
    <t>A measurement of the neuropilin-1 in a biological specimen.</t>
  </si>
  <si>
    <t>Neuropilin-1 Measurement</t>
  </si>
  <si>
    <t>NRPNTACC</t>
  </si>
  <si>
    <t>Near-Point Accommodation</t>
  </si>
  <si>
    <t>The minimum distance from the retina that an object remains in clear focus.</t>
  </si>
  <si>
    <t>NRPROPOX</t>
  </si>
  <si>
    <t>Norpropoxyphene</t>
  </si>
  <si>
    <t>A measurement of the norpropoxyphene in a biological specimen.</t>
  </si>
  <si>
    <t>Norpropoxyphene Measurement</t>
  </si>
  <si>
    <t>NSAR</t>
  </si>
  <si>
    <t>N-Nitrososarcosine</t>
  </si>
  <si>
    <t>N-Nitrososarcosine; NSAR</t>
  </si>
  <si>
    <t>A measurement of the N-nitrososarcosine in a specimen.</t>
  </si>
  <si>
    <t>N-Nitrososarcosine Measurement</t>
  </si>
  <si>
    <t>NSE</t>
  </si>
  <si>
    <t>Neuron Specific Enolase</t>
  </si>
  <si>
    <t>Enolase 2; Gamma-enolase; Neuron Specific Enolase</t>
  </si>
  <si>
    <t>A measurement of the neuron specific enolase in a biological specimen.</t>
  </si>
  <si>
    <t>Neuron Specific Enolase Measurement</t>
  </si>
  <si>
    <t>NSPMTSPM</t>
  </si>
  <si>
    <t>Normal Sperm/Total Sperm</t>
  </si>
  <si>
    <t>Normal Sperm/Total Sperm; Sperm Morphology</t>
  </si>
  <si>
    <t>A measurement (ratio or percentage) of the normal spermatozoa to total spermatozoa in a biological specimen.</t>
  </si>
  <si>
    <t>Normal Sperm to Total Sperm Ratio Measurement</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</si>
  <si>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</si>
  <si>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</si>
  <si>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</si>
  <si>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</si>
  <si>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</si>
  <si>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NTBNKL</t>
  </si>
  <si>
    <t>Non-TBNK Leuk</t>
  </si>
  <si>
    <t>Non-TBNK Leuk; Non-TBNK Leukocytes</t>
  </si>
  <si>
    <t>A measurement of the leukocytes that are not T-cells, B-cells, or natural killer cells in a biological specimen.</t>
  </si>
  <si>
    <t>Non-TBNK Leukocyte Count</t>
  </si>
  <si>
    <t>NTBNKLLE</t>
  </si>
  <si>
    <t>Non-TBNK Leuk/Leuk</t>
  </si>
  <si>
    <t>Non-TBNK Leuk/Leuk; Non-TBNK Leukocytes/Leukocytes</t>
  </si>
  <si>
    <t>A relative measurement (ratio or percentage) of the leukocytes that are not T-cells, B-cells, or natural killer cells to total leukocytes in a biological specimen.</t>
  </si>
  <si>
    <t>Non-TBNK Leukocyte to Leukocyte Ratio Measurement</t>
  </si>
  <si>
    <t>NTELOCRT</t>
  </si>
  <si>
    <t>N-telopeptide/Creatinine</t>
  </si>
  <si>
    <t>A relative measurement (ratio or percentage) of the N-telopeptide to creatinine in a biological specimen.</t>
  </si>
  <si>
    <t>N-telopeptide to Creatinine Ratio Measurement</t>
  </si>
  <si>
    <t>NTELOP</t>
  </si>
  <si>
    <t>N-telopeptide</t>
  </si>
  <si>
    <t>A measurement of the N-telopeptide in a biological specimen.</t>
  </si>
  <si>
    <t>N-Telopeptide Measurement</t>
  </si>
  <si>
    <t>NTENS</t>
  </si>
  <si>
    <t>Neurotensin</t>
  </si>
  <si>
    <t>Neurotensin; NTS</t>
  </si>
  <si>
    <t>A measurement of the neurotensin in a biological specimen.</t>
  </si>
  <si>
    <t>Neurotensin Measurement</t>
  </si>
  <si>
    <t>NTIND</t>
  </si>
  <si>
    <t>Non-Target Indicator</t>
  </si>
  <si>
    <t>An indication as to whether a non-target tumor, lesion, or site of disease is present.</t>
  </si>
  <si>
    <t>NTMNUAC</t>
  </si>
  <si>
    <t>Nontuberculous Mycobacteria Nucleic Acid</t>
  </si>
  <si>
    <t>A measurement of the nucleic acid from any nontuberculous member of the Mycobacterium genus in a biological specimen.</t>
  </si>
  <si>
    <t>Nontuberculous Mycobacteria Nucleic Acid Measurement</t>
  </si>
  <si>
    <t>NTRLFAT</t>
  </si>
  <si>
    <t>Neutral Fats</t>
  </si>
  <si>
    <t>A measurement of the total neutral fats in a biological specimen.</t>
  </si>
  <si>
    <t>Neutral Fats Measurement</t>
  </si>
  <si>
    <t>NTRZPM</t>
  </si>
  <si>
    <t>Nitrazepam</t>
  </si>
  <si>
    <t>A measurement of the nitrazepam in a biological specimen.</t>
  </si>
  <si>
    <t>Nitrazepam Measurement</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</si>
  <si>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</si>
  <si>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</si>
  <si>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</si>
  <si>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</si>
  <si>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</si>
  <si>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</si>
  <si>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</si>
  <si>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</si>
  <si>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</si>
  <si>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</si>
  <si>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</si>
  <si>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</si>
  <si>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</si>
  <si>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</si>
  <si>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</si>
  <si>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NTYR3</t>
  </si>
  <si>
    <t>3-Nitrotyrosine</t>
  </si>
  <si>
    <t>A measurement of the total 3-nitrotyrosine in a biological specimen.</t>
  </si>
  <si>
    <t>3-Nitrotyrosine Measurement</t>
  </si>
  <si>
    <t>NTZPMAOM</t>
  </si>
  <si>
    <t>Nitrazepam and/or Metabolites</t>
  </si>
  <si>
    <t>A measurement of the nitrazepam and/or its metabolite(s) present in a biological specimen, for an assay that can measure both nitrazepam and its metabolites.</t>
  </si>
  <si>
    <t>Nitrazepam and/or Metabolites Measurement</t>
  </si>
  <si>
    <t>NUCCE</t>
  </si>
  <si>
    <t>Total Nucleated Cells</t>
  </si>
  <si>
    <t>Nucleated Cells</t>
  </si>
  <si>
    <t>A measurement of the nucleated cells in a biological specimen.</t>
  </si>
  <si>
    <t>Nucleated Cell Count</t>
  </si>
  <si>
    <t>NUCSWELL</t>
  </si>
  <si>
    <t>Nuclear Swelling</t>
  </si>
  <si>
    <t>A measurement of the expansion of the nucleus of the cells in a biological specimen.</t>
  </si>
  <si>
    <t>Nuclear Swelling Measurement</t>
  </si>
  <si>
    <t>NUMCHRRD</t>
  </si>
  <si>
    <t>Number of Characters Read</t>
  </si>
  <si>
    <t>The integer that describes the number of characters read by the subject during an eye chart assessment.</t>
  </si>
  <si>
    <t>NUMCHRUR</t>
  </si>
  <si>
    <t>Number of Characters Unread</t>
  </si>
  <si>
    <t>The integer that describes the number of characters not able to be read by the subject during an eye chart assessment.</t>
  </si>
  <si>
    <t>NUMCUSPS</t>
  </si>
  <si>
    <t>Number of Cusps</t>
  </si>
  <si>
    <t>A quantitative determination of the number of cusps composing a given cardiac valve.</t>
  </si>
  <si>
    <t>Number of Cardiac Valve Cusps</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</si>
  <si>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</si>
  <si>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</si>
  <si>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</si>
  <si>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</si>
  <si>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NUMLCOR</t>
  </si>
  <si>
    <t>Number of Letters Correct</t>
  </si>
  <si>
    <t>The integer that describes the number of letters correctly identified by the subject during an eye chart assessment.</t>
  </si>
  <si>
    <t>Number of Correct Eye Chart Letters</t>
  </si>
  <si>
    <t>NUMLINRD</t>
  </si>
  <si>
    <t>Number of Lines Read</t>
  </si>
  <si>
    <t>The integer that describes the number of lines read by the subject during an eye chart assessment.</t>
  </si>
  <si>
    <t>Number of Eye Chart Lines Read</t>
  </si>
  <si>
    <t>NUMLINUR</t>
  </si>
  <si>
    <t>Number of Lines Unread</t>
  </si>
  <si>
    <t>The integer that describes the number of lines not able to be read by the subject during an eye chart assessment.</t>
  </si>
  <si>
    <t>NUMSLICE</t>
  </si>
  <si>
    <t>Number of Slices</t>
  </si>
  <si>
    <t>The number of planar cross-sections in an imaging sequence; each slice corresponds to a single image.</t>
  </si>
  <si>
    <t>NVEXAM</t>
  </si>
  <si>
    <t>Nervous System Examination</t>
  </si>
  <si>
    <t>An observation, assessment or examination of the nervous system.</t>
  </si>
  <si>
    <t>Neurologic Examination</t>
  </si>
  <si>
    <t>NVGIIRNA</t>
  </si>
  <si>
    <t>Norovirus Genogroup II RNA</t>
  </si>
  <si>
    <t>Human Calicivirus Genogroup 2 RNA; Norovirus Genogroup II RNA; Norovirus GII RNA</t>
  </si>
  <si>
    <t>A measurement of Norovirus genogroup II RNA in a biological specimen.</t>
  </si>
  <si>
    <t>Norovirus Genogroup II RNA Measurement</t>
  </si>
  <si>
    <t>NVGIRNA</t>
  </si>
  <si>
    <t>Norovirus Genogroup I RNA</t>
  </si>
  <si>
    <t>Human Calicivirus Genogroup 1 RNA; Norovirus Genogroup 1 RNA; Norovirus GI RNA</t>
  </si>
  <si>
    <t>A measurement of Norovirus genogroup I RNA in a biological specimen.</t>
  </si>
  <si>
    <t>Norovirus Genogroup I RNA Measurement</t>
  </si>
  <si>
    <t>NVRNA</t>
  </si>
  <si>
    <t>Norovirus RNA</t>
  </si>
  <si>
    <t>A measurement of the RNA from any member of the genus Norovirus in a biological specimen.</t>
  </si>
  <si>
    <t>Norovirus RNA Measurement</t>
  </si>
  <si>
    <t>NWSYMP</t>
  </si>
  <si>
    <t>New or Worsening Symptoms</t>
  </si>
  <si>
    <t>A description of the new or worsening symptoms related to a clinical event.</t>
  </si>
  <si>
    <t>New or Worsening Symptom</t>
  </si>
  <si>
    <t>O2CT</t>
  </si>
  <si>
    <t>Oxygen Content</t>
  </si>
  <si>
    <t>A measurement of the amount of oxygen content in a biological specimen.</t>
  </si>
  <si>
    <t>Oxygen Measurement</t>
  </si>
  <si>
    <t>OAE</t>
  </si>
  <si>
    <t>Otoacoustic Emission</t>
  </si>
  <si>
    <t>An assessment of the otoacoustic sound emissions from the cochlea when stimulated by soft clicking sounds introduced into the ear canal.</t>
  </si>
  <si>
    <t>OANISDN</t>
  </si>
  <si>
    <t>o-Anisidine</t>
  </si>
  <si>
    <t>2-Anisidine; 2-Methoxyaniline; o-Anisidine; Ortho-Anisidine</t>
  </si>
  <si>
    <t>A measurement of the o-anisidine in a specimen.</t>
  </si>
  <si>
    <t>o-Anisidine Measurement</t>
  </si>
  <si>
    <t>OAS1</t>
  </si>
  <si>
    <t>2-5-Oligoadenylate Synthase 1</t>
  </si>
  <si>
    <t>A measurement of the 2-5-oligoadenylate synthase 1 in a biological specimen.</t>
  </si>
  <si>
    <t>2-5-Oligoadenylate Synthase 1 Measurement</t>
  </si>
  <si>
    <t>OAS2</t>
  </si>
  <si>
    <t>2-5-Oligoadenylate Synthase 2</t>
  </si>
  <si>
    <t>A measurement of the 2-5-oligoadenylate synthase 2 in a biological specimen.</t>
  </si>
  <si>
    <t>2-5-Oligoadenylate Synthase 2 Measurement</t>
  </si>
  <si>
    <t>OAS3</t>
  </si>
  <si>
    <t>2-5-Oligoadenylate Synthase 3</t>
  </si>
  <si>
    <t>A measurement of the 2-5-oligoadenylate synthase 3 in a biological specimen.</t>
  </si>
  <si>
    <t>2-5-Oligoadenylate Synthase 3 Measurement</t>
  </si>
  <si>
    <t>OBJNUM</t>
  </si>
  <si>
    <t>Number of Objects</t>
  </si>
  <si>
    <t>The number of objects observed.</t>
  </si>
  <si>
    <t>OBJTYPE</t>
  </si>
  <si>
    <t>Type of Object</t>
  </si>
  <si>
    <t>The type of object observed.</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</si>
  <si>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</si>
  <si>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</si>
  <si>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</si>
  <si>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</si>
  <si>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</si>
  <si>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OBMDNLOC</t>
  </si>
  <si>
    <t>Obs Med Device Type Not In Intended Loc</t>
  </si>
  <si>
    <t>A description of the type of medical device that is found in a subject but is not in its intended location.</t>
  </si>
  <si>
    <t>Observed Medical Device Type Not Present In Intended Location Type</t>
  </si>
  <si>
    <t>OBNMFBT</t>
  </si>
  <si>
    <t>Observed Non-Medical Foreign Body Type</t>
  </si>
  <si>
    <t>A description of the type of non-medical foreign body that is found in a subject.</t>
  </si>
  <si>
    <t>OC43NC</t>
  </si>
  <si>
    <t>HCoV-OC43 Nucleic Acid</t>
  </si>
  <si>
    <t>HCoV-OC43 Nucleic Acid; Human Coronavirus OC43 Nucleic Acid</t>
  </si>
  <si>
    <t>A measurement of the Human coronavirus OC43 nucleic acid in a biological specimen.</t>
  </si>
  <si>
    <t>Human Coronavirus OC43 Nucleic Acid Measurement</t>
  </si>
  <si>
    <t>OC43RNA</t>
  </si>
  <si>
    <t>HCoV-OC43 RNA</t>
  </si>
  <si>
    <t>HCoV-OC43 RNA; Human Coronavirus OC43 RNA</t>
  </si>
  <si>
    <t>A measurement of the Human coronavirus OC43 RNA in a biological specimen.</t>
  </si>
  <si>
    <t>HCoV-OC43 RNA Measurement</t>
  </si>
  <si>
    <t>OCCBLD</t>
  </si>
  <si>
    <t>Occult Blood</t>
  </si>
  <si>
    <t>A measurement of the blood in body products such as a urine or stool sample, not detectable on gross examination.</t>
  </si>
  <si>
    <t>Occult Blood Measurement</t>
  </si>
  <si>
    <t>OCCUR</t>
  </si>
  <si>
    <t>Occurrence Indicator</t>
  </si>
  <si>
    <t>An indication as to whether something has happened, such as an event or incident.</t>
  </si>
  <si>
    <t>OCUPINDS</t>
  </si>
  <si>
    <t>Occupational Industry</t>
  </si>
  <si>
    <t>Business Type; Occupation Type; Occupational Industry; Work Industry</t>
  </si>
  <si>
    <t>Type of business that compensates for work or assigns work to an unpaid worker or volunteer. (USCDI)</t>
  </si>
  <si>
    <t>ODMTASE</t>
  </si>
  <si>
    <t>O-Demethylase</t>
  </si>
  <si>
    <t>A measurement of the O-Demethylase in a biological specimen.</t>
  </si>
  <si>
    <t>O-Demethylase Measurement</t>
  </si>
  <si>
    <t>ODSMT</t>
  </si>
  <si>
    <t>O-Desmethyltramadol</t>
  </si>
  <si>
    <t>Desmetramadol; O-Desmethyltramadol; O-DSMT</t>
  </si>
  <si>
    <t>A measurement of the O-desmethyltramadol in a biological specimen.</t>
  </si>
  <si>
    <t>O-Desmethyltramadol Measurement</t>
  </si>
  <si>
    <t>OEEXAM</t>
  </si>
  <si>
    <t>Ophthalmic Examination</t>
  </si>
  <si>
    <t>An observation, assessment or examination of the eye.</t>
  </si>
  <si>
    <t>Eye Examination</t>
  </si>
  <si>
    <t>OH8DXG2</t>
  </si>
  <si>
    <t>8-Hydroxy-2'-Deoxyguanosine</t>
  </si>
  <si>
    <t>8-Hydroxy-2'-Deoxyguanosine; 8-oxo-dG</t>
  </si>
  <si>
    <t>A measurement of the 8-hydroxy-2'-deoxyguanosine in a biological specimen.</t>
  </si>
  <si>
    <t>8-Hydroxy-2'-Deoxyguanosine Measurement</t>
  </si>
  <si>
    <t>OH9RS</t>
  </si>
  <si>
    <t>9-Hydroxyrisperidone</t>
  </si>
  <si>
    <t>9-Hydroxyrisperidone; Paliperidone</t>
  </si>
  <si>
    <t>A measurement of the 9-hydroxyrisperidone in a biological specimen.</t>
  </si>
  <si>
    <t>9-Hydroxyrisperidone Measurement</t>
  </si>
  <si>
    <t>OHBZAPY3</t>
  </si>
  <si>
    <t>3-Hydroxybenzo[a]pyrene</t>
  </si>
  <si>
    <t>3-Hydroxybenz(a)pyrene; 3-Hydroxybenz[a]pyrene; 3-Hydroxybenzo(a)pyrene; 3-Hydroxybenzo[a]pyrene</t>
  </si>
  <si>
    <t>A measurement of the 3-hydroxybenzo[a]pyrene in a specimen.</t>
  </si>
  <si>
    <t>3-Hydroxybenzo[a]pyrene Measurement</t>
  </si>
  <si>
    <t>OHDG8</t>
  </si>
  <si>
    <t>8-Hydroxydeoxyguanosine</t>
  </si>
  <si>
    <t>8-Hydroxydeoxyguanosine; 8-OHdG</t>
  </si>
  <si>
    <t>A measurement of the 8-hydroxydeoxyguanosine in a biological specimen.</t>
  </si>
  <si>
    <t>8-Hydroxydeoxyguanosine Measurement</t>
  </si>
  <si>
    <t>OHEARAS</t>
  </si>
  <si>
    <t>Overall Hearing Assessment</t>
  </si>
  <si>
    <t>An assessment to evaluate the overall hearing of an individual.</t>
  </si>
  <si>
    <t>OHF6B</t>
  </si>
  <si>
    <t>6 Beta-Hydroxycortisol</t>
  </si>
  <si>
    <t>6 Beta-Hydrocortisol; 6 Beta-Hydroxycortisol; 6 beta-OHF</t>
  </si>
  <si>
    <t>A measurement of 6 beta-hydroxycortisol in a biological specimen.</t>
  </si>
  <si>
    <t>6 Beta-Hydroxycortisol Measurement</t>
  </si>
  <si>
    <t>OHFLRN2</t>
  </si>
  <si>
    <t>2-Hydroxyfluorene</t>
  </si>
  <si>
    <t>A measurement of the 2-hydroxyfluorene in a specimen.</t>
  </si>
  <si>
    <t>2-Hydroxyfluorene Measurement</t>
  </si>
  <si>
    <t>OHFLRN3</t>
  </si>
  <si>
    <t>3-Hydroxyfluorene</t>
  </si>
  <si>
    <t>A measurement of the 3-hydroxyfluorene in a specimen.</t>
  </si>
  <si>
    <t>3-Hydroxyfluorene Measurement</t>
  </si>
  <si>
    <t>OHNPHTH1</t>
  </si>
  <si>
    <t>1-Hydroxynaphthalene</t>
  </si>
  <si>
    <t>1-Hydroxynaphthalene; 1-Naphthol</t>
  </si>
  <si>
    <t>A measurement of the 1-hydroxynaphthalene in a specimen.</t>
  </si>
  <si>
    <t>1-Hydroxynaphthalene Measurement</t>
  </si>
  <si>
    <t>OHNPHTH2</t>
  </si>
  <si>
    <t>2-Hydroxynaphthalene</t>
  </si>
  <si>
    <t>2-Hydroxynaphthalene; 2-NAP; 2-Naphthol</t>
  </si>
  <si>
    <t>A measurement of the 2-hydroxynaphthalene in a specimen.</t>
  </si>
  <si>
    <t>2-Hydroxynaphthalene Measurement</t>
  </si>
  <si>
    <t>OHPHNTR1</t>
  </si>
  <si>
    <t>1-Hydroxyphenanthrene</t>
  </si>
  <si>
    <t>A measurement of the 1-hydroxyphenanthrene in a specimen.</t>
  </si>
  <si>
    <t>1-Hydroxyphenanthrene Measurement</t>
  </si>
  <si>
    <t>OHPHNTR2</t>
  </si>
  <si>
    <t>2-Hydroxyphenanthrene</t>
  </si>
  <si>
    <t>2-3PHE; 2-Hydroxyphenanthrene</t>
  </si>
  <si>
    <t>A measurement of the 2-hydroxyphenanthrene in a specimen.</t>
  </si>
  <si>
    <t>2-Hydroxyphenanthrene Measurement</t>
  </si>
  <si>
    <t>OHPHNTR3</t>
  </si>
  <si>
    <t>3-Hydroxyphenanthrene</t>
  </si>
  <si>
    <t>A measurement of the 3-hydroxyphenanthrene in a specimen.</t>
  </si>
  <si>
    <t>3-Hydroxyphenanthrene Measurement</t>
  </si>
  <si>
    <t>OHPYR1</t>
  </si>
  <si>
    <t>1-Hydroxypyrene</t>
  </si>
  <si>
    <t>A measurement of the 1-hydroxypyrene in a specimen.</t>
  </si>
  <si>
    <t>1-Hydroxypyrene   Measurement</t>
  </si>
  <si>
    <t>OI</t>
  </si>
  <si>
    <t>Oxygenation Index</t>
  </si>
  <si>
    <t>A measurement of the efficiency of oxygen exchange by the lungs, which is calculated by multiplying the fraction of inspired oxygen (FiO2) (in %) to mean airway pressure (Mpaw), and dividing by pressure of arterial oxygen (PaO2).</t>
  </si>
  <si>
    <t>OLANZAPN</t>
  </si>
  <si>
    <t>Olanzapine</t>
  </si>
  <si>
    <t>A measurement of the olanzapine in a biological specimen.</t>
  </si>
  <si>
    <t>Olanzapine Measurement</t>
  </si>
  <si>
    <t>OLIGBAND</t>
  </si>
  <si>
    <t>Oligoclonal Bands</t>
  </si>
  <si>
    <t>A measurement of the oligoclonal bands in a biological specimen.</t>
  </si>
  <si>
    <t>Oligoclonal Bands Measurement</t>
  </si>
  <si>
    <t>OPACITY</t>
  </si>
  <si>
    <t>Opacity</t>
  </si>
  <si>
    <t>An assessment of the degree of opaqueness or the lack of transparency.</t>
  </si>
  <si>
    <t>Opacity Measurement</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</si>
  <si>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</si>
  <si>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</si>
  <si>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</si>
  <si>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</si>
  <si>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</si>
  <si>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OPIATE</t>
  </si>
  <si>
    <t>Opiate</t>
  </si>
  <si>
    <t>A measurement of any opiate class drug present in a biological specimen.</t>
  </si>
  <si>
    <t>Opiate Measurement</t>
  </si>
  <si>
    <t>OPN</t>
  </si>
  <si>
    <t>Osteopontin</t>
  </si>
  <si>
    <t>A measurement of the osteopontin in a biological specimen.</t>
  </si>
  <si>
    <t>Osteopontin Measurement</t>
  </si>
  <si>
    <t>OPNCRT</t>
  </si>
  <si>
    <t>Osteopontin/Creatinine</t>
  </si>
  <si>
    <t>A relative measurement (ratio or percentage) of the osteopontin to creatinine in a biological specimen.</t>
  </si>
  <si>
    <t>Osteopontin to Creatinine Ratio Measurement</t>
  </si>
  <si>
    <t>ORCANIND</t>
  </si>
  <si>
    <t>Origin of Cancer Known Ind</t>
  </si>
  <si>
    <t>Origin of Cancer Known Ind; Origin of Cancer Known Indicator</t>
  </si>
  <si>
    <t>An indication as to whether the primary site of cancer is known.</t>
  </si>
  <si>
    <t>Cancer Primary Site Known Indicator</t>
  </si>
  <si>
    <t>ORENLQN</t>
  </si>
  <si>
    <t>Organ Enlargement, Quantitative</t>
  </si>
  <si>
    <t>A quantitative measurement of the increase in organ size or dimension, relative to a defined value.</t>
  </si>
  <si>
    <t>Quantitative Organ Enlargement Assessment</t>
  </si>
  <si>
    <t>ORNITHIN</t>
  </si>
  <si>
    <t>Ornithine</t>
  </si>
  <si>
    <t>A measurement of the ornithine in a biological specimen.</t>
  </si>
  <si>
    <t>Ornithine Measurement</t>
  </si>
  <si>
    <t>ORSTATE</t>
  </si>
  <si>
    <t>Organ State</t>
  </si>
  <si>
    <t>A condition or state of an organ at a particular time.</t>
  </si>
  <si>
    <t>ORVERLN</t>
  </si>
  <si>
    <t>Organ Vertical Length</t>
  </si>
  <si>
    <t>The linear extent along the craniocaudal axis from one end of an organ to the other end. (NCI)</t>
  </si>
  <si>
    <t>Organ Craniocaudal Length Measurement</t>
  </si>
  <si>
    <t>OSM</t>
  </si>
  <si>
    <t>Oncostatin M</t>
  </si>
  <si>
    <t>A measurement of the oncostatin M in a biological specimen.</t>
  </si>
  <si>
    <t>Oncostatin M Measurement</t>
  </si>
  <si>
    <t>OSMLTY</t>
  </si>
  <si>
    <t>Osmolality</t>
  </si>
  <si>
    <t>A measurement of the osmoles of solute per unit of biological specimen.</t>
  </si>
  <si>
    <t>Osmolality Measurement</t>
  </si>
  <si>
    <t>OSMRTY</t>
  </si>
  <si>
    <t>Osmolarity</t>
  </si>
  <si>
    <t>A measurement of the osmoles of solute per liter of solution.</t>
  </si>
  <si>
    <t>Osmolarity Measurement</t>
  </si>
  <si>
    <t>OSTEOC</t>
  </si>
  <si>
    <t>Osteocalcin</t>
  </si>
  <si>
    <t>A measurement of the osteocalcin in a biological specimen.</t>
  </si>
  <si>
    <t>Osteocalcin Measurement</t>
  </si>
  <si>
    <t>OTOLUDN</t>
  </si>
  <si>
    <t>o-Toluidine</t>
  </si>
  <si>
    <t>2-Methylaniline; 2-Toluidine; o-Toluidine; Ortho-Toluidine</t>
  </si>
  <si>
    <t>A measurement of the o-toluidine in a specimen.</t>
  </si>
  <si>
    <t>o-Toluidine Measurement</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</si>
  <si>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</si>
  <si>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</si>
  <si>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</si>
  <si>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</si>
  <si>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</si>
  <si>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OTRCUPCN</t>
  </si>
  <si>
    <t>Overall Tracer Uptake Compared to Nadir</t>
  </si>
  <si>
    <t>A visually assessed combination of extent and intensity of tracer uptake, as compared to nadir.</t>
  </si>
  <si>
    <t>OUNIMULT</t>
  </si>
  <si>
    <t>Onset Unifocal or Multifocal</t>
  </si>
  <si>
    <t>A categorization of the number of lesions present in the Central Nervous System at the time of diagnosis of a specific disease.</t>
  </si>
  <si>
    <t>Focality of Disease Onset</t>
  </si>
  <si>
    <t>OVALCY</t>
  </si>
  <si>
    <t>Ovalocytes</t>
  </si>
  <si>
    <t>A measurement of the ovalocytes (oval shaped cell with rounded ends and a long axis less than twice its short axis) in a biological specimen.</t>
  </si>
  <si>
    <t>Ovalocyte Count</t>
  </si>
  <si>
    <t>OVAPARS</t>
  </si>
  <si>
    <t>Ova and Parasite</t>
  </si>
  <si>
    <t>A measurement of the parasites and ova in a biological specimen.</t>
  </si>
  <si>
    <t>Ova and Parasite Measurement</t>
  </si>
  <si>
    <t>OXACREAT</t>
  </si>
  <si>
    <t>Oxalate/Creatinine</t>
  </si>
  <si>
    <t>A relative measurement (ratio or percentage) of the oxalate to creatinine in a biological specimen.</t>
  </si>
  <si>
    <t>Oxalate to Creatinine Ratio Measurement</t>
  </si>
  <si>
    <t>OXAEXR</t>
  </si>
  <si>
    <t>Oxalate Excretion Rate</t>
  </si>
  <si>
    <t>A measurement of the amount of oxalate being excreted in a biological specimen over a defined amount of time (e.g. one hour).</t>
  </si>
  <si>
    <t>OXALATE</t>
  </si>
  <si>
    <t>Oxalate</t>
  </si>
  <si>
    <t>Ethanedioate; Oxalate</t>
  </si>
  <si>
    <t>A measurement of the oxalate in a biological specimen.</t>
  </si>
  <si>
    <t>Oxalate Measurement</t>
  </si>
  <si>
    <t>OXANDRLN</t>
  </si>
  <si>
    <t>Oxandrolone</t>
  </si>
  <si>
    <t>Ossandrolone; Oxandrolone</t>
  </si>
  <si>
    <t>A measurement of the oxandrolone in a biological specimen.</t>
  </si>
  <si>
    <t>Oxandrolone Measurement</t>
  </si>
  <si>
    <t>OXMORPHN</t>
  </si>
  <si>
    <t>Oxymorphone</t>
  </si>
  <si>
    <t>A measurement of the Oxymorphone in a biological specimen.</t>
  </si>
  <si>
    <t>Oxymorphone Measurement</t>
  </si>
  <si>
    <t>OXMSTRN</t>
  </si>
  <si>
    <t>Oxymesterone</t>
  </si>
  <si>
    <t>A measurement of the oxymesterone in a biological specimen.</t>
  </si>
  <si>
    <t>Oxymesterone Measurement</t>
  </si>
  <si>
    <t>OXMTHLN</t>
  </si>
  <si>
    <t>Oxymetholone</t>
  </si>
  <si>
    <t>Oxymethalone; Oxymethenolone; Oxymetholone</t>
  </si>
  <si>
    <t>A measurement of the oxymetholone in a biological specimen.</t>
  </si>
  <si>
    <t>Oxymetholone Measurement</t>
  </si>
  <si>
    <t>OXYCAP</t>
  </si>
  <si>
    <t>Oxygen Capacity</t>
  </si>
  <si>
    <t>A measurement of the maximum amount of oxygen that can be combined chemically with hemoglobin in a volume of blood.</t>
  </si>
  <si>
    <t>Oxygen Capacity Measurement</t>
  </si>
  <si>
    <t>OXYCDN</t>
  </si>
  <si>
    <t>Oxycodone</t>
  </si>
  <si>
    <t>Oxycodone; Oxycontin</t>
  </si>
  <si>
    <t>A measurement of the oxycodone present in a biological specimen.</t>
  </si>
  <si>
    <t>Oxycodone Measurement</t>
  </si>
  <si>
    <t>OXYPULSE</t>
  </si>
  <si>
    <t>Oxygen Pulse</t>
  </si>
  <si>
    <t>The volume of oxygen per heartbeat consumed by the body while at rest.</t>
  </si>
  <si>
    <t>OXYSAT</t>
  </si>
  <si>
    <t>Oxygen Saturation</t>
  </si>
  <si>
    <t>A measurement of the oxygen-hemoglobin saturation of a volume of blood.</t>
  </si>
  <si>
    <t>Oxygen Saturation Measurement</t>
  </si>
  <si>
    <t>OXYTOCIN</t>
  </si>
  <si>
    <t>Oxytocin</t>
  </si>
  <si>
    <t>Oxytocin; Oxytoxin</t>
  </si>
  <si>
    <t>A measurement of the oxytocin hormone in a biological specimen.</t>
  </si>
  <si>
    <t>Oxytocin Measurement</t>
  </si>
  <si>
    <t>OXZPM</t>
  </si>
  <si>
    <t>Oxazepam</t>
  </si>
  <si>
    <t>A measurement of the oxazepam present in a biological specimen.</t>
  </si>
  <si>
    <t>Oxazepam Measurement</t>
  </si>
  <si>
    <t>P_AXIS</t>
  </si>
  <si>
    <t>P Wave Axis</t>
  </si>
  <si>
    <t>A numerical representation of the electrocardiographic vector assessed at maximum deviation of the P wave from the isoelectric baseline, usually reported for the frontal plane.</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</si>
  <si>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</si>
  <si>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</si>
  <si>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</si>
  <si>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</si>
  <si>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P100LAT</t>
  </si>
  <si>
    <t>P100 Latency</t>
  </si>
  <si>
    <t>An assessment of the latency of the P100 or P1 wave of the visual evoked potential assessment waveform.</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</si>
  <si>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</si>
  <si>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</si>
  <si>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</si>
  <si>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</si>
  <si>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</si>
  <si>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P3NP</t>
  </si>
  <si>
    <t>Procollagen 3 N-Terminal Propeptide</t>
  </si>
  <si>
    <t>A measurement of the procollagen 3 N-terminal propeptide in a biological specimen.</t>
  </si>
  <si>
    <t>Procollagen 3 N-Terminal Propeptide Measurement</t>
  </si>
  <si>
    <t>P50OXYGN</t>
  </si>
  <si>
    <t>P50 Oxygen</t>
  </si>
  <si>
    <t>A measurement of the partial pressure of oxygen when hemoglobin is half saturated in a biological specimen.</t>
  </si>
  <si>
    <t>P50 Oxygen Measurement</t>
  </si>
  <si>
    <t>PA2APC</t>
  </si>
  <si>
    <t>Plasmin Alpha-2 Antiplasmin Complex</t>
  </si>
  <si>
    <t>PAP; Plasmin Alpha-2 Antiplasmin Complex</t>
  </si>
  <si>
    <t>A measurement of the plasmin alpha-2 antiplasmin complex in a biological specimen.</t>
  </si>
  <si>
    <t>Plasmin Alpha-2 Antiplasmin Complex Measurement</t>
  </si>
  <si>
    <t>PABA</t>
  </si>
  <si>
    <t>Para-Aminobenzoate</t>
  </si>
  <si>
    <t>Para-Aminobenzoate; Para-Aminobenzoic Acid</t>
  </si>
  <si>
    <t>A measurement of the para-aminobenzoate in a biological specimen.</t>
  </si>
  <si>
    <t>Para-Aminobenzoate Measurement</t>
  </si>
  <si>
    <t>PACEMAKR</t>
  </si>
  <si>
    <t>Pacemaker</t>
  </si>
  <si>
    <t>An electrocardiographic assessment of presence of artificial electronic pacing.</t>
  </si>
  <si>
    <t>Pacemaker ECG Assessment</t>
  </si>
  <si>
    <t>PAE</t>
  </si>
  <si>
    <t>Pseudomonas aeruginosa</t>
  </si>
  <si>
    <t>A measurement of the Pseudomonas aeruginosa in a biological specimen.</t>
  </si>
  <si>
    <t>Pseudomonas aeruginosa Measurement</t>
  </si>
  <si>
    <t>PAEDNA</t>
  </si>
  <si>
    <t>Pseudomonas aeruginosa DNA</t>
  </si>
  <si>
    <t>A measurement of the Pseudomonas aeruginosa DNA in a biological specimen.</t>
  </si>
  <si>
    <t>Pseudomonas aeruginosa DNA Measurement</t>
  </si>
  <si>
    <t>PAERGMUC</t>
  </si>
  <si>
    <t>P. aeruginosa, Mucoid</t>
  </si>
  <si>
    <t>P. aeruginosa, Mucoid; Pseudomonas aeruginosa, Mucoid</t>
  </si>
  <si>
    <t>A measurement of the mucoid strain of Pseudomonas aeruginosa in a biological specimen.</t>
  </si>
  <si>
    <t>Mucoid Pseudomonas aeruginosa Measurement</t>
  </si>
  <si>
    <t>PAERGNMC</t>
  </si>
  <si>
    <t>P. aeruginosa, Non-mucoid</t>
  </si>
  <si>
    <t>P. aeruginosa, Non-Mucoid; Pseudomonas aeruginosa, Non-Mucoid</t>
  </si>
  <si>
    <t>A measurement of the non-mucoid strain of Pseudomonas aeruginosa in a biological specimen.</t>
  </si>
  <si>
    <t>Non-Mucoid Pseudomonas aeruginosa Measurement</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</si>
  <si>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</si>
  <si>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</si>
  <si>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</si>
  <si>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</si>
  <si>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</si>
  <si>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PAF</t>
  </si>
  <si>
    <t>Platelet Activating Factor</t>
  </si>
  <si>
    <t>A measurement of the platelet activating factor in a biological specimen.</t>
  </si>
  <si>
    <t>Platelet Activating Factor Measurement</t>
  </si>
  <si>
    <t>PAGM</t>
  </si>
  <si>
    <t>Plasmodium Antigen, MLTTRG</t>
  </si>
  <si>
    <t>Plasmodium Antigen, MLTTRG; Plasmodium Antigen, Multi-Target</t>
  </si>
  <si>
    <t>A measurement of Plasmodium antigen in a biological specimen. This is a multiple-target test.</t>
  </si>
  <si>
    <t>Plasmodium Antigen Measurement</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</si>
  <si>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</si>
  <si>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</si>
  <si>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</si>
  <si>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</si>
  <si>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</si>
  <si>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</si>
  <si>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</si>
  <si>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</si>
  <si>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</si>
  <si>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</si>
  <si>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</si>
  <si>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</si>
  <si>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</si>
  <si>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</si>
  <si>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</si>
  <si>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PAI1</t>
  </si>
  <si>
    <t>Plasminogen Activator Inhibitor-1</t>
  </si>
  <si>
    <t>A measurement of the plasminogen activator inhibitor-1 in a biological specimen.</t>
  </si>
  <si>
    <t>Plasminogen Activator Inhibitor-1 Measurement</t>
  </si>
  <si>
    <t>PAI1AG</t>
  </si>
  <si>
    <t>Plasminogen Activator Inhibitor-1 AG</t>
  </si>
  <si>
    <t>A measurement of the plasminogen activator inhibitor-1 antigen in a biological specimen.</t>
  </si>
  <si>
    <t>Plasminogen Activator Inhibitor-1 Antigen Measurement</t>
  </si>
  <si>
    <t>PALPSTAT</t>
  </si>
  <si>
    <t>Palpable State</t>
  </si>
  <si>
    <t>A condition or state of the lesion with regards to its palpability status at a particular point in time.</t>
  </si>
  <si>
    <t>PAP</t>
  </si>
  <si>
    <t>Prostatic Acid Phosphatase</t>
  </si>
  <si>
    <t>A measurement of the prostatic acid phosphatase in a biological specimen.</t>
  </si>
  <si>
    <t>Prostatic Acid Phosphatase Measurement</t>
  </si>
  <si>
    <t>PAPPA</t>
  </si>
  <si>
    <t>Pregnancy-Associated Plasma Protein-A</t>
  </si>
  <si>
    <t>A measurement of the pregnancy-associated plasma protein-A in a biological specimen.</t>
  </si>
  <si>
    <t>Pregnancy-Associated Plasma Protein-A Measurement</t>
  </si>
  <si>
    <t>PAPPEN</t>
  </si>
  <si>
    <t>Pappenheimer Bodies</t>
  </si>
  <si>
    <t>A measurement of the cells containing Pappenheimer Bodies (violet or blue staining ferritin granules usually found along the periphery of the red blood cells) in a biological specimen.</t>
  </si>
  <si>
    <t>Pappenheimer Body Count</t>
  </si>
  <si>
    <t>PARALD</t>
  </si>
  <si>
    <t>Paraldehyde</t>
  </si>
  <si>
    <t>A measurement of the paraldehyde in a biological specimen.</t>
  </si>
  <si>
    <t>Paraldehyde Measurement</t>
  </si>
  <si>
    <t>PARECRNA</t>
  </si>
  <si>
    <t>Parechovirus RNA</t>
  </si>
  <si>
    <t>A measurement of the RNA from any member of the genus Parechovirus in a biological specimen.</t>
  </si>
  <si>
    <t>Parechovirus RNA Measurement</t>
  </si>
  <si>
    <t>PARITY</t>
  </si>
  <si>
    <t>Parity</t>
  </si>
  <si>
    <t>The number of pregnancies reaching 20 weeks and 0 days of gestation or beyond, regardless of the number of fetuses or outcomes. (NICHD)</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</si>
  <si>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</si>
  <si>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</si>
  <si>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</si>
  <si>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</si>
  <si>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</si>
  <si>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PAROXET</t>
  </si>
  <si>
    <t>Paroxetine</t>
  </si>
  <si>
    <t>A measurement of the paroxetine present in a biological specimen.</t>
  </si>
  <si>
    <t>Paroxetine Measurement</t>
  </si>
  <si>
    <t>PB</t>
  </si>
  <si>
    <t>Plasmablasts</t>
  </si>
  <si>
    <t>Plasmablast; Precursor Plasma Cells</t>
  </si>
  <si>
    <t>A measurement of the precursor (blast stage) plasma cells (antibody secreting cells derived from B cells via antigen stimulation) in a biological specimen.</t>
  </si>
  <si>
    <t>Precursor Plasma Cell Count</t>
  </si>
  <si>
    <t>PB223C</t>
  </si>
  <si>
    <t>PB-22 3-carboxyindole</t>
  </si>
  <si>
    <t>A measurement of the synthetic cannabinoid metabolite PB-22 3-carboxyindole in a biological specimen.</t>
  </si>
  <si>
    <t>PB-22 3-carboxyindole Measurement</t>
  </si>
  <si>
    <t>PB225F3C</t>
  </si>
  <si>
    <t>5-fluoro PB-22 3-carboxyindole</t>
  </si>
  <si>
    <t>A measurement of the synthetic cannabinoid metabolite 5-fluoro PB-22 3-carboxyindole in a biological specimen.</t>
  </si>
  <si>
    <t>5-fluoro PB-22 3-carboxyindole Measurement</t>
  </si>
  <si>
    <t>PBBLY</t>
  </si>
  <si>
    <t>Plasmablasts/BLym</t>
  </si>
  <si>
    <t>Plasmablasts/B-Lymphocytes; Plasmablasts/BLym; Precursor Plasma Cells/B-Lymphocytes</t>
  </si>
  <si>
    <t>A relative measurement (ratio or percentage) of plasmablasts to B-lymphocytes in a biological specimen.</t>
  </si>
  <si>
    <t>Plasmablasts to Total B-Lymphocytes Ratio Measurement</t>
  </si>
  <si>
    <t>PBFVEL</t>
  </si>
  <si>
    <t>Peak Blood Flow Velocity</t>
  </si>
  <si>
    <t>A measurement of the maximum velocity of blood across an area or tissue.</t>
  </si>
  <si>
    <t>PBG</t>
  </si>
  <si>
    <t>Plasmablasts IgG+</t>
  </si>
  <si>
    <t>A measurement of the IgG+ plasmablasts in a biological specimen.</t>
  </si>
  <si>
    <t>Immunoglobulin G Positive Plasmablast Count</t>
  </si>
  <si>
    <t>Porphobilinogen</t>
  </si>
  <si>
    <t>A measurement of the porphobilinogen in a biological specimen.</t>
  </si>
  <si>
    <t>Porphobilinogen Measurement</t>
  </si>
  <si>
    <t>PBGCREAT</t>
  </si>
  <si>
    <t>Porphobilinogen/Creatinine</t>
  </si>
  <si>
    <t>A relative measurement (ratio or percentage) of the porphobilinogen to creatinine in a biological specimen.</t>
  </si>
  <si>
    <t>Porphobilinogen to Creatinine Ratio Measurement</t>
  </si>
  <si>
    <t>PBGPB</t>
  </si>
  <si>
    <t>Plasmablasts IgG+/PB</t>
  </si>
  <si>
    <t>Plasmablasts IgG+/PB; Plasmablasts IgG+/Plasmablasts</t>
  </si>
  <si>
    <t>A relative measurement (ratio or percentage) of the IgG+ plasmablasts to total plasmablasts in a biological specimen.</t>
  </si>
  <si>
    <t>Immunoglobulin G Positive Plasmablast to Plasmablast Ratio Measurement</t>
  </si>
  <si>
    <t>PBGS</t>
  </si>
  <si>
    <t>Plasmablasts IgG+ Sub</t>
  </si>
  <si>
    <t>Plasmablasts IgG+ Sub; Plasmablasts IgG+ Sub-Population</t>
  </si>
  <si>
    <t>A measurement of a sub-population of IgG+ plasmablasts in a biological specimen.</t>
  </si>
  <si>
    <t>Immunoglobulin G Positive Plasmablast Subpopulation Count</t>
  </si>
  <si>
    <t>PBGSP</t>
  </si>
  <si>
    <t>Plasmablasts IgG+ Sub/PB IgG+</t>
  </si>
  <si>
    <t>Plasmablasts IgG+ Sub-Population/Plasmablasts IgG+; Plasmablasts IgG+ Sub/PB IgG+</t>
  </si>
  <si>
    <t>A relative measurement (ratio or percentage) of a sub-population of IgG+ plasmablasts to total IgG+ plasmablasts in a biological specimen.</t>
  </si>
  <si>
    <t>Immunoglobulin G Positive Plasmablast Subpopulation to Total Immunoglobulin G Positive Plasmablast Ratio Measurement</t>
  </si>
  <si>
    <t>PBI</t>
  </si>
  <si>
    <t>Prevotella bivia</t>
  </si>
  <si>
    <t>A measurement of the Prevotella bivia in a biological specimen.</t>
  </si>
  <si>
    <t>Prevotella bivia Measurement</t>
  </si>
  <si>
    <t>PBM</t>
  </si>
  <si>
    <t>Plasmablasts IgM+</t>
  </si>
  <si>
    <t>A measurement of the IgM+ plasmablasts in a biological specimen.</t>
  </si>
  <si>
    <t>Immunoglobulin M Positive Plasmablast Count</t>
  </si>
  <si>
    <t>PBMPB</t>
  </si>
  <si>
    <t>Plasmablasts IgM+/PB</t>
  </si>
  <si>
    <t>Plasmablasts IgM+/PB; Plasmablasts IgM+/Plasmablasts</t>
  </si>
  <si>
    <t>A relative measurement (ratio or percentage) of the IgM+ plasmablasts to total plasmablasts in a biological specimen.</t>
  </si>
  <si>
    <t>Immunoglobulin M Positive Plasmablast to Plasmablast Ratio Measurement</t>
  </si>
  <si>
    <t>PBMS</t>
  </si>
  <si>
    <t>Plasmablasts IgM+ Sub</t>
  </si>
  <si>
    <t>Plasmablasts IgM+ Sub; Plasmablasts IgM+ Sub-Population</t>
  </si>
  <si>
    <t>A measurement of a sub-population of IgM+ plasmablasts in a biological specimen.</t>
  </si>
  <si>
    <t>Immunoglobulin M Positive Plasmablast Subpopulation Count</t>
  </si>
  <si>
    <t>PBMSP</t>
  </si>
  <si>
    <t>Plasmablasts IgM+ Sub/PB IgM+</t>
  </si>
  <si>
    <t>Plasmablasts IgG+ Sub-Population/Plasmablasts IgG+; Plasmablasts IgM+ Sub/PB IgM+</t>
  </si>
  <si>
    <t>A relative measurement (ratio or percentage) of a sub-population of IgM+ plasmablasts to total IgM+ plasmablasts in a biological specimen.</t>
  </si>
  <si>
    <t>Immunoglobulin M Positive Plasmablast Subpopulation to Total Immunoglobulin M Positive Plasmablast Ratio Measurement</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</si>
  <si>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</si>
  <si>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</si>
  <si>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</si>
  <si>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</si>
  <si>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</si>
  <si>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PBS</t>
  </si>
  <si>
    <t>Plasmablasts Sub</t>
  </si>
  <si>
    <t>Plasmablasts Sub; Plasmablasts Sub-Population; Precursor Plasma Cells Sub-Population</t>
  </si>
  <si>
    <t>A measurement of a sub-population of plasmablasts in a biological specimen.</t>
  </si>
  <si>
    <t>Plasmablast Subpopulation Count</t>
  </si>
  <si>
    <t>PBSBLY</t>
  </si>
  <si>
    <t>Plasmablasts Sub/BLym</t>
  </si>
  <si>
    <t>Plasmablasts Sub-Population/B-Lymphocytes; Plasmablasts Sub/BLym</t>
  </si>
  <si>
    <t>A relative measurement (ratio or percentage) of a sub-population of plasmablasts to B-lymphocytes in a biological specimen.</t>
  </si>
  <si>
    <t>Plasmablast Subpopulation to B-Lymphocyte Ratio Measurement</t>
  </si>
  <si>
    <t>PBSLE</t>
  </si>
  <si>
    <t>Plasmablasts Sub/Leuk</t>
  </si>
  <si>
    <t>Plasmablasts Sub-Population/Leukocytes; Plasmablasts Sub/Leuk</t>
  </si>
  <si>
    <t>A relative measurement (ratio or percentage) of a sub-population of plasmablasts to leukocytes in a biological specimen.</t>
  </si>
  <si>
    <t>Plasmablast Subpopulation to Leukocyte Ratio Measurement</t>
  </si>
  <si>
    <t>PBSP</t>
  </si>
  <si>
    <t>Plasmablasts Sub/PB</t>
  </si>
  <si>
    <t>Plasmablasts Sub-Population/Plasmablasts; Plasmablasts Sub/PB</t>
  </si>
  <si>
    <t>A relative measurement (ratio or percentage) of a sub-population of plasmablasts to total plasmablasts in a biological specimen.</t>
  </si>
  <si>
    <t>Plasmablast Subpopulation to Total Plasmablast Ratio Measurement</t>
  </si>
  <si>
    <t>PC</t>
  </si>
  <si>
    <t>Plasma Cells</t>
  </si>
  <si>
    <t>Total Plasma Cells</t>
  </si>
  <si>
    <t>A measurement of the total plasma cells in a biological specimen.</t>
  </si>
  <si>
    <t>Plasma Cell Count</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</si>
  <si>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</si>
  <si>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</si>
  <si>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</si>
  <si>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</si>
  <si>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</si>
  <si>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PC3MPSAM</t>
  </si>
  <si>
    <t>PCA3 mRNA/PSA mRNA</t>
  </si>
  <si>
    <t>A relative measurement (ratio) of the prostate cancer antigen 3 mRNA to prostate specific antigen mRNA in a biological specimen.</t>
  </si>
  <si>
    <t>PCA3 mRNA to PSA mRNA Ratio Measurement</t>
  </si>
  <si>
    <t>PCA3MRNA</t>
  </si>
  <si>
    <t>Prostate Cancer Antigen 3 mRNA</t>
  </si>
  <si>
    <t>A measurement of the prostate cancer antigen 3 mRNA in a biological specimen.</t>
  </si>
  <si>
    <t>Prostate Cancer Antigen 3 mRNA Measurement</t>
  </si>
  <si>
    <t>PCBABS</t>
  </si>
  <si>
    <t>Plasma Cells/BLym Ab-Secreting</t>
  </si>
  <si>
    <t>PC/BLym AbSc; Plasma Cells/B-Lymphocytes Antibody-Secreting; Plasma Cells/BLym Ab-Secreting</t>
  </si>
  <si>
    <t>A relative measurement (ratio or percentage) of plasma cells to antibody-secreting B-lymphocytes in a biological specimen.</t>
  </si>
  <si>
    <t>Plasma Cell to Antibody-secreting B-Lymphocyte Ratio Measurement</t>
  </si>
  <si>
    <t>PCBLY</t>
  </si>
  <si>
    <t>Plasma Cells/BLym</t>
  </si>
  <si>
    <t>PC/BLym; Plasma Cells/B-Lymphocytes; Plasma Cells/BLym</t>
  </si>
  <si>
    <t>A relative measurement (ratio or percentage) of plasma cells to B-lymphocytes in a biological specimen.</t>
  </si>
  <si>
    <t>Plasma Cell to B-Lymphocyte Ratio Measurement</t>
  </si>
  <si>
    <t>PCBPPD</t>
  </si>
  <si>
    <t>Percent Change Baseline in PPD</t>
  </si>
  <si>
    <t>The (current product of perpendicular diameters minus the baseline product of perpendicular diameters) divided by the baseline product of perpendicular diameters, multiplied by 100.</t>
  </si>
  <si>
    <t>Percent Change From Baseline in Products of Perpendicular Diameter</t>
  </si>
  <si>
    <t>PCBSD</t>
  </si>
  <si>
    <t>Percent Change Baseline in Sum of Diam</t>
  </si>
  <si>
    <t>The (current sum of diameters minus the baseline sum of diameters) divided by the baseline sum of diameters, multiplied by 100.</t>
  </si>
  <si>
    <t>Percent Change From Baseline in Sum of Diameter</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</si>
  <si>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</si>
  <si>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</si>
  <si>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</si>
  <si>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</si>
  <si>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</si>
  <si>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</si>
  <si>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</si>
  <si>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</si>
  <si>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</si>
  <si>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</si>
  <si>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</si>
  <si>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</si>
  <si>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</si>
  <si>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PCBSV</t>
  </si>
  <si>
    <t>Percent Change Baseline in Sum of Volume</t>
  </si>
  <si>
    <t>The (current sum of volumes minus the baseline sum of volumes) divided by the baseline sum of volumes, multiplied by 100.</t>
  </si>
  <si>
    <t>Percent Change From Baseline in Sum of Volume</t>
  </si>
  <si>
    <t>PCDW</t>
  </si>
  <si>
    <t>Platelet Component Distribution Width</t>
  </si>
  <si>
    <t>A measurement of a marker of platelet shape change in a biological specimen.</t>
  </si>
  <si>
    <t>Platelet Component Distribution Width Measurement</t>
  </si>
  <si>
    <t>PCF</t>
  </si>
  <si>
    <t>Peak Cough Flow</t>
  </si>
  <si>
    <t>The maximum rate of air flow expelled through the mouth, endotracheal, or tracheostomy tube during a cough. (NCI)</t>
  </si>
  <si>
    <t>PCHGBL</t>
  </si>
  <si>
    <t>Percent Change From Baseline</t>
  </si>
  <si>
    <t>The (current value minus the baseline value) divided by the baseline value, multiplied by 100.</t>
  </si>
  <si>
    <t>PCHGNAD</t>
  </si>
  <si>
    <t>Percent Change From Nadir</t>
  </si>
  <si>
    <t>The (current value minus the lowest value previously recorded) divided by the lowest value previously recorded, multiplied by 100.</t>
  </si>
  <si>
    <t>PCHLRPZN</t>
  </si>
  <si>
    <t>Prochlorperazine</t>
  </si>
  <si>
    <t>A measurement of the prochlorperazine in a biological specimen.</t>
  </si>
  <si>
    <t>Prochlorperazine Measurement</t>
  </si>
  <si>
    <t>PCIAAC</t>
  </si>
  <si>
    <t>PCI Acute Angiographic Complication</t>
  </si>
  <si>
    <t>Categorization of the type of acute PCI angiographic complication resulting in acute myocardial ischemia.</t>
  </si>
  <si>
    <t>Acute Myocardial Infarction From PCI Complication Type</t>
  </si>
  <si>
    <t>PCLE</t>
  </si>
  <si>
    <t>Plasma Cells/Leuk</t>
  </si>
  <si>
    <t>Plasma Cells/Leuk; Total Plasma Cells/Leukocytes</t>
  </si>
  <si>
    <t>A relative measurement (ratio or percentage) of the total plasma cells to leukocytes in a biological specimen.</t>
  </si>
  <si>
    <t>Plasma Cells to Leukocytes Ratio Measurement</t>
  </si>
  <si>
    <t>PCNAG</t>
  </si>
  <si>
    <t>Proliferating Cell Nuclear Antigen</t>
  </si>
  <si>
    <t>Cyclin; Proliferating Cell Nuclear Antigen</t>
  </si>
  <si>
    <t>A measurement of the proliferating cell nuclear antigen in a biological specimen.</t>
  </si>
  <si>
    <t>Proliferating Cell Nuclear Antigen Measurement</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</si>
  <si>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</si>
  <si>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</si>
  <si>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</si>
  <si>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</si>
  <si>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</si>
  <si>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</si>
  <si>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</si>
  <si>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</si>
  <si>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</si>
  <si>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</si>
  <si>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</si>
  <si>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</si>
  <si>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</si>
  <si>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</si>
  <si>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</si>
  <si>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</si>
  <si>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</si>
  <si>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</si>
  <si>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</si>
  <si>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</si>
  <si>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</si>
  <si>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PCNSV</t>
  </si>
  <si>
    <t>Percent Change Nadir in Sum of Volume</t>
  </si>
  <si>
    <t>The (current sum of volumes minus the lowest sum of volumes previously recorded) divided by the lowest sum of volumes previously recorded, multiplied by 100.</t>
  </si>
  <si>
    <t>PCO2</t>
  </si>
  <si>
    <t>Partial Pressure Carbon Dioxide</t>
  </si>
  <si>
    <t>A measurement of the pressure of carbon dioxide in a biological specimen.</t>
  </si>
  <si>
    <t>Partial Pressure of Carbon Dioxide Measurement</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</si>
  <si>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</si>
  <si>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</si>
  <si>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</si>
  <si>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</si>
  <si>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PCONFIND</t>
  </si>
  <si>
    <t>Pregnancy Confirmed Indicator</t>
  </si>
  <si>
    <t>An indication as to whether the subject's pregnancy has been confirmed.</t>
  </si>
  <si>
    <t>PCP</t>
  </si>
  <si>
    <t>Phencyclidine</t>
  </si>
  <si>
    <t>Phencyclidine; Phenylcyclohexylpiperidine</t>
  </si>
  <si>
    <t>A measurement of the phencyclidine present in a biological specimen.</t>
  </si>
  <si>
    <t>Phencyclidine Measurement</t>
  </si>
  <si>
    <t>PCS</t>
  </si>
  <si>
    <t>Plasma Cells Sub</t>
  </si>
  <si>
    <t>Plasma Cells Sub; Plasma Cells Sub-Population; Total Plasma Cells Sub</t>
  </si>
  <si>
    <t>A measurement of a sub-population of plasma cells in a biological specimen.</t>
  </si>
  <si>
    <t>Plasma Cell Subpopulation Count</t>
  </si>
  <si>
    <t>PCSBLY</t>
  </si>
  <si>
    <t>Plasma Cells Sub/BLym</t>
  </si>
  <si>
    <t>PC Sub/BLym; Plasma Cells Sub-Population/B-Lymphocytes; Plasma Cells Sub/B-Lymphocytes; Plasma Cells Sub/BLym</t>
  </si>
  <si>
    <t>A relative measurement (ratio or percentage) of a sub-population of plasma cells to total B-lymphocytes in a biological specimen.</t>
  </si>
  <si>
    <t>Plasma Cell Subpopulation to B-Lymphocyte Ratio Measurement</t>
  </si>
  <si>
    <t>PCSK9</t>
  </si>
  <si>
    <t>Proprotein Convertase Subtilisin/Kexin 9</t>
  </si>
  <si>
    <t>A measurement of the proprotein convertase subtilisin/kexin type 9 in a biological specimen.</t>
  </si>
  <si>
    <t>Proprotein Convertase Subtilisin/Kexin Type 9 Measurement</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</si>
  <si>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</si>
  <si>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</si>
  <si>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</si>
  <si>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</si>
  <si>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</si>
  <si>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PCSLE</t>
  </si>
  <si>
    <t>Plasma Cells Sub/Leuk</t>
  </si>
  <si>
    <t>PC Sub/Leuk; Plasma Cells Sub-Population/Leukocytes; Plasma Cells Sub/Leuk; Plasma Cells Sub/Leukocytes</t>
  </si>
  <si>
    <t>A relative measurement (ratio or percentage) of a sub-population of plasma cells to total leukocytes in a biological specimen.</t>
  </si>
  <si>
    <t>Plasma Cell Subpopulation to Leukocyte Ratio Measurement</t>
  </si>
  <si>
    <t>PCSP</t>
  </si>
  <si>
    <t>Plasma Cells Sub/Plasma Cells</t>
  </si>
  <si>
    <t>PC Sub/PC; Plasma Cells Sub-Population/Plasma Cells; Plasma Cells Sub/Plasma Cells</t>
  </si>
  <si>
    <t>A relative measurement (ratio or percentage) of a sub-population of plasma cells to total plasma cells in a biological specimen.</t>
  </si>
  <si>
    <t>Plasma Cell Subpopulation to Plasma Cell Ratio Measurement</t>
  </si>
  <si>
    <t>PCSPCS</t>
  </si>
  <si>
    <t>Plasma Cells Sub/Plasma Cells Sub</t>
  </si>
  <si>
    <t>PC Sub/PC Sub; Plasma Cells Sub-Population/Plasma Cells Sub-Population; Plasma Cells Sub/Plasma Cells Sub</t>
  </si>
  <si>
    <t>A relative measurement (ratio or percentage) of a sub-population of plasma cells to a sub-population of plasma cells in a biological specimen.</t>
  </si>
  <si>
    <t>Plasma Cell Subpopulation to Plasma Cell Subpopulation Ratio Measurement</t>
  </si>
  <si>
    <t>PCT</t>
  </si>
  <si>
    <t>Procalcitonin</t>
  </si>
  <si>
    <t>A measurement of the procalcitonin in a biological specimen.</t>
  </si>
  <si>
    <t>Procalcitonin Measurement</t>
  </si>
  <si>
    <t>PCTDIAST</t>
  </si>
  <si>
    <t>Percent Diameter Stenosis</t>
  </si>
  <si>
    <t>The value calculated as 100 x (1 - MLD/RVD), using the mean quantitative values for minimum lumen diameter (MLD) and reference vessel diameter (RVD).</t>
  </si>
  <si>
    <t>PCVALTYP</t>
  </si>
  <si>
    <t>Prosthetic Cardiac Valve Type</t>
  </si>
  <si>
    <t>A description of the type of artificial cardiac valve in use.</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</si>
  <si>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</si>
  <si>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</si>
  <si>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</si>
  <si>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</si>
  <si>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</si>
  <si>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PDAIND</t>
  </si>
  <si>
    <t>Prevents Daily Activities Indicator</t>
  </si>
  <si>
    <t>An indication as to whether the event or intervention prevents or has prevented the performance of daily activities.</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</si>
  <si>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</si>
  <si>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</si>
  <si>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</si>
  <si>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</si>
  <si>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</si>
  <si>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</si>
  <si>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</si>
  <si>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</si>
  <si>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</si>
  <si>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</si>
  <si>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</si>
  <si>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</si>
  <si>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</si>
  <si>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</si>
  <si>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</si>
  <si>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</si>
  <si>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</si>
  <si>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</si>
  <si>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</si>
  <si>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</si>
  <si>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PDUCOR</t>
  </si>
  <si>
    <t>PDU Current Operating Range</t>
  </si>
  <si>
    <t>The maximum to minimum operating current for a power distribution unit.</t>
  </si>
  <si>
    <t>Power Distribution Unit Current Operating Range</t>
  </si>
  <si>
    <t>PDUCRCOF</t>
  </si>
  <si>
    <t>PDU Current Cut-off</t>
  </si>
  <si>
    <t>The maximum operating current for a power distribution unit.</t>
  </si>
  <si>
    <t>Power Distribution Unit Current Cut-off</t>
  </si>
  <si>
    <t>PDUTCTOF</t>
  </si>
  <si>
    <t>PDU Temperature Cut-off</t>
  </si>
  <si>
    <t>The maximum operating temperature for a power distribution unit.</t>
  </si>
  <si>
    <t>Power Distribution Unit Temperature Cut-off</t>
  </si>
  <si>
    <t>PDUVOR</t>
  </si>
  <si>
    <t>PDU Voltage Operating Range</t>
  </si>
  <si>
    <t>The minimum to maximum operating voltage for a power distribution unit.</t>
  </si>
  <si>
    <t>Power Distribution Unit Voltage Operating Range</t>
  </si>
  <si>
    <t>PDUWTOR</t>
  </si>
  <si>
    <t>PDU Wattage Operating Range</t>
  </si>
  <si>
    <t>The maximum to minimum operating wattage for a power distribution unit.</t>
  </si>
  <si>
    <t>Power Distribution Unit Wattage Operating Range</t>
  </si>
  <si>
    <t>PDW</t>
  </si>
  <si>
    <t>Platelet Distribution Width</t>
  </si>
  <si>
    <t>A measurement of the range of platelet sizes in a biological specimen.</t>
  </si>
  <si>
    <t>PEAKRA</t>
  </si>
  <si>
    <t>Peak Response Amplitude</t>
  </si>
  <si>
    <t>The maximum height change between the wave and the equilibrium point of a stimulus-response waveform.</t>
  </si>
  <si>
    <t>PEAKRAL</t>
  </si>
  <si>
    <t>Peak Response Amplitude Latency</t>
  </si>
  <si>
    <t>A measurement of the time interval between a stimulus and the maximal response.</t>
  </si>
  <si>
    <t>PECAM1</t>
  </si>
  <si>
    <t>Platelet Endothelial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</si>
  <si>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</si>
  <si>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</si>
  <si>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</si>
  <si>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PEELIND</t>
  </si>
  <si>
    <t>Peeling Indicator</t>
  </si>
  <si>
    <t>An indication as to whether there is the presence of peeling.</t>
  </si>
  <si>
    <t>PEEPST</t>
  </si>
  <si>
    <t>Positive End Expiratory Pressure Setting</t>
  </si>
  <si>
    <t>PEEP Setting; Positive End Expiratory Pressure Setting</t>
  </si>
  <si>
    <t>A device setting that determines and regulates the amount of pressure delivered to the lungs to ensure alveolar pressure is above atmospheric pressure (i.e. positive pressure remains in the airways) at the end of exhalation.</t>
  </si>
  <si>
    <t>Positive End Expiratory Pressure Device Setting</t>
  </si>
  <si>
    <t>PEF</t>
  </si>
  <si>
    <t>Peak Expiratory Flow</t>
  </si>
  <si>
    <t>The maximum rate of exhalation.</t>
  </si>
  <si>
    <t>PEFFIND</t>
  </si>
  <si>
    <t>Pericardial Effusion Indicator</t>
  </si>
  <si>
    <t>An indication as to whether there is effusion between the parietal and visceral pericardia.</t>
  </si>
  <si>
    <t>PEFFSIZE</t>
  </si>
  <si>
    <t>Pericardial Effusion Size</t>
  </si>
  <si>
    <t>The qualitative description of the overall size of a pericardial effusion as assessed at the point of greatest separation between the parietal and visceral pericardia during diastole.</t>
  </si>
  <si>
    <t>PEFPP</t>
  </si>
  <si>
    <t>Percent Predicted Peak Expiratory Flow</t>
  </si>
  <si>
    <t>The maximal flow achieved during the maximally forced expiration initiated at maximum inhalation as a proportion of the predicted normal value.</t>
  </si>
  <si>
    <t>PEFREV</t>
  </si>
  <si>
    <t>PEF Reversibility</t>
  </si>
  <si>
    <t>The change in PEF following administration of a bronchodilator relative to the pre-treatment PEF value.</t>
  </si>
  <si>
    <t>Peak Expiratory Flow Reversibility</t>
  </si>
  <si>
    <t>PEFTIME</t>
  </si>
  <si>
    <t>Peak Expiratory Flow Time</t>
  </si>
  <si>
    <t>The time from the start of the test until the subject reaches his maximum expiratory gas flow rate.</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</si>
  <si>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</si>
  <si>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</si>
  <si>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</si>
  <si>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</si>
  <si>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</si>
  <si>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PEMOLINE</t>
  </si>
  <si>
    <t>Pemoline</t>
  </si>
  <si>
    <t>A measurement of the pemoline in a biological specimen.</t>
  </si>
  <si>
    <t>Pemoline Measurement</t>
  </si>
  <si>
    <t>PENDRN</t>
  </si>
  <si>
    <t>Pentedrone</t>
  </si>
  <si>
    <t>A measurement of the pentedrone in a biological specimen.</t>
  </si>
  <si>
    <t>Pentedrone Measurement</t>
  </si>
  <si>
    <t>PENTMKNM</t>
  </si>
  <si>
    <t>Pentanucleotide Marker Names</t>
  </si>
  <si>
    <t>The literal identifier of the pentanucleotide markers present in an assay kit.</t>
  </si>
  <si>
    <t>Pentanucleotide Marker Name</t>
  </si>
  <si>
    <t>PENTYLN</t>
  </si>
  <si>
    <t>Pentylone</t>
  </si>
  <si>
    <t>A measurement of the pentylone in a biological specimen.</t>
  </si>
  <si>
    <t>Pentylone Measurement</t>
  </si>
  <si>
    <t>PEPSNG</t>
  </si>
  <si>
    <t>Pepsinogen</t>
  </si>
  <si>
    <t>A measurement of the pepsinogen in a biological specimen.</t>
  </si>
  <si>
    <t>Pepsinogen Measurement</t>
  </si>
  <si>
    <t>PEPSNGA</t>
  </si>
  <si>
    <t>Pepsinogen A</t>
  </si>
  <si>
    <t>Pepsinogen A; PGA</t>
  </si>
  <si>
    <t>A measurement of the pepsinogen A in a biological specimen.</t>
  </si>
  <si>
    <t>Pepsinogen A Measurement</t>
  </si>
  <si>
    <t>PEPSNGC</t>
  </si>
  <si>
    <t>Pepsinogen C</t>
  </si>
  <si>
    <t>Pepsinogen C; PGC</t>
  </si>
  <si>
    <t>A measurement of the pepsinogen C in a biological specimen.</t>
  </si>
  <si>
    <t>Pepsinogen C Measurement</t>
  </si>
  <si>
    <t>PEPSNGI</t>
  </si>
  <si>
    <t>Pepsinogen I</t>
  </si>
  <si>
    <t>Pepsinogen I; PGI</t>
  </si>
  <si>
    <t>A measurement of the pepsinogen I in a biological specimen.</t>
  </si>
  <si>
    <t>Pepsinogen I Measurement</t>
  </si>
  <si>
    <t>PEPSNGII</t>
  </si>
  <si>
    <t>Pepsinogen II</t>
  </si>
  <si>
    <t>Pepsinogen II; PGII</t>
  </si>
  <si>
    <t>A measurement of the pepsinogen II in a biological specimen.</t>
  </si>
  <si>
    <t>Pepsinogen II Measurement</t>
  </si>
  <si>
    <t>PEPTOSTR</t>
  </si>
  <si>
    <t>Peptostreptococcus</t>
  </si>
  <si>
    <t>A measurement of the organisms that are not assigned to the species level but are assigned to the Peptostreptococcus genus level in a biological specimen.</t>
  </si>
  <si>
    <t>Peptostreptococcus Measurement</t>
  </si>
  <si>
    <t>PERCECE</t>
  </si>
  <si>
    <t>Proliferating Erythroid/Total Cells</t>
  </si>
  <si>
    <t>A relative measurement (ratio or percentage) of the proliferating erythroid cells to total cells in a biological specimen.</t>
  </si>
  <si>
    <t>Proliferating Erythroid Cell to Total Cell Ratio Measurement</t>
  </si>
  <si>
    <t>PERIOSTN</t>
  </si>
  <si>
    <t>Periostin</t>
  </si>
  <si>
    <t>OSF2; Osteoblast Specific Factor 2; Periostin; POSTN</t>
  </si>
  <si>
    <t>A measurement of the periostin in a biological specimen.</t>
  </si>
  <si>
    <t>Periostin Measurement</t>
  </si>
  <si>
    <t>PERKX</t>
  </si>
  <si>
    <t>pERK Expression</t>
  </si>
  <si>
    <t>pERK Expression; Phospho-ERK Expression</t>
  </si>
  <si>
    <t>A measurement of cellular phosphorylated ERK expression in a biological specimen.</t>
  </si>
  <si>
    <t>pERK Expression Measurement</t>
  </si>
  <si>
    <t>PERPHNZN</t>
  </si>
  <si>
    <t>Perphenazine</t>
  </si>
  <si>
    <t>A measurement of the perphenazine in a biological specimen.</t>
  </si>
  <si>
    <t>Perphenazine Measurement</t>
  </si>
  <si>
    <t>PF2AI8CR</t>
  </si>
  <si>
    <t>8-Iso-PGF2alpha/Creatinine</t>
  </si>
  <si>
    <t>A relative measurement (ratio or percentage) of the prostaglandin F2 alpha isoform 8 to creatinine in a biological specimen.</t>
  </si>
  <si>
    <t>8-Iso-Prostaglandin F2 Alpha to Creatinine Ratio Measurement</t>
  </si>
  <si>
    <t>PFCT</t>
  </si>
  <si>
    <t>Platelet Function Closure Time</t>
  </si>
  <si>
    <t>PFCT; Platelet Function Closure Time</t>
  </si>
  <si>
    <t>A measurement of the platelet function closure time in a biological specimen.</t>
  </si>
  <si>
    <t>Platelet Function Closure Time Measurement</t>
  </si>
  <si>
    <t>PG</t>
  </si>
  <si>
    <t>Prostaglandin</t>
  </si>
  <si>
    <t>A measurement of the total prostaglandin in a biological specimen.</t>
  </si>
  <si>
    <t>Prostaglandin Measurement</t>
  </si>
  <si>
    <t>PGAG</t>
  </si>
  <si>
    <t>Platelet-Granulocyte Agg</t>
  </si>
  <si>
    <t>Platelet-Granulocyte Agg; Platelet-Granulocyte Aggregates</t>
  </si>
  <si>
    <t>A measurement of the aggregates composed of platelets and granulocytes in a biological specimen.</t>
  </si>
  <si>
    <t>Platelet-Granulocyte Aggregate Measurement</t>
  </si>
  <si>
    <t>PGD2</t>
  </si>
  <si>
    <t>Prostaglandin D2</t>
  </si>
  <si>
    <t>A measurement of the prostaglandin D2 in a biological specimen.</t>
  </si>
  <si>
    <t>Prostaglandin D2 Measurement</t>
  </si>
  <si>
    <t>PGD2R2</t>
  </si>
  <si>
    <t>Prostaglandin D2 Receptor 2</t>
  </si>
  <si>
    <t>A measurement of the prostaglandin D2 receptor 2 in a biological specimen.</t>
  </si>
  <si>
    <t>Prostaglandin D2 Receptor 2 Measurement</t>
  </si>
  <si>
    <t>PGD2S</t>
  </si>
  <si>
    <t>Prostaglandin D2 Synthase</t>
  </si>
  <si>
    <t>Beta-Trace Protein; Prostaglandin D2 Synthase</t>
  </si>
  <si>
    <t>A measurement of the prostaglandin D2 synthase in a biological specimen.</t>
  </si>
  <si>
    <t>Prostaglandin D2 Synthase Measurement</t>
  </si>
  <si>
    <t>PGE1</t>
  </si>
  <si>
    <t>Prostaglandin E1</t>
  </si>
  <si>
    <t>A measurement of the prostaglandin E1 in a biological specimen.</t>
  </si>
  <si>
    <t>Prostaglandin E1 Measurement</t>
  </si>
  <si>
    <t>PGE2</t>
  </si>
  <si>
    <t>Prostaglandin E2</t>
  </si>
  <si>
    <t>A measurement of the prostaglandin E2 in a biological specimen.</t>
  </si>
  <si>
    <t>Prostaglandin E2 Measurement</t>
  </si>
  <si>
    <t>PGES</t>
  </si>
  <si>
    <t>Prostaglandin E Synthase</t>
  </si>
  <si>
    <t>A measurement of the prostaglandin E synthase in a biological specimen.</t>
  </si>
  <si>
    <t>Prostaglandin E Synthase Measurement</t>
  </si>
  <si>
    <t>PGF1A</t>
  </si>
  <si>
    <t>Prostaglandin F1 Alpha</t>
  </si>
  <si>
    <t>A measurement of the prostaglandin F1 alpha in a biological specimen.</t>
  </si>
  <si>
    <t>Prostaglandin F1 Alpha Measurement</t>
  </si>
  <si>
    <t>PGF2A</t>
  </si>
  <si>
    <t>Prostaglandin F2 Alpha</t>
  </si>
  <si>
    <t>A measurement of the prostaglandin F2 alpha in a biological specimen.</t>
  </si>
  <si>
    <t>Prostaglandin F2 Alpha Measurement</t>
  </si>
  <si>
    <t>PGF2AI8</t>
  </si>
  <si>
    <t>8-Iso-Prostaglandin F2 Alpha</t>
  </si>
  <si>
    <t>A measurement of the prostaglandin F2 alpha isoform 8 in a biological specimen.</t>
  </si>
  <si>
    <t>8-Iso-Prostaglandin F2 Alpha Measurement</t>
  </si>
  <si>
    <t>PGPRES</t>
  </si>
  <si>
    <t>Peak Pressure Gradient</t>
  </si>
  <si>
    <t>A value that represents the maximum pressure gradient that exists between two points across a structure.</t>
  </si>
  <si>
    <t>PH</t>
  </si>
  <si>
    <t>pH</t>
  </si>
  <si>
    <t>The negative logarithm (base 10) of the concentration of hydronium ions, which is used as a measure of the acidity or alkalinity of a fluid.</t>
  </si>
  <si>
    <t>PHADJT</t>
  </si>
  <si>
    <t>pH Adjusted for Body Temp</t>
  </si>
  <si>
    <t>A measurement of pH, which has been adjusted for body temperature, in a biological specimen.</t>
  </si>
  <si>
    <t>pH Adjusted for Body Temperature Measurement</t>
  </si>
  <si>
    <t>PHCMPLNC</t>
  </si>
  <si>
    <t>Physiological Compliance</t>
  </si>
  <si>
    <t>An index reflecting distensibility of elastic organ(s) defined as the change in volume per unit change in pressure (dV/dP).</t>
  </si>
  <si>
    <t>Index of Expandability</t>
  </si>
  <si>
    <t>PHE</t>
  </si>
  <si>
    <t>Phenylalanine</t>
  </si>
  <si>
    <t>A measurement of the phenylalanine in a biological specimen.</t>
  </si>
  <si>
    <t>Phenylalanine Measurement</t>
  </si>
  <si>
    <t>PHENOL</t>
  </si>
  <si>
    <t>Phenol</t>
  </si>
  <si>
    <t>Carbolic Acid; Hydroxybenzene; Oxybenzene; Phenic Acid; Phenol; Phenylic Acid</t>
  </si>
  <si>
    <t>A measurement of the phenol in a specimen.</t>
  </si>
  <si>
    <t>Phenol Measurement</t>
  </si>
  <si>
    <t>PHENTHZ</t>
  </si>
  <si>
    <t>Phenothiazine</t>
  </si>
  <si>
    <t>Dibenzothiazine; Phenothiazine</t>
  </si>
  <si>
    <t>A measurement of the phenothiazine present in a biological specimen.</t>
  </si>
  <si>
    <t>Phenothiazine Measurement</t>
  </si>
  <si>
    <t>PHENYTN</t>
  </si>
  <si>
    <t>Phenytoin</t>
  </si>
  <si>
    <t>A measurement of the phenytoin in a biological specimen.</t>
  </si>
  <si>
    <t>Phenytoin Measurement</t>
  </si>
  <si>
    <t>PHETYR</t>
  </si>
  <si>
    <t>Phenylalanine/Tyrosine</t>
  </si>
  <si>
    <t>A relative measurement (ratio) of the phenylalanine to tyrosine in a biological specimen.</t>
  </si>
  <si>
    <t>Phenylalanine to Tyrosine Ratio Measurement</t>
  </si>
  <si>
    <t>PHIP</t>
  </si>
  <si>
    <t>PhIP</t>
  </si>
  <si>
    <t>2-Amino-1-Methyl-6-Phenylimidazo[4,5-b]pyridine; PhIP</t>
  </si>
  <si>
    <t>A measurement of the PhIP (2-Amino-1-Methyl-6-Phenylimidazo[4,5-b]pyridine) in a specimen.</t>
  </si>
  <si>
    <t>PhIP Measurement</t>
  </si>
  <si>
    <t>PHNBRBTL</t>
  </si>
  <si>
    <t>Phenobarbital</t>
  </si>
  <si>
    <t>A measurement of the phenobarbital present in a biological specimen.</t>
  </si>
  <si>
    <t>Phenobarbital Measurement</t>
  </si>
  <si>
    <t>PHNDMTZN</t>
  </si>
  <si>
    <t>Phendimetrazine</t>
  </si>
  <si>
    <t>A measurement of the phendimetrazine in a biological specimen.</t>
  </si>
  <si>
    <t>Phendimetrazine Measurement</t>
  </si>
  <si>
    <t>PHNKET</t>
  </si>
  <si>
    <t>Phenylketones</t>
  </si>
  <si>
    <t>Phenyl Ketones; Phenylketones</t>
  </si>
  <si>
    <t>A measurement of the total phenylketones in a biological specimen</t>
  </si>
  <si>
    <t>Phenylketone Measurement</t>
  </si>
  <si>
    <t>PHNMTZN</t>
  </si>
  <si>
    <t>Phenmetrazine</t>
  </si>
  <si>
    <t>A measurement of the phenmetrazine in a biological specimen.</t>
  </si>
  <si>
    <t>Phenmetrazine Measurement</t>
  </si>
  <si>
    <t>PHNPYR</t>
  </si>
  <si>
    <t>Phenylpyruvate</t>
  </si>
  <si>
    <t>Phenylpyruvate; Phenylpyruvic Acid; PPA; PPY; PPYR</t>
  </si>
  <si>
    <t>A measurement of the phenylpyruvate in a biological specimen.</t>
  </si>
  <si>
    <t>Phenylpyruvate Measurement</t>
  </si>
  <si>
    <t>PHNZCN</t>
  </si>
  <si>
    <t>Phenazocine</t>
  </si>
  <si>
    <t>A measurement of the phenazocine in a biological specimen.</t>
  </si>
  <si>
    <t>Phenazocine Measurement</t>
  </si>
  <si>
    <t>PHOS</t>
  </si>
  <si>
    <t>Phosphate</t>
  </si>
  <si>
    <t>Inorganic Phosphate; Phosphate; Phosphorus</t>
  </si>
  <si>
    <t>A measurement of the phosphate in a biological specimen.</t>
  </si>
  <si>
    <t>Phosphate Measurement</t>
  </si>
  <si>
    <t>PHOSCLR</t>
  </si>
  <si>
    <t>Phosphate Clearance</t>
  </si>
  <si>
    <t>A measurement of the volume of serum or plasma that would be cleared of phosphate by excretion of urine for a specified unit of time (e.g. one minute).</t>
  </si>
  <si>
    <t>Phosphate Clearance Measurement</t>
  </si>
  <si>
    <t>PHOSCRT</t>
  </si>
  <si>
    <t>Phosphate/Creatinine</t>
  </si>
  <si>
    <t>A relative measurement (ratio or percentage) of the phosphate to creatinine in a biological specimen.</t>
  </si>
  <si>
    <t>Phosphate to Creatinine Ratio Measurement</t>
  </si>
  <si>
    <t>PHOSEXR</t>
  </si>
  <si>
    <t>Phosphorus Excretion Rate</t>
  </si>
  <si>
    <t>A measurement of the amount of phosphorus being excreted in a biological specimen over a defined amount of time (e.g. one hour).</t>
  </si>
  <si>
    <t>PHOSLPD</t>
  </si>
  <si>
    <t>Phospholipid</t>
  </si>
  <si>
    <t>A measurement of the phospholipids in a biological specimen.</t>
  </si>
  <si>
    <t>Phospholipid Measurement</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</si>
  <si>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</si>
  <si>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</si>
  <si>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</si>
  <si>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</si>
  <si>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</si>
  <si>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PHTRMN</t>
  </si>
  <si>
    <t>Phentermine</t>
  </si>
  <si>
    <t>Phentermine; Phenyl-tertiary-butylamine</t>
  </si>
  <si>
    <t>A measurement of the phentermine in a biological specimen.</t>
  </si>
  <si>
    <t>Phentermine Measurement</t>
  </si>
  <si>
    <t>PHYACLFS</t>
  </si>
  <si>
    <t>Physical Activity Lifestyle</t>
  </si>
  <si>
    <t>A description of the subject's lifestyle with respect to physical activity.</t>
  </si>
  <si>
    <t>PICP</t>
  </si>
  <si>
    <t>Procollagen Type I Carboxy Term Peptide</t>
  </si>
  <si>
    <t>A measurement of the procollagen-1 carboxy-terminal peptide in a biological specimen.</t>
  </si>
  <si>
    <t>Procollagen Type I Carboxy Terminal Peptide Measurement</t>
  </si>
  <si>
    <t>PIF</t>
  </si>
  <si>
    <t>Peak Inspiratory Flow</t>
  </si>
  <si>
    <t>The maximum rate of inhalation.</t>
  </si>
  <si>
    <t>Peak Inspiratory Flow Rate</t>
  </si>
  <si>
    <t>PIMOZIDE</t>
  </si>
  <si>
    <t>Pimozide</t>
  </si>
  <si>
    <t>A measurement of the pimozide in a biological specimen.</t>
  </si>
  <si>
    <t>Pimozide Measurement</t>
  </si>
  <si>
    <t>PIPRDROL</t>
  </si>
  <si>
    <t>Pipradrol</t>
  </si>
  <si>
    <t>A measurement of the pipradrol in a biological specimen.</t>
  </si>
  <si>
    <t>Pipradrol Measurement</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</si>
  <si>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</si>
  <si>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</si>
  <si>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</si>
  <si>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</si>
  <si>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</si>
  <si>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PIXSPCX</t>
  </si>
  <si>
    <t>X-axis Pixel Spacing</t>
  </si>
  <si>
    <t>A measurement of the distance between the centers of two adjacent pixels located along the X-axis.</t>
  </si>
  <si>
    <t>Horizontal Pixel Spacing</t>
  </si>
  <si>
    <t>PIXSPCY</t>
  </si>
  <si>
    <t>Y-axis Pixel Spacing</t>
  </si>
  <si>
    <t>A measurement of the distance between the centers of two adjacent pixels located along the Y-axis.</t>
  </si>
  <si>
    <t>Vertical Pixel Spacing</t>
  </si>
  <si>
    <t>PJI</t>
  </si>
  <si>
    <t>Pneumocystis jiroveci</t>
  </si>
  <si>
    <t>A measurement of the Pneumocystis jiroveci in a biological specimen.</t>
  </si>
  <si>
    <t>Pneumocystis jiroveci Measurement</t>
  </si>
  <si>
    <t>PJIAG</t>
  </si>
  <si>
    <t>Pneumocystis jiroveci Antigen</t>
  </si>
  <si>
    <t>A measurement of the Pneumocystis jiroveci antigen in a biological specimen.</t>
  </si>
  <si>
    <t>Pneumocystis jiroveci Antigen Measurement</t>
  </si>
  <si>
    <t>PJIDNA</t>
  </si>
  <si>
    <t>Pneumocystis jiroveci DNA</t>
  </si>
  <si>
    <t>A measurement of the Pneumocystis jiroveci DNA in a biological specimen.</t>
  </si>
  <si>
    <t>Pneumocystis jiroveci DNA Measurement</t>
  </si>
  <si>
    <t>PKAVEL</t>
  </si>
  <si>
    <t>Peak A Velocity</t>
  </si>
  <si>
    <t>The peak velocity of blood flow across a cardiac valve during late ventricular diastole (the active filling of the ventricle).</t>
  </si>
  <si>
    <t>PKEVEL</t>
  </si>
  <si>
    <t>Peak E Velocity</t>
  </si>
  <si>
    <t>The peak velocity of blood flow across a cardiac valve during early ventricular diastole (the passive filling of the ventricle).</t>
  </si>
  <si>
    <t>PKM</t>
  </si>
  <si>
    <t>Pyruvate Kinase Muscle Isozyme</t>
  </si>
  <si>
    <t>A measurement of the total pyruvate kinase muscle isozymes (M1 and M2) in a biological specimen.</t>
  </si>
  <si>
    <t>Pyruvate Kinase Muscle Isozyme Measurement</t>
  </si>
  <si>
    <t>PKM1</t>
  </si>
  <si>
    <t>Pyruvate Kinase Isozyme M1</t>
  </si>
  <si>
    <t>A measurement of the pyruvate kinase isozyme M1 in a biological specimen.</t>
  </si>
  <si>
    <t>Pyruvate Kinase Isozyme M1 Measurement</t>
  </si>
  <si>
    <t>PKM2</t>
  </si>
  <si>
    <t>Pyruvate Kinase Isozyme M2</t>
  </si>
  <si>
    <t>A measurement of the pyruvate kinase isozyme M2 in a biological specimen.</t>
  </si>
  <si>
    <t>Pyruvate Kinase Isozyme M2 Measurement</t>
  </si>
  <si>
    <t>PKNOWLA</t>
  </si>
  <si>
    <t>Plasmodium knowlesi, Asexual</t>
  </si>
  <si>
    <t>A measurement of the Plasmodium knowlesi in an asexual replication stage in a biological specimen.</t>
  </si>
  <si>
    <t>Asexual Plasmodium knowlesi Measurement</t>
  </si>
  <si>
    <t>PKNOWLS</t>
  </si>
  <si>
    <t>Plasmodium knowlesi, Sexual</t>
  </si>
  <si>
    <t>A measurement of the Plasmodium knowlesi in a sexual replication stage in a biological specimen.</t>
  </si>
  <si>
    <t>Sexual Plasmodium knowlesi Measurement</t>
  </si>
  <si>
    <t>PLA2</t>
  </si>
  <si>
    <t>Phospholipase A2</t>
  </si>
  <si>
    <t>A measurement of the total phospholipase A2 in a biological specimen.</t>
  </si>
  <si>
    <t>Phospholipase A2 Measurement</t>
  </si>
  <si>
    <t>PLAGGCVT</t>
  </si>
  <si>
    <t>Platelet Aggregation Curve Type</t>
  </si>
  <si>
    <t>The classification of the curve pattern that is formed as a result of platelet aggregation.</t>
  </si>
  <si>
    <t>Platelet Aggregometry Curve Type</t>
  </si>
  <si>
    <t>PLAGMAMP</t>
  </si>
  <si>
    <t>Platelet Aggregation Mean Amplitude</t>
  </si>
  <si>
    <t>An average of the measurements of the magnitude of the platelet aggregation in a biological specimen.</t>
  </si>
  <si>
    <t>Platelet Aggregometry Mean Amplitude</t>
  </si>
  <si>
    <t>PLAGMCVT</t>
  </si>
  <si>
    <t>Platelet Aggregation Mean Curve Type</t>
  </si>
  <si>
    <t>The classification of the curve pattern that is formed as the average result of the platelet aggregation curve measurements.</t>
  </si>
  <si>
    <t>Platelet Aggregometry Mean Curve Type</t>
  </si>
  <si>
    <t>PLAT</t>
  </si>
  <si>
    <t>Platelets</t>
  </si>
  <si>
    <t>A measurement of the platelets (non-nucleated thrombocytes) in a biological specimen.</t>
  </si>
  <si>
    <t>Platelet Count</t>
  </si>
  <si>
    <t>PLATAGGR</t>
  </si>
  <si>
    <t>Platelet Aggregation</t>
  </si>
  <si>
    <t>Platelet Aggregation; Platelet Function</t>
  </si>
  <si>
    <t>A measurement of the association of platelets to one another via adhesion molecules in a biological sample.</t>
  </si>
  <si>
    <t>Platelet Aggregation Measurement</t>
  </si>
  <si>
    <t>PLATAGRN</t>
  </si>
  <si>
    <t>Platelets, Agranular</t>
  </si>
  <si>
    <t>A measurement of the agranular platelets in a biological specimen.</t>
  </si>
  <si>
    <t>Agranular Platelets Count</t>
  </si>
  <si>
    <t>PLATBIZ</t>
  </si>
  <si>
    <t>Bizarre Platelets</t>
  </si>
  <si>
    <t>A measurement of the bizarre platelets (large with abnormal morphology and shape) in a biological specimen.</t>
  </si>
  <si>
    <t>Bizarre Platelet Count</t>
  </si>
  <si>
    <t>PLATCLMP</t>
  </si>
  <si>
    <t>Platelet Clumps</t>
  </si>
  <si>
    <t>Platelet Clumps; PLT Clumps</t>
  </si>
  <si>
    <t>A measurement of the platelet clumps in a biological specimen.</t>
  </si>
  <si>
    <t>Platelet Clumps Count</t>
  </si>
  <si>
    <t>PLATEST</t>
  </si>
  <si>
    <t>Platelets, Estimated</t>
  </si>
  <si>
    <t>An estimated measurement of the platelets (non-nucleated thrombocytes) in a biological specimen.</t>
  </si>
  <si>
    <t>Estimated Platelets Measurement</t>
  </si>
  <si>
    <t>PLATGNT</t>
  </si>
  <si>
    <t>Giant Platelets</t>
  </si>
  <si>
    <t>A measurement of the giant (larger than 7um in diameter) platelets in a biological specimen.</t>
  </si>
  <si>
    <t>Giant Platelet Count</t>
  </si>
  <si>
    <t>PLATHCT</t>
  </si>
  <si>
    <t>Platelet Hematocrit</t>
  </si>
  <si>
    <t>Platelet Hematocrit; Thrombocytocrit</t>
  </si>
  <si>
    <t>A relative measurement (ratio or percentage) of the proportion of the volume of blood taken up by platelets.</t>
  </si>
  <si>
    <t>Platelet Hematocrit Measurement</t>
  </si>
  <si>
    <t>PLATIM</t>
  </si>
  <si>
    <t>Immature Platelets</t>
  </si>
  <si>
    <t>Immature Platelets; Reticulated Platelets</t>
  </si>
  <si>
    <t>A measurement of the immature platelets in a biological specimen.</t>
  </si>
  <si>
    <t>Immature Platelet Count</t>
  </si>
  <si>
    <t>PLATLRG</t>
  </si>
  <si>
    <t>Large Platelets</t>
  </si>
  <si>
    <t>A measurement of the large (between 4 um and 7um in diameter) platelets in a biological specimen.</t>
  </si>
  <si>
    <t>Large Platelet Count</t>
  </si>
  <si>
    <t>PLATS</t>
  </si>
  <si>
    <t>Platelets Sub</t>
  </si>
  <si>
    <t>Platelets Sub-Population</t>
  </si>
  <si>
    <t>A measurement of a sub-population of platelets in a biological specimen.</t>
  </si>
  <si>
    <t>Platelet Subpopulation Count</t>
  </si>
  <si>
    <t>PLATSAT</t>
  </si>
  <si>
    <t>Platelet Satellitism</t>
  </si>
  <si>
    <t>An examination or assessment of the platelet satellitism (platelet rosetting around cells) in a biological specimen.</t>
  </si>
  <si>
    <t>Platelet Satellitism Assessment</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</si>
  <si>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</si>
  <si>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</si>
  <si>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</si>
  <si>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</si>
  <si>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</si>
  <si>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PLCGF</t>
  </si>
  <si>
    <t>Placental Growth Factor</t>
  </si>
  <si>
    <t>PGF; PIGF; Placental Growth Factor; PLGF</t>
  </si>
  <si>
    <t>A measurement of the placental growth factor in a biological specimen.</t>
  </si>
  <si>
    <t>Placental Growth Factor Measurement</t>
  </si>
  <si>
    <t>PLG</t>
  </si>
  <si>
    <t>Plasminogen</t>
  </si>
  <si>
    <t>A measurement of the plasminogen (antigen) in a biological specimen.</t>
  </si>
  <si>
    <t>Plasminogen Measurement</t>
  </si>
  <si>
    <t>PLHD</t>
  </si>
  <si>
    <t>Plasmodium Lactate Dehydrogenase</t>
  </si>
  <si>
    <t>A measurement of the Plasmodium lactate dehydrogenase in a biological specimen.</t>
  </si>
  <si>
    <t>Plasmodium Lactate Dehydrogenase Measurement</t>
  </si>
  <si>
    <t>PLLDIAM</t>
  </si>
  <si>
    <t>Longest Diameter of Primary Lesion</t>
  </si>
  <si>
    <t>Largest Diameter of Primary Lesion; Longest Diameter of Primary Lesion</t>
  </si>
  <si>
    <t>The longest diameter of the lesion that has been determined to be the primary lesion.</t>
  </si>
  <si>
    <t>PLLOC</t>
  </si>
  <si>
    <t>Anatomical Location of Primary Lesion</t>
  </si>
  <si>
    <t>The anatomical location of the lesion that has been determined to be the primary lesion.</t>
  </si>
  <si>
    <t>PLMGRRFX</t>
  </si>
  <si>
    <t>Palmar Grasp Reflex</t>
  </si>
  <si>
    <t>An involuntary, primal response in the neonate to grasp the fingers when their palm is touched. This reflex is present until six months of age.</t>
  </si>
  <si>
    <t>Grasp Reflex</t>
  </si>
  <si>
    <t>PLMXRS</t>
  </si>
  <si>
    <t>Pulmonary Reactance</t>
  </si>
  <si>
    <t>A measurement of the ability of the lung to store energy, which is required for passive expiration.</t>
  </si>
  <si>
    <t>PLP</t>
  </si>
  <si>
    <t>Pyridoxal Phosphate</t>
  </si>
  <si>
    <t>Active Vitamin B6; Pyridoxal Phosphate</t>
  </si>
  <si>
    <t>A measurement of the pyridoxal phosphate in a biological specimen.</t>
  </si>
  <si>
    <t>Pyridoxal Phosphate Measurement</t>
  </si>
  <si>
    <t>PLSCR1</t>
  </si>
  <si>
    <t>Phospholipid Scramblase 1</t>
  </si>
  <si>
    <t>A measurement of the phospholipid scramblase 1 in a biological specimen.</t>
  </si>
  <si>
    <t>Phospholipid Scramblase 1 Measurement</t>
  </si>
  <si>
    <t>PLSIMCCE</t>
  </si>
  <si>
    <t>Immature Plasma Cells/Total Cells</t>
  </si>
  <si>
    <t>A relative measurement (ratio or percentage) of the immature plasma cells (plasmacytes) to total cells in a biological specimen.</t>
  </si>
  <si>
    <t>Immature Plasma Cells to Total Cells Ratio Measurement</t>
  </si>
  <si>
    <t>PLSIMCE</t>
  </si>
  <si>
    <t>Immature Plasma Cells</t>
  </si>
  <si>
    <t>A measurement of the immature plasma cells in a biological specimen.</t>
  </si>
  <si>
    <t>Immature Plasma Cell Count</t>
  </si>
  <si>
    <t>PLSIMCLY</t>
  </si>
  <si>
    <t>Immature Plasma Cells/Lymphocytes</t>
  </si>
  <si>
    <t>A relative measurement (ratio or percentage) of immature plasma cells to total lymphocytes in a biological specimen.</t>
  </si>
  <si>
    <t>Immature Plasma Cell to Lymphocyte Ratio Measurement</t>
  </si>
  <si>
    <t>PLSMCE</t>
  </si>
  <si>
    <t>Mature Plasma Cells</t>
  </si>
  <si>
    <t>Mature Plasma Cells; Plasmacytes; Plasmocytes</t>
  </si>
  <si>
    <t>A measurement of the mature plasma cells (plasmacytes) in a biological specimen.</t>
  </si>
  <si>
    <t>Mature Plasma Cell Count</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</si>
  <si>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</si>
  <si>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</si>
  <si>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</si>
  <si>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</si>
  <si>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PLSMCELY</t>
  </si>
  <si>
    <t>Mature Plasma Cells/Lymphocytes</t>
  </si>
  <si>
    <t>A relative measurement (ratio or percentage) of the mature plasma cells (plasmacytes) to all lymphocytes in a biological specimen.</t>
  </si>
  <si>
    <t>Mature Plasma Cell to Lymphocyte Ratio Measurement</t>
  </si>
  <si>
    <t>PLSMDM</t>
  </si>
  <si>
    <t>Plasmodium</t>
  </si>
  <si>
    <t>Malaria; Plasmodium</t>
  </si>
  <si>
    <t>Examination of a biological specimen to detect the presence of any protozoan belonging to the Plasmodium genus.</t>
  </si>
  <si>
    <t>Plasmodium Measurement</t>
  </si>
  <si>
    <t>PLSNCE</t>
  </si>
  <si>
    <t>Neoplastic Plasma Cells</t>
  </si>
  <si>
    <t>Monoclonal Plasma Cells; Monotypic Plasma Cells; Neoplastic Plasma Cells</t>
  </si>
  <si>
    <t>A measurement of the neoplastic plasma cells in a biological specimen.</t>
  </si>
  <si>
    <t>Neoplastic Plasma Cell Count</t>
  </si>
  <si>
    <t>PLSNCECE</t>
  </si>
  <si>
    <t>Neoplastic Plasma Cells/Total Cells</t>
  </si>
  <si>
    <t>A relative measurement (ratio or percentage) of the neoplastic plasma cells to total cells in a biological specimen.</t>
  </si>
  <si>
    <t>Neoplastic Plasma Cell to Total Cell Ratio Measurement</t>
  </si>
  <si>
    <t>PLSPCE</t>
  </si>
  <si>
    <t>Precursor Plasma Cells</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</si>
  <si>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</si>
  <si>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</si>
  <si>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</si>
  <si>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</si>
  <si>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PLSTCE</t>
  </si>
  <si>
    <t>PLSTCECE</t>
  </si>
  <si>
    <t>Total Plasma Cells/Total Cells</t>
  </si>
  <si>
    <t>Plasma Cells/Total Cells; Total Plasma Cells/Total Cells</t>
  </si>
  <si>
    <t>A relative measurement (ratio or percentage) of the total plasma cells to total cells in a biological specimen.</t>
  </si>
  <si>
    <t>Plasma Cell to Total Cell Ratio Measurement</t>
  </si>
  <si>
    <t>PLSTCELE</t>
  </si>
  <si>
    <t>Total Plasma Cells/Leukocytes</t>
  </si>
  <si>
    <t>PLSTCELY</t>
  </si>
  <si>
    <t>Total Plasma Cells/Lymphocytes</t>
  </si>
  <si>
    <t>A relative measurement (ratio or percentage) of the total plasma cells to lymphocytes in a biological specimen.</t>
  </si>
  <si>
    <t>Plasma Cell to Lymphocyte Ratio Measurement</t>
  </si>
  <si>
    <t>PLTAGAMP</t>
  </si>
  <si>
    <t>Platelet Aggregation Amplitude</t>
  </si>
  <si>
    <t>A measurement of the magnitude of the platelet aggregation in a biological specimen.</t>
  </si>
  <si>
    <t>Platelet Aggregation Amplitude Measurement</t>
  </si>
  <si>
    <t>PLTGRRFX</t>
  </si>
  <si>
    <t>Plantar Grasp Reflex</t>
  </si>
  <si>
    <t>An involuntary, primal response in the neonate that is characterized by flexion of the toes when the sole of the foot is stroked.</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</si>
  <si>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</si>
  <si>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</si>
  <si>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</si>
  <si>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</si>
  <si>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</si>
  <si>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</si>
  <si>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</si>
  <si>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</si>
  <si>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</si>
  <si>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</si>
  <si>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PLTMORPH</t>
  </si>
  <si>
    <t>Platelet Morphology</t>
  </si>
  <si>
    <t>An examination or assessment of the form and structure of platelets.</t>
  </si>
  <si>
    <t>Platelet Morphology Measurement</t>
  </si>
  <si>
    <t>PM2.5</t>
  </si>
  <si>
    <t>Particulate Matter 2.5</t>
  </si>
  <si>
    <t>The total number of particles or droplets per unit volume in the air that are 2.5 microns or less in width.</t>
  </si>
  <si>
    <t>Particulate Matter at 2.5um or Less Measurement</t>
  </si>
  <si>
    <t>PMA</t>
  </si>
  <si>
    <t>Phenylmercapturic Acid</t>
  </si>
  <si>
    <t>Phenylmercapturate; Phenylmercapturic Acid</t>
  </si>
  <si>
    <t>A measurement of the phenylmercapturic acid in a specimen.</t>
  </si>
  <si>
    <t>Phenylmercapturic Acid Measurement</t>
  </si>
  <si>
    <t>PMDW</t>
  </si>
  <si>
    <t>Platelet Mass Distribution Width</t>
  </si>
  <si>
    <t>A measurement which represents the variation defined by two standard deviations of the platelet dry mass distribution in a biological specimen.</t>
  </si>
  <si>
    <t>PMI</t>
  </si>
  <si>
    <t>Proteus mirabilis</t>
  </si>
  <si>
    <t>A measurement of the Proteus mirabilis in a biological specimen.</t>
  </si>
  <si>
    <t>Proteus mirabilis Measurement</t>
  </si>
  <si>
    <t>PMYCECE</t>
  </si>
  <si>
    <t>Proliferating Myeloid Cells/Total Cells</t>
  </si>
  <si>
    <t>A relative measurement (ratio or percentage) of the proliferating myeloid cells to total cells in a biological specimen.</t>
  </si>
  <si>
    <t>Proliferating Myeloid Cell to Total Cell Ratio Measurement</t>
  </si>
  <si>
    <t>PNCTPP</t>
  </si>
  <si>
    <t>Pancreatic Polypeptide</t>
  </si>
  <si>
    <t>A measurement of the pancreatic polypeptide in a biological specimen.</t>
  </si>
  <si>
    <t>Pancreatic Polypeptide Measurement</t>
  </si>
  <si>
    <t>PNEUMIND</t>
  </si>
  <si>
    <t>Pneumonia Indicator</t>
  </si>
  <si>
    <t>An indication as to whether pneumonia has occurred.</t>
  </si>
  <si>
    <t>PNIF</t>
  </si>
  <si>
    <t>Peak Nasal Inspiratory Flow</t>
  </si>
  <si>
    <t>The maximal flow achieved during the maximally forced inspiration through the nose initiated at maximum exhalation. (NCI)</t>
  </si>
  <si>
    <t>PNTBRBTL</t>
  </si>
  <si>
    <t>Pentobarbital</t>
  </si>
  <si>
    <t>A measurement of the pentobarbital present in a biological specimen.</t>
  </si>
  <si>
    <t>Pentobarbital Measurement</t>
  </si>
  <si>
    <t>PNTZOCIN</t>
  </si>
  <si>
    <t>Pentazocine</t>
  </si>
  <si>
    <t>A measurement of the pentazocine in a biological specimen.</t>
  </si>
  <si>
    <t>Pentazocine Measurement</t>
  </si>
  <si>
    <t>PNUMCNC</t>
  </si>
  <si>
    <t>Particle Number Concentration</t>
  </si>
  <si>
    <t>The total number of particles per unit volume.</t>
  </si>
  <si>
    <t>PO_210</t>
  </si>
  <si>
    <t>Polonium-210</t>
  </si>
  <si>
    <t>Po-210; Polonium-210; Radium F</t>
  </si>
  <si>
    <t>A measurement of the polonium-210 in a specimen.</t>
  </si>
  <si>
    <t>Polonium-210 Measurement</t>
  </si>
  <si>
    <t>PO2</t>
  </si>
  <si>
    <t>Partial Pressure Oxygen</t>
  </si>
  <si>
    <t>PaO2; Partial Pressure Oxygen; Po2; pO2</t>
  </si>
  <si>
    <t>A measurement of the pressure of oxygen in a biological specimen.</t>
  </si>
  <si>
    <t>Partial Pressure of Oxygen Measurement</t>
  </si>
  <si>
    <t>PO2ADJT</t>
  </si>
  <si>
    <t>Partial Pressure Oxygen Adj for Temp</t>
  </si>
  <si>
    <t>A measurement of the pressure of oxygen, which has been adjusted for body temperature, in a biological specimen.</t>
  </si>
  <si>
    <t>Partial Pressure of Oxygen Adjusted for Body Temperature Measurement</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</si>
  <si>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</si>
  <si>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</si>
  <si>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</si>
  <si>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</si>
  <si>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</si>
  <si>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POIKILO</t>
  </si>
  <si>
    <t>Poikilocytes</t>
  </si>
  <si>
    <t>A measurement of the odd-shaped erythrocytes in a whole blood specimen.</t>
  </si>
  <si>
    <t>Poikilocyte Measurement</t>
  </si>
  <si>
    <t>POIKRBC</t>
  </si>
  <si>
    <t>Poikilocytes/Erythrocytes</t>
  </si>
  <si>
    <t>A relative measurement (ratio or percentage) of the poikilocytes, or irregularly shaped erythrocytes, to all erythrocytes in a biological specimen.</t>
  </si>
  <si>
    <t>Poikilocyte to Erythrocyte Ratio Measurement</t>
  </si>
  <si>
    <t>POLYCHR</t>
  </si>
  <si>
    <t>Polychromasia</t>
  </si>
  <si>
    <t>A measurement of the blue-staining characteristic of newly generated erythrocytes.</t>
  </si>
  <si>
    <t>POLYERY</t>
  </si>
  <si>
    <t>Polychromatophilic Erythroblast</t>
  </si>
  <si>
    <t>A measurement of the polychromatophilic erythroblasts in a biological specimen taken from a non-human organism.</t>
  </si>
  <si>
    <t>Polychromatophilic Erythroblast Count</t>
  </si>
  <si>
    <t>POLYNORM</t>
  </si>
  <si>
    <t>Polychromatophilic Normoblast</t>
  </si>
  <si>
    <t>A measurement of the polychromatophilic normoblasts in a biological specimen taken from a non-human organism.</t>
  </si>
  <si>
    <t>Polychromatophilic Normoblast Count</t>
  </si>
  <si>
    <t>PON1</t>
  </si>
  <si>
    <t>Paraoxonase 1</t>
  </si>
  <si>
    <t>Aromatic Esterase 1; Arylesterase 1; Arylesterase B-Type; Esterase A; Paraoxonase 1; Paraoxonase B-Type; Paraoxonase-1; PON 1</t>
  </si>
  <si>
    <t>A measurement of the paraoxonase 1 in a biological specimen.</t>
  </si>
  <si>
    <t>Paraoxonase 1 Measurement</t>
  </si>
  <si>
    <t>PORESIZE</t>
  </si>
  <si>
    <t>Pore Size</t>
  </si>
  <si>
    <t>A quantitative or qualitative measurement of the physical dimensions of the pores in a material.</t>
  </si>
  <si>
    <t>Material Pore Size</t>
  </si>
  <si>
    <t>PORPH</t>
  </si>
  <si>
    <t>Porphyrin</t>
  </si>
  <si>
    <t>A measurement of the total porphyrin in a biological specimen.</t>
  </si>
  <si>
    <t>Porphyrin Measurement</t>
  </si>
  <si>
    <t>PPA</t>
  </si>
  <si>
    <t>Phenylpropanolamine</t>
  </si>
  <si>
    <t>Beta-Hydroxyamphetamine; Norephedrine; Phenylpropanolamine</t>
  </si>
  <si>
    <t>A measurement of the phenylpropanolamine in a biological specimen.</t>
  </si>
  <si>
    <t>Phenylpropanolamine Measurement</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</si>
  <si>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</si>
  <si>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</si>
  <si>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</si>
  <si>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</si>
  <si>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PPD</t>
  </si>
  <si>
    <t>Product of Perpendicular Diameters</t>
  </si>
  <si>
    <t>PPD; Product of Perpendicular Diameters</t>
  </si>
  <si>
    <t>The longest diameter multiplied by its longest perpendicular diameter.</t>
  </si>
  <si>
    <t>PPI</t>
  </si>
  <si>
    <t>Inorganic Pyrophosphate</t>
  </si>
  <si>
    <t>A measurement of the inorganic pyrophosphate in a biological specimen.</t>
  </si>
  <si>
    <t>Inorganic Pyrophosphate Measurement</t>
  </si>
  <si>
    <t>PPIA</t>
  </si>
  <si>
    <t>Peptidylprolyl Isomerase A</t>
  </si>
  <si>
    <t>Cyclophilin A; CYPA; Peptidylprolyl Isomerase A; Rotamase A</t>
  </si>
  <si>
    <t>A measurement of the peptidylprolyl isomerase A in a biological specimen.</t>
  </si>
  <si>
    <t>Peptidylprolyl Isomerase A Measurement</t>
  </si>
  <si>
    <t>PPLHSHN</t>
  </si>
  <si>
    <t>Number of People in Household</t>
  </si>
  <si>
    <t>The total number of people residing in the household.</t>
  </si>
  <si>
    <t>PPRR</t>
  </si>
  <si>
    <t>Peak Pressure Rise Rate</t>
  </si>
  <si>
    <t>The greatest rate of increase in peak pressure.</t>
  </si>
  <si>
    <t>PPRTIND</t>
  </si>
  <si>
    <t>Post-Partum Indicator</t>
  </si>
  <si>
    <t>An indication as to whether the subject is in the stages of recovery post pregnancy and birth event.</t>
  </si>
  <si>
    <t>PPSM</t>
  </si>
  <si>
    <t>PP Interval, Single Measurement</t>
  </si>
  <si>
    <t>An electrocardiographic measurement of the interval between the onsets of two consecutive P waves.</t>
  </si>
  <si>
    <t>Single Measurement PP Interval</t>
  </si>
  <si>
    <t>PPTDCALB</t>
  </si>
  <si>
    <t>Phosphatidylcholine/Albumin</t>
  </si>
  <si>
    <t>A relative measurement (ratio or percentage) of the phosphatidylcholine to albumin in a biological specimen.</t>
  </si>
  <si>
    <t>Phosphatidylcholine to Albumin Ratio Measurement</t>
  </si>
  <si>
    <t>PPTDETH</t>
  </si>
  <si>
    <t>Phosphatidylethanol</t>
  </si>
  <si>
    <t>PEth; Phosphatidylethanol</t>
  </si>
  <si>
    <t>A measurement of the total phosphatidylethanol in a biological specimen.</t>
  </si>
  <si>
    <t>Phosphatidylethanol Measurement</t>
  </si>
  <si>
    <t>PPTFCT</t>
  </si>
  <si>
    <t>Precipitating Factor</t>
  </si>
  <si>
    <t>The factor that causes or triggers the onset of an occurrence.</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</si>
  <si>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</si>
  <si>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</si>
  <si>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</si>
  <si>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</si>
  <si>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</si>
  <si>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</si>
  <si>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</si>
  <si>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</si>
  <si>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</si>
  <si>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</si>
  <si>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</si>
  <si>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</si>
  <si>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</si>
  <si>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</si>
  <si>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PRCTC</t>
  </si>
  <si>
    <t>Prostate Circulating Tumor Cells</t>
  </si>
  <si>
    <t>A measurement of the prostate circulating tumor cells in a biological specimen.</t>
  </si>
  <si>
    <t>Circulating Prostate Tumor Cell Count</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</si>
  <si>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</si>
  <si>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</si>
  <si>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</si>
  <si>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</si>
  <si>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</si>
  <si>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PRE</t>
  </si>
  <si>
    <t>Providencia rettgeri</t>
  </si>
  <si>
    <t>A measurement of the Providencia rettgeri in a biological specimen.</t>
  </si>
  <si>
    <t>Providencia rettgeri Measurement</t>
  </si>
  <si>
    <t>PREALB</t>
  </si>
  <si>
    <t>Prealbumin</t>
  </si>
  <si>
    <t>Prealbumin; Thyroxine-binding Prealbumin; Transthyretin</t>
  </si>
  <si>
    <t>A measurement of the prealbumin in a biological specimen.</t>
  </si>
  <si>
    <t>Prealbumin Measurement</t>
  </si>
  <si>
    <t>PREGBLN</t>
  </si>
  <si>
    <t>Pregabalin</t>
  </si>
  <si>
    <t>A measurement of the pregabalin in a biological specimen.</t>
  </si>
  <si>
    <t>Pregabalin Measurement</t>
  </si>
  <si>
    <t>PREGIND</t>
  </si>
  <si>
    <t>Pregnant Indicator</t>
  </si>
  <si>
    <t>An indication as to whether the subject or associated person is pregnant at the time the question is asked.</t>
  </si>
  <si>
    <t>Pregnancy Indicator</t>
  </si>
  <si>
    <t>PREGNN</t>
  </si>
  <si>
    <t>Number of Pregnancies</t>
  </si>
  <si>
    <t>A measurement of the total number of pregnancy events experienced by a female.</t>
  </si>
  <si>
    <t>PREGST</t>
  </si>
  <si>
    <t>Pregnant During the Study</t>
  </si>
  <si>
    <t>An indicator as to whether a female is pregnant during the study period. (NCI)</t>
  </si>
  <si>
    <t>PREMBRTH</t>
  </si>
  <si>
    <t>Premature Birth Indicator</t>
  </si>
  <si>
    <t>An indication as to whether the subject was born prior to 37 weeks and 0 days gestation.</t>
  </si>
  <si>
    <t>PREMBTHN</t>
  </si>
  <si>
    <t>Number of Premature Births</t>
  </si>
  <si>
    <t>A measurement of the total number of birth events (both live and dead) at which the gestational age of the neonate is less than 37 weeks and 0 days.</t>
  </si>
  <si>
    <t>PREPAMT</t>
  </si>
  <si>
    <t>Prepared Amount</t>
  </si>
  <si>
    <t>The quantity of a product that has been made ready for use.</t>
  </si>
  <si>
    <t>PRESHT</t>
  </si>
  <si>
    <t>Pressure Half Time</t>
  </si>
  <si>
    <t>The amount of time required for the peak transvalvular pressure gradient to decrease to one half of the value.</t>
  </si>
  <si>
    <t>PRGENDTC</t>
  </si>
  <si>
    <t>Date Pregnancy Ended</t>
  </si>
  <si>
    <t>The date on which the pregnancy ended.</t>
  </si>
  <si>
    <t>Pregnancy End Date</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</si>
  <si>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</si>
  <si>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</si>
  <si>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</si>
  <si>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</si>
  <si>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</si>
  <si>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PRGNENLN</t>
  </si>
  <si>
    <t>Pregnenolone</t>
  </si>
  <si>
    <t>A measurement of the pregnenolone in a biological specimen.</t>
  </si>
  <si>
    <t>Pregnenolone Measurement</t>
  </si>
  <si>
    <t>PRGNNDL</t>
  </si>
  <si>
    <t>Pregnanediol</t>
  </si>
  <si>
    <t>A measurement of the pregnanediol in a biological specimen.</t>
  </si>
  <si>
    <t>Pregnanediol Measurement</t>
  </si>
  <si>
    <t>PRGOUT</t>
  </si>
  <si>
    <t>Pregnancy Outcome</t>
  </si>
  <si>
    <t>The end result of a pregnancy.</t>
  </si>
  <si>
    <t>PRICON</t>
  </si>
  <si>
    <t>Priority of Disease Contact</t>
  </si>
  <si>
    <t>The categorization of individuals with or without the potential for having a particular disease.</t>
  </si>
  <si>
    <t>PRINSINS</t>
  </si>
  <si>
    <t>Proinsulin/Insulin Ratio</t>
  </si>
  <si>
    <t>A relative measurement (ratio or percentage) of the proinsulin to insulin in a biological specimen.</t>
  </si>
  <si>
    <t>Proinsulin to Insulin Ratio Measurement</t>
  </si>
  <si>
    <t>PRLYMLE</t>
  </si>
  <si>
    <t>Prolymphocytes/Leukocytes</t>
  </si>
  <si>
    <t>A relative measurement (ratio or percentage) of prolymphocytes to leukocytes in a biological specimen.</t>
  </si>
  <si>
    <t>Prolymphocyte to Leukocyte Ratio</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</si>
  <si>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</si>
  <si>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</si>
  <si>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</si>
  <si>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</si>
  <si>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</si>
  <si>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</si>
  <si>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</si>
  <si>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</si>
  <si>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PRMPNL</t>
  </si>
  <si>
    <t>Perampanel</t>
  </si>
  <si>
    <t>A measurement of the perampanel in a biological specimen.</t>
  </si>
  <si>
    <t>Perampanel Measurement</t>
  </si>
  <si>
    <t>PRO</t>
  </si>
  <si>
    <t>Proline</t>
  </si>
  <si>
    <t>A measurement of the proline in a biological specimen.</t>
  </si>
  <si>
    <t>Proline Measurement</t>
  </si>
  <si>
    <t>PROAP</t>
  </si>
  <si>
    <t>Proline Aminopeptidase</t>
  </si>
  <si>
    <t>Cytosol Aminopeptidase V; Proline Aminopeptidase; Proline Iminopeptidase; Prolyl Aminopeptidase</t>
  </si>
  <si>
    <t>A measurement of the proline aminopeptidase in a biological specimen.</t>
  </si>
  <si>
    <t>Proline Aminopeptidase Measurement</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</si>
  <si>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</si>
  <si>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</si>
  <si>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</si>
  <si>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</si>
  <si>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</si>
  <si>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PROCPRFN</t>
  </si>
  <si>
    <t>Number of Procedures Performed</t>
  </si>
  <si>
    <t>The number of procedures performed on or in an individual.</t>
  </si>
  <si>
    <t>PRODINEA</t>
  </si>
  <si>
    <t>Alphaprodine</t>
  </si>
  <si>
    <t>A measurement of the alphaprodine in a biological specimen.</t>
  </si>
  <si>
    <t>Alphaprodine Measurement</t>
  </si>
  <si>
    <t>PROGEST</t>
  </si>
  <si>
    <t>Progesterone</t>
  </si>
  <si>
    <t>A measurement of the progesterone hormone in a biological specimen.</t>
  </si>
  <si>
    <t>Progesterone Measurement</t>
  </si>
  <si>
    <t>PROGESTR</t>
  </si>
  <si>
    <t>Progesterone Receptor</t>
  </si>
  <si>
    <t>NR3C3; PGR; PgR; PR; Progesterone Receptor</t>
  </si>
  <si>
    <t>A measurement of the progesterone receptor protein in a biological specimen.</t>
  </si>
  <si>
    <t>Progesterone Receptor Measurement</t>
  </si>
  <si>
    <t>PROGRP</t>
  </si>
  <si>
    <t>Pro-gastrin Releasing Peptide</t>
  </si>
  <si>
    <t>Pro-gastrin Releasing Peptide; proGRP</t>
  </si>
  <si>
    <t>A measurement of the pro-gastrin releasing peptide in a biological specimen.</t>
  </si>
  <si>
    <t>Pro-gastrin Releasing Peptide Measurement</t>
  </si>
  <si>
    <t>PROINSUL</t>
  </si>
  <si>
    <t>Proinsulin</t>
  </si>
  <si>
    <t>A measurement of the proinsulin in a biological specimen.</t>
  </si>
  <si>
    <t>Proinsulin Measurement</t>
  </si>
  <si>
    <t>PROLCTN</t>
  </si>
  <si>
    <t>Prolactin</t>
  </si>
  <si>
    <t>A measurement of the prolactin hormone in a biological specimen.</t>
  </si>
  <si>
    <t>Prolactin Measurement</t>
  </si>
  <si>
    <t>PROLYM</t>
  </si>
  <si>
    <t>Prolymphocytes</t>
  </si>
  <si>
    <t>A measurement of the prolymphocytes in a biological specimen.</t>
  </si>
  <si>
    <t>Prolymphocyte Count</t>
  </si>
  <si>
    <t>PROLYMLY</t>
  </si>
  <si>
    <t>Prolymphocytes/Lymphocytes</t>
  </si>
  <si>
    <t>A relative measurement (ratio or percentage) of the prolymphocytes to all lymphocytes in a biological specimen.</t>
  </si>
  <si>
    <t>Prolymphocyte to Lymphocyte Ratio Measurement</t>
  </si>
  <si>
    <t>PROMONCE</t>
  </si>
  <si>
    <t>Promonocytes/Total Cells</t>
  </si>
  <si>
    <t>A relative measurement (ratio or percentage) of the promonocytes to total cells in a biological specimen (for example a bone marrow specimen).</t>
  </si>
  <si>
    <t>Promonocyte to Total Cell Ratio Measurement</t>
  </si>
  <si>
    <t>PROMONLE</t>
  </si>
  <si>
    <t>Promonocytes/Leukocytes</t>
  </si>
  <si>
    <t>A relative measurement (ratio or percentage) of the promonocytes to all leukocytes in a biological specimen.</t>
  </si>
  <si>
    <t>Promonocyte to Lymphocyte Ratio Measurement</t>
  </si>
  <si>
    <t>PROMONO</t>
  </si>
  <si>
    <t>Promonocytes</t>
  </si>
  <si>
    <t>A measurement of the promonocytes in a biological specimen.</t>
  </si>
  <si>
    <t>Promonocyte Count</t>
  </si>
  <si>
    <t>PROMY</t>
  </si>
  <si>
    <t>Promyelocytes</t>
  </si>
  <si>
    <t>A measurement of the promyelocytes (immature myelocytes) in a biological specimen.</t>
  </si>
  <si>
    <t>Promyelocyte Count</t>
  </si>
  <si>
    <t>PROMYB</t>
  </si>
  <si>
    <t>Promyeloblasts</t>
  </si>
  <si>
    <t>A measurement of the promyeloblasts in a biological specimen.</t>
  </si>
  <si>
    <t>Promyeloblasts Measurement</t>
  </si>
  <si>
    <t>PROMYCE</t>
  </si>
  <si>
    <t>Promyelocytes/Total Cells</t>
  </si>
  <si>
    <t>A relative measurement (ratio or percentage) of the promyelocytes (immature myelocytes) to total cells in a biological specimen (for example a bone marrow specimen).</t>
  </si>
  <si>
    <t>Promyelocyte to Total Cell Ratio Measurement</t>
  </si>
  <si>
    <t>PROMYLE</t>
  </si>
  <si>
    <t>Promyelocytes/Leukocytes</t>
  </si>
  <si>
    <t>A relative measurement (ratio or percentage) of the promyelocytes (immature myelocytes) to all leukocytes in a biological specimen.</t>
  </si>
  <si>
    <t>Promyelocyte to Lymphocyte Ratio Measurement</t>
  </si>
  <si>
    <t>PROPN</t>
  </si>
  <si>
    <t>Propionate</t>
  </si>
  <si>
    <t>Propionate; Propionic Acid</t>
  </si>
  <si>
    <t>A measurement of the propionate in a specimen.</t>
  </si>
  <si>
    <t>Propionate Measurement</t>
  </si>
  <si>
    <t>PROPNALD</t>
  </si>
  <si>
    <t>Propionaldehyde</t>
  </si>
  <si>
    <t>A measurement of the propionaldehyde in a specimen.</t>
  </si>
  <si>
    <t>Propionaldehyde Measurement</t>
  </si>
  <si>
    <t>PROPOX</t>
  </si>
  <si>
    <t>Propoxyphene</t>
  </si>
  <si>
    <t>A measurement of the propoxyphene present in a biological specimen.</t>
  </si>
  <si>
    <t>Propoxyphene Measurement</t>
  </si>
  <si>
    <t>PRORUB</t>
  </si>
  <si>
    <t>Prorubricyte</t>
  </si>
  <si>
    <t>Basophilic Erythroblast; Basophilic Normoblast; Prorubricyte</t>
  </si>
  <si>
    <t>A measurement of the prorubricytes in a biological specimen.</t>
  </si>
  <si>
    <t>Prorubricyte Count</t>
  </si>
  <si>
    <t>PRORUBCE</t>
  </si>
  <si>
    <t>Prorubricyte/Total Cells</t>
  </si>
  <si>
    <t>A relative measurement (ratio or percentage) of the prorubricytes to total cells in a biological specimen.</t>
  </si>
  <si>
    <t>Prorubricyte to Total Cell Ratio Measurement</t>
  </si>
  <si>
    <t>PROT</t>
  </si>
  <si>
    <t>Protein</t>
  </si>
  <si>
    <t>A measurement of the total protein in a biological specimen.</t>
  </si>
  <si>
    <t>Total Protein Measurement</t>
  </si>
  <si>
    <t>PROTCRT</t>
  </si>
  <si>
    <t>Protein/Creatinine</t>
  </si>
  <si>
    <t>A relative measurement (ratio or percentage) of the total protein to creatinine in a biological specimen.</t>
  </si>
  <si>
    <t>Protein to Creatinine Ratio Measurement</t>
  </si>
  <si>
    <t>PROTDNA</t>
  </si>
  <si>
    <t>Proteus DNA</t>
  </si>
  <si>
    <t>Proteus DNA; Proteus Species DNA; Proteus spp DNA</t>
  </si>
  <si>
    <t>A measurement of the DNA from any member of the genus Proteus in a biological specimen.</t>
  </si>
  <si>
    <t>Proteus DNA Measurement</t>
  </si>
  <si>
    <t>PROTEXR</t>
  </si>
  <si>
    <t>Protein Excretion Rate</t>
  </si>
  <si>
    <t>A measurement of the amount of total protein being excreted in a biological specimen over a defined amount of time (e.g. one hour).</t>
  </si>
  <si>
    <t>PROTOSML</t>
  </si>
  <si>
    <t>Protein/Osmolality</t>
  </si>
  <si>
    <t>Protein/Osmolality; Protein/Osmolality Ratio</t>
  </si>
  <si>
    <t>A relative measurement (ratio or percentage) of total proteins to the osmolality of a biological specimen.</t>
  </si>
  <si>
    <t>Protein to Osmolality Ratio Measurement</t>
  </si>
  <si>
    <t>PROTOZOA</t>
  </si>
  <si>
    <t>Protozoa</t>
  </si>
  <si>
    <t>A measurement of protozoa in a biological specimen.</t>
  </si>
  <si>
    <t>Protozoa Measurement</t>
  </si>
  <si>
    <t>PROTPATN</t>
  </si>
  <si>
    <t>Protein Pattern</t>
  </si>
  <si>
    <t>A measurement of the protein band pattern in a biological specimen.</t>
  </si>
  <si>
    <t>Protein Pattern Measurement</t>
  </si>
  <si>
    <t>PROTRPTL</t>
  </si>
  <si>
    <t>Protriptyline</t>
  </si>
  <si>
    <t>A measurement of the protriptyline present in a biological specimen.</t>
  </si>
  <si>
    <t>Protriptyline Measurement</t>
  </si>
  <si>
    <t>PROTS</t>
  </si>
  <si>
    <t>Protein S</t>
  </si>
  <si>
    <t>A measurement of the total protein S in a biological specimen.</t>
  </si>
  <si>
    <t>Protein S Measurement</t>
  </si>
  <si>
    <t>PROTSFR</t>
  </si>
  <si>
    <t>Protein S, Free</t>
  </si>
  <si>
    <t>A measurement of the unbound protein S in a biological specimen.</t>
  </si>
  <si>
    <t>Free Protein S Measurement</t>
  </si>
  <si>
    <t>PRPYLGLY</t>
  </si>
  <si>
    <t>Propylene Glycol</t>
  </si>
  <si>
    <t>a-Propylene Glycol; Alpha Propylene Glycol; Propane-1,2-diol; Propylene Glycol</t>
  </si>
  <si>
    <t>A measurement of the propylene glycol in a specimen.</t>
  </si>
  <si>
    <t>Propylene Glycol Measurement</t>
  </si>
  <si>
    <t>PRPYLOX</t>
  </si>
  <si>
    <t>Propylene Oxide</t>
  </si>
  <si>
    <t>1,2-Epoxypropane; 2-Methyloxirane; Propylene Oxide</t>
  </si>
  <si>
    <t>A measurement of the propylene oxide in a specimen.</t>
  </si>
  <si>
    <t>Propylene Oxide Measurement</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</si>
  <si>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</si>
  <si>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</si>
  <si>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</si>
  <si>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</si>
  <si>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</si>
  <si>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</si>
  <si>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</si>
  <si>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</si>
  <si>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</si>
  <si>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PRSEGSB</t>
  </si>
  <si>
    <t>PR Segment, Single Beat</t>
  </si>
  <si>
    <t>An electrocardiographic interval measured from the end of the P wave to the onset of the QRS complex of a single beat utilizing one or more leads.</t>
  </si>
  <si>
    <t>Single Beat PR Segment</t>
  </si>
  <si>
    <t>PRSPSN</t>
  </si>
  <si>
    <t>Presepsin</t>
  </si>
  <si>
    <t>Presepsin; sCD14-ST; Soluble CD14 Subtype</t>
  </si>
  <si>
    <t>A measurement of the presepsin in a biological specimen.</t>
  </si>
  <si>
    <t>Presepsin Measurement</t>
  </si>
  <si>
    <t>PRSTNZL</t>
  </si>
  <si>
    <t>Prostanozol</t>
  </si>
  <si>
    <t>A measurement of the prostanozol in a biological specimen.</t>
  </si>
  <si>
    <t>Prostanozol Measurement</t>
  </si>
  <si>
    <t>PRSUCIND</t>
  </si>
  <si>
    <t>Procedure Success Indicator</t>
  </si>
  <si>
    <t>An indication as to whether the procedure is considered successful.</t>
  </si>
  <si>
    <t>PRTLENG</t>
  </si>
  <si>
    <t>Portion Length</t>
  </si>
  <si>
    <t>The length of an individual unit of use along the longest edge.</t>
  </si>
  <si>
    <t>PRTMASS</t>
  </si>
  <si>
    <t>Portion Mass</t>
  </si>
  <si>
    <t>The mass of an individual unit of use.</t>
  </si>
  <si>
    <t>PRTMPOR</t>
  </si>
  <si>
    <t>Pouch Material Porosity</t>
  </si>
  <si>
    <t>The amount of empty space in the paper material of a pouch.</t>
  </si>
  <si>
    <t>PRTMWGT</t>
  </si>
  <si>
    <t>Pouch Material Basis Weight</t>
  </si>
  <si>
    <t>The weight of a paper material based on standard size.</t>
  </si>
  <si>
    <t>PRTTHICK</t>
  </si>
  <si>
    <t>Portion Material Thickness</t>
  </si>
  <si>
    <t>The distance between two opposing sides of the same fully-connected surface within an individual unit of use.</t>
  </si>
  <si>
    <t>PRTWDTH</t>
  </si>
  <si>
    <t>Portion Width</t>
  </si>
  <si>
    <t>The width of an individual unit of use along the second longest edge.</t>
  </si>
  <si>
    <t>PRURIND</t>
  </si>
  <si>
    <t>Pruritus Indicator</t>
  </si>
  <si>
    <t>An indicator as to whether the subject has symptoms of itchiness.</t>
  </si>
  <si>
    <t>PRUSTAT</t>
  </si>
  <si>
    <t>Procedure Urgency Status Type</t>
  </si>
  <si>
    <t>The degree of urgency in which a medical procedure must be performed.</t>
  </si>
  <si>
    <t>Triage Status</t>
  </si>
  <si>
    <t>PRVPREGN</t>
  </si>
  <si>
    <t>Number of Previous Pregnancies</t>
  </si>
  <si>
    <t>A measurement of the total number of pregnancy events experienced by the female subject prior to the current pregnancy.</t>
  </si>
  <si>
    <t>PRXNTHN</t>
  </si>
  <si>
    <t>Paraxanthine</t>
  </si>
  <si>
    <t>1,7-dimethylxanthine; Paraxanthine</t>
  </si>
  <si>
    <t>A measurement of the paraxanthine in a specimen.</t>
  </si>
  <si>
    <t>Paraxanthine Measurement</t>
  </si>
  <si>
    <t>PRYSTUOG</t>
  </si>
  <si>
    <t>Primary Site of Tumor Origin</t>
  </si>
  <si>
    <t>The anatomical location of the primary tumor site of disease.</t>
  </si>
  <si>
    <t>Primary Tumor Site</t>
  </si>
  <si>
    <t>PRZPM</t>
  </si>
  <si>
    <t>Prazepam</t>
  </si>
  <si>
    <t>A measurement of the prazepam present in a biological specimen.</t>
  </si>
  <si>
    <t>Prazepam Measurement</t>
  </si>
  <si>
    <t>PSA</t>
  </si>
  <si>
    <t>Prostate Specific Antigen</t>
  </si>
  <si>
    <t>A measurement of the total prostate specific antigen in a biological specimen.</t>
  </si>
  <si>
    <t>Prostate Specific Antigen Measurement</t>
  </si>
  <si>
    <t>PSAF</t>
  </si>
  <si>
    <t>Prostate Specific Antigen, Free</t>
  </si>
  <si>
    <t>A measurement of the unbound prostate-specific antigen in a biological specimen.</t>
  </si>
  <si>
    <t>Free Prostate Specific Antigen Measurement</t>
  </si>
  <si>
    <t>PSAFPSAT</t>
  </si>
  <si>
    <t>PSA, Free/PSA</t>
  </si>
  <si>
    <t>A relative measurement (percentage) of the free prostate specific antigen to total prostate specific antigen in a biological specimen.</t>
  </si>
  <si>
    <t>Free PSA to Total PSA Ratio Measurement</t>
  </si>
  <si>
    <t>PSAMRNA</t>
  </si>
  <si>
    <t>Prostate Specific Antigen mRNA</t>
  </si>
  <si>
    <t>A measurement of the prostate-specific antigen mRNA in a biological specimen.</t>
  </si>
  <si>
    <t>Prostate Specific Antigen mRNA Measurement</t>
  </si>
  <si>
    <t>PSDEPHD</t>
  </si>
  <si>
    <t>Pseudoephedrine</t>
  </si>
  <si>
    <t>A measurement of the pseudoephedrine present in a biological specimen.</t>
  </si>
  <si>
    <t>Pseudoephedrine Measurement</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</si>
  <si>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</si>
  <si>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</si>
  <si>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</si>
  <si>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</si>
  <si>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</si>
  <si>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PSELECT</t>
  </si>
  <si>
    <t>P-Selectin</t>
  </si>
  <si>
    <t>GMP-140; P-Selectin</t>
  </si>
  <si>
    <t>A measurement of total P-selectin in a biological specimen.</t>
  </si>
  <si>
    <t>P-Selectin Measurement</t>
  </si>
  <si>
    <t>PSELECTS</t>
  </si>
  <si>
    <t>Soluble P-Selectin</t>
  </si>
  <si>
    <t>A measurement of the soluble P-selectin in a biological specimen.</t>
  </si>
  <si>
    <t>Soluble P-Selectin Measurement</t>
  </si>
  <si>
    <t>PSEUDOMO</t>
  </si>
  <si>
    <t>Pseudomonas</t>
  </si>
  <si>
    <t>A measurement of the organisms that are not assigned to the species level but are assigned to the Pseudomonas genus level in a biological specimen.</t>
  </si>
  <si>
    <t>Pseudomonas Measurement</t>
  </si>
  <si>
    <t>PSHDNA</t>
  </si>
  <si>
    <t>Plesiomonas shigelloides DNA</t>
  </si>
  <si>
    <t>A measurement of the Plesiomonas shigelloides DNA in a biological specimen.</t>
  </si>
  <si>
    <t>Plesiomonas shigelloides DNA Measurement</t>
  </si>
  <si>
    <t>PSLCYBN</t>
  </si>
  <si>
    <t>Psilocybin</t>
  </si>
  <si>
    <t>Magic Mushrooms; Psilocybin; Psilocybine</t>
  </si>
  <si>
    <t>A measurement of the psilocybin in a biological specimen.</t>
  </si>
  <si>
    <t>Psilocybine Measurement</t>
  </si>
  <si>
    <t>PSST</t>
  </si>
  <si>
    <t>Pressure Support Setting</t>
  </si>
  <si>
    <t>A device setting that regulates and provides a consistent inspiratory pressure to enable partially or fully supported spontaneous breaths in a subject.</t>
  </si>
  <si>
    <t>Pressure Support Device Setting</t>
  </si>
  <si>
    <t>PST</t>
  </si>
  <si>
    <t>Providencia stuartii</t>
  </si>
  <si>
    <t>A measurement of the Providencia staurtii in a biological specimen.</t>
  </si>
  <si>
    <t>Providencia stuartee Measurement</t>
  </si>
  <si>
    <t>PSUSPIND</t>
  </si>
  <si>
    <t>Pregnancy Suspected Indicator</t>
  </si>
  <si>
    <t>An indication as to whether the subject or associated person suspects that they are pregnant at the time the question is asked.</t>
  </si>
  <si>
    <t>Prothrombin Time</t>
  </si>
  <si>
    <t>A blood clotting measurement that evaluates the extrinsic pathway of coagulation.</t>
  </si>
  <si>
    <t>PTA</t>
  </si>
  <si>
    <t>Prothrombin Activity</t>
  </si>
  <si>
    <t>Factor II Activity; Prothrombin Activity</t>
  </si>
  <si>
    <t>A measurement of the biological activity of coagulation factor prothrombin in a biological specimen.</t>
  </si>
  <si>
    <t>Prothrombin Activity Measurement</t>
  </si>
  <si>
    <t>PTAC</t>
  </si>
  <si>
    <t>Prothrombin Time Actual/Control</t>
  </si>
  <si>
    <t>A relative measurement (ratio or percentage) of the prothrombin time in a subject's specimen when compared to a control specimen.</t>
  </si>
  <si>
    <t>Prothrombin Time Actual to Control Ratio Measurement</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</si>
  <si>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</si>
  <si>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</si>
  <si>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</si>
  <si>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</si>
  <si>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</si>
  <si>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PTF1</t>
  </si>
  <si>
    <t>Prothrombin Fragment 1</t>
  </si>
  <si>
    <t>A measurement of the prothrombin fragment 1 in a biological specimen.</t>
  </si>
  <si>
    <t>Prothrombin Fragment 1 Measurement</t>
  </si>
  <si>
    <t>PTF1_2</t>
  </si>
  <si>
    <t>Prothrombin Fragments 1 + 2</t>
  </si>
  <si>
    <t>A measurement of the prothrombin fragments 1 and 2 in a biological specimen.</t>
  </si>
  <si>
    <t>Prothrombin Fragments 1 and 2 Measurement</t>
  </si>
  <si>
    <t>PTF2</t>
  </si>
  <si>
    <t>Prothrombin Fragment 2</t>
  </si>
  <si>
    <t>A measurement of the prothrombin fragment 2 in a biological specimen.</t>
  </si>
  <si>
    <t>Prothrombin Fragment 2 Measurement</t>
  </si>
  <si>
    <t>PTHCT</t>
  </si>
  <si>
    <t>Parathyroid Hormone, C-Terminal</t>
  </si>
  <si>
    <t>Parathyrin Hormone, C-Terminal; Parathyroid Hormone, C-Terminal</t>
  </si>
  <si>
    <t>A measurement of the C-terminal fragment of parathyroid hormone in a biological specimen.</t>
  </si>
  <si>
    <t>C-Terminal Parathyroid Hormone Measurement</t>
  </si>
  <si>
    <t>PTHFG</t>
  </si>
  <si>
    <t>Parathyroid Hormone, Fragmented</t>
  </si>
  <si>
    <t>Parathyrin Hormone, Fragmented; Parathyroid Hormone, Fragmented</t>
  </si>
  <si>
    <t>A measurement of the fragmented parathyroid hormone in a biological specimen.</t>
  </si>
  <si>
    <t>Fragmented Parathyroid Hormone Measurement</t>
  </si>
  <si>
    <t>PTHI</t>
  </si>
  <si>
    <t>Parathyroid Hormone, Intact</t>
  </si>
  <si>
    <t>Parathyrin, Intact; Parathyroid Hormone, Intact</t>
  </si>
  <si>
    <t>A measurement of the intact parathyroid hormone (consisting of amino acids 1-84 or 7-84) in a biological specimen.</t>
  </si>
  <si>
    <t>Intact Parathyroid Hormone Measurement</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</si>
  <si>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</si>
  <si>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</si>
  <si>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</si>
  <si>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</si>
  <si>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</si>
  <si>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PTHNT</t>
  </si>
  <si>
    <t>Parathyroid Hormone, N-Terminal</t>
  </si>
  <si>
    <t>Parathyrin Hormone, N-Terminal; Parathyroid Hormone, N-Terminal</t>
  </si>
  <si>
    <t>A measurement of the N-terminal fragment of parathyroid hormone in a biological specimen.</t>
  </si>
  <si>
    <t>N-Terminal Parathyroid Hormone Measurement</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</si>
  <si>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</si>
  <si>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</si>
  <si>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</si>
  <si>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</si>
  <si>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</si>
  <si>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PTHW</t>
  </si>
  <si>
    <t>Parathyroid Hormone, Whole</t>
  </si>
  <si>
    <t>Parathyrin Hormone, Whole; Parathyroid Hormone, Whole</t>
  </si>
  <si>
    <t>A measurement of the whole parathyroid hormone (consisting of amino acids 1-84) in a biological specimen.</t>
  </si>
  <si>
    <t>Whole Parathyroid Hormone Measurement</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</si>
  <si>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</si>
  <si>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</si>
  <si>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</si>
  <si>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</si>
  <si>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</si>
  <si>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PTSAC</t>
  </si>
  <si>
    <t>Protein S Actual/Control</t>
  </si>
  <si>
    <t>A relative measurement (ratio or percentage) of the protein S in a subject's specimen when compared to a control specimen.</t>
  </si>
  <si>
    <t>Protein S Actual to Control Ratio Measurement</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</si>
  <si>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</si>
  <si>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</si>
  <si>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</si>
  <si>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</si>
  <si>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</si>
  <si>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PTSFAC</t>
  </si>
  <si>
    <t>Protein S, Free Actual/Control</t>
  </si>
  <si>
    <t>A relative measurement (ratio or percentage) of the free protein S in a subject's specimen when compared to a control specimen.</t>
  </si>
  <si>
    <t>Free Protein S Actual to Control Ratio Measurement</t>
  </si>
  <si>
    <t>PTSIND</t>
  </si>
  <si>
    <t>Primary Tumor Site Indicator</t>
  </si>
  <si>
    <t>An indication as to whether an anatomical location is the primary tumor site of disease.</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</si>
  <si>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</si>
  <si>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</si>
  <si>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</si>
  <si>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</si>
  <si>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</si>
  <si>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</si>
  <si>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</si>
  <si>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</si>
  <si>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PUBAGE</t>
  </si>
  <si>
    <t>Puberty Age</t>
  </si>
  <si>
    <t>The age at which puberty began.</t>
  </si>
  <si>
    <t>PUBIND</t>
  </si>
  <si>
    <t>Puberty Indicator</t>
  </si>
  <si>
    <t>An indication as to whether the individual is undergoing or has undergone puberty.</t>
  </si>
  <si>
    <t>PUFCNT</t>
  </si>
  <si>
    <t>Puff Count</t>
  </si>
  <si>
    <t>The number of draws a tobacco product will deliver.</t>
  </si>
  <si>
    <t>PUFFBLCK</t>
  </si>
  <si>
    <t>Puff Block</t>
  </si>
  <si>
    <t>A device setting that determines and regulates the relative measurement (percentage) of the amount of filter vents that are blocked to total filter vents on an inhalational smoking device during a puff event.</t>
  </si>
  <si>
    <t>Puff Block Device Setting</t>
  </si>
  <si>
    <t>PUFFDUR</t>
  </si>
  <si>
    <t>Puff Duration</t>
  </si>
  <si>
    <t>A device setting that determines and regulates the length of time over which an inhalational puff occurs.</t>
  </si>
  <si>
    <t>Puff Duration Device Setting</t>
  </si>
  <si>
    <t>PUFFINT</t>
  </si>
  <si>
    <t>Puff Interval</t>
  </si>
  <si>
    <t>A device setting that determines and regulates the number of inhalational puffs that can occur per unit of time.</t>
  </si>
  <si>
    <t>Puff Interval Device Setting</t>
  </si>
  <si>
    <t>PUFFNUM</t>
  </si>
  <si>
    <t>Number of Puffs</t>
  </si>
  <si>
    <t>Number of Puffs; Total Number of Puffs</t>
  </si>
  <si>
    <t>A device setting that determines and regulates the total number of inhalational puffs taken.</t>
  </si>
  <si>
    <t>Number of Puffs Device Setting</t>
  </si>
  <si>
    <t>PUFFPAUS</t>
  </si>
  <si>
    <t>Puff Pause</t>
  </si>
  <si>
    <t>A device setting that determines and regulates the time of temporary cessation of inhalational puffs after the completion of a predetermined set of inhalational puffs.</t>
  </si>
  <si>
    <t>Puff Pause Device Setting</t>
  </si>
  <si>
    <t>PUFFPINT</t>
  </si>
  <si>
    <t>Puff Pause Interval</t>
  </si>
  <si>
    <t>A device setting that determines and regulates the number of inhalational puffs that can be taken before a puff pause occurs.</t>
  </si>
  <si>
    <t>Puff Pause Interval Device Setting</t>
  </si>
  <si>
    <t>PUFFPROF</t>
  </si>
  <si>
    <t>Puff Profile</t>
  </si>
  <si>
    <t>A device setting that determines and regulates the pattern describing a characteristic inhalational puffing behavior described by measures such as puff volume, duration, frequency, flow, and interpuff intervals.</t>
  </si>
  <si>
    <t>Puff Profile Device Setting</t>
  </si>
  <si>
    <t>PUFFRNG</t>
  </si>
  <si>
    <t>Puff Range</t>
  </si>
  <si>
    <t>Puff Range; Puff Range of Sample Collection</t>
  </si>
  <si>
    <t>A device setting that determines and regulates the upper and lower limit of a range of puffs over which specimen or sample collection occurs.</t>
  </si>
  <si>
    <t>Puff Range Device Setting</t>
  </si>
  <si>
    <t>PUFFVOL</t>
  </si>
  <si>
    <t>Puff Volume</t>
  </si>
  <si>
    <t>A device setting that determines and regulates the volume leaving the device and made available for each inhalation puff.</t>
  </si>
  <si>
    <t>Puff Volume Device Setting</t>
  </si>
  <si>
    <t>PULOXIND</t>
  </si>
  <si>
    <t>Pulse Oximeter Indicator</t>
  </si>
  <si>
    <t>An indication as to whether a pulse oximeter is used in the assessment.</t>
  </si>
  <si>
    <t>Pulse Oximeter Use Indicator</t>
  </si>
  <si>
    <t>PULSE</t>
  </si>
  <si>
    <t>Pulse Rate</t>
  </si>
  <si>
    <t>The rate of the pulse as observed in an artery, expressed as beats per minute. It can be measured at several anatomical sites, including the wrist, neck, temple, groin, behind the knees, or on top of the foot. (NCI)</t>
  </si>
  <si>
    <t>PULSEPR</t>
  </si>
  <si>
    <t>Pulse Pressure</t>
  </si>
  <si>
    <t>The change in systolic to diastolic pressure which produces a pulse.</t>
  </si>
  <si>
    <t>PULSSEQ</t>
  </si>
  <si>
    <t>Pulse Sequence</t>
  </si>
  <si>
    <t>A serially recurrent arrangement of radiofrequency pulses that are applied to the sample. (NCI)</t>
  </si>
  <si>
    <t>PUS</t>
  </si>
  <si>
    <t>Pus</t>
  </si>
  <si>
    <t>A measurement of the pus in a biological specimen.</t>
  </si>
  <si>
    <t>Pus Measurement</t>
  </si>
  <si>
    <t>PUSTIND</t>
  </si>
  <si>
    <t>Pustule Indicator</t>
  </si>
  <si>
    <t>An indication as to whether a pustule is present.</t>
  </si>
  <si>
    <t>PVEINDOM</t>
  </si>
  <si>
    <t>Pulmonary Vein Dominance</t>
  </si>
  <si>
    <t>The determination of whether blood flow in the pulmonary veins is greater during ventricular systole or diastole.</t>
  </si>
  <si>
    <t>PVR</t>
  </si>
  <si>
    <t>Pulmonary Vascular Resistance</t>
  </si>
  <si>
    <t>The resistance to blood flow through the pulmonary vasculature.</t>
  </si>
  <si>
    <t>PVRGF</t>
  </si>
  <si>
    <t>Pulmonary Valve Regurgitant Fraction</t>
  </si>
  <si>
    <t>A measurement of the volume of retrograde blood flow across the orifice of the pulmonic valve expressed as a percentage of the anterograde flow volume.</t>
  </si>
  <si>
    <t>PVRGJW</t>
  </si>
  <si>
    <t>Pulmonic Valve Regurgitant Jet Width</t>
  </si>
  <si>
    <t>The measured width of the regurgitant jet of blood into the right ventricular outflow tract.</t>
  </si>
  <si>
    <t>PVRGVOL</t>
  </si>
  <si>
    <t>Pulmonary Valve Regurgitant Volume</t>
  </si>
  <si>
    <t>A measurement of the volume of retrograde blood flow across the orifice of the pulmonic valve.</t>
  </si>
  <si>
    <t>PVU</t>
  </si>
  <si>
    <t>Proteus vulgaris</t>
  </si>
  <si>
    <t>A measurement of the Proteus vulgaris in a biological specimen.</t>
  </si>
  <si>
    <t>Proteus vulgaris Measurement</t>
  </si>
  <si>
    <t>PVVCA</t>
  </si>
  <si>
    <t>Pulmonary Valve Vena Contracta Area</t>
  </si>
  <si>
    <t>The area of the vena contracta of the pulmonic valve.</t>
  </si>
  <si>
    <t>PVVCW</t>
  </si>
  <si>
    <t>Pulmonary Valve Vena Contracta Width</t>
  </si>
  <si>
    <t>The width of the vena contracta of the pulmonic valve.</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</si>
  <si>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</si>
  <si>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</si>
  <si>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</si>
  <si>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</si>
  <si>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PWDURSB</t>
  </si>
  <si>
    <t>P Wave Duration, Single Beat</t>
  </si>
  <si>
    <t>An electrocardiographic interval measured from the onset of the P wave to the offset of the P wave of a single beat utilizing one or more leads.</t>
  </si>
  <si>
    <t>Single Beat P Wave Duration</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</si>
  <si>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</si>
  <si>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</si>
  <si>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</si>
  <si>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</si>
  <si>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</si>
  <si>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</si>
  <si>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</si>
  <si>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</si>
  <si>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PWV</t>
  </si>
  <si>
    <t>Pulse Wave Velocity</t>
  </si>
  <si>
    <t>The distance traveled by the peak of the ventricular ejection pressure wave per unit of time.</t>
  </si>
  <si>
    <t>PYDCREAT</t>
  </si>
  <si>
    <t>Pyridinoline/Creatinine</t>
  </si>
  <si>
    <t>A relative measurement (ratio or percentage) of the pyridinoline to creatinine in a biological specimen.</t>
  </si>
  <si>
    <t>Pyridinoline to Creatinine Ratio Measurement</t>
  </si>
  <si>
    <t>PYK</t>
  </si>
  <si>
    <t>Pyruvate Kinase</t>
  </si>
  <si>
    <t>PK; Pyruvate Kinase</t>
  </si>
  <si>
    <t>A measurement of the total pyruvate kinase in a biological specimen.</t>
  </si>
  <si>
    <t>Pyruvate Kinase Measurement</t>
  </si>
  <si>
    <t>PYKCE</t>
  </si>
  <si>
    <t>Pyknotic Cells</t>
  </si>
  <si>
    <t>Karyopyknotic Cells; Pyknotic Cells</t>
  </si>
  <si>
    <t>A measurement of the pyknotic cells in a biological specimen.</t>
  </si>
  <si>
    <t>Pyknotic Cell Count</t>
  </si>
  <si>
    <t>PYOCYTES</t>
  </si>
  <si>
    <t>Pyocytes</t>
  </si>
  <si>
    <t>A measurement of the pyocytes in a biological specimen.</t>
  </si>
  <si>
    <t>Pyocytes Measurement</t>
  </si>
  <si>
    <t>PYRIDNLN</t>
  </si>
  <si>
    <t>Pyridinoline</t>
  </si>
  <si>
    <t>A measurement of the pyridinoline in a biological specimen.</t>
  </si>
  <si>
    <t>Pyridinoline Measurement</t>
  </si>
  <si>
    <t>PYROVLRN</t>
  </si>
  <si>
    <t>Pyrovalerone</t>
  </si>
  <si>
    <t>A measurement of the pyrovalerone in a biological specimen.</t>
  </si>
  <si>
    <t>Pyrovalerone Measurement</t>
  </si>
  <si>
    <t>PYRUVATE</t>
  </si>
  <si>
    <t>Pyruvate</t>
  </si>
  <si>
    <t>Pyruvate; Pyruvic Acid</t>
  </si>
  <si>
    <t>A measurement of the pyruvate in a biological specimen.</t>
  </si>
  <si>
    <t>Pyruvate Measurement</t>
  </si>
  <si>
    <t>PYY</t>
  </si>
  <si>
    <t>Peptide YY</t>
  </si>
  <si>
    <t>Peptide Tyrosine Tyrosine; Peptide YY</t>
  </si>
  <si>
    <t>A measurement of the peptide YY in a biological specimen.</t>
  </si>
  <si>
    <t>Peptide YY Measurement</t>
  </si>
  <si>
    <t>QOLIMP</t>
  </si>
  <si>
    <t>QOL Impact</t>
  </si>
  <si>
    <t>QOL Impact; Quality of Life Impact</t>
  </si>
  <si>
    <t>The effect or consequence of an event or condition on an individual's sense of well-being and ability to enjoy life.</t>
  </si>
  <si>
    <t>Quality of Life Impact</t>
  </si>
  <si>
    <t>QRS_AXIS</t>
  </si>
  <si>
    <t>QRS Axis</t>
  </si>
  <si>
    <t>A numerical representation of the electrocardiographic vector assessed at maximum deviation of the QRS complex from the isoelectric baseline, usually reported for the frontal plane.</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</si>
  <si>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</si>
  <si>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</si>
  <si>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</si>
  <si>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</si>
  <si>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QRSSB</t>
  </si>
  <si>
    <t>QRS Duration, Single Beat</t>
  </si>
  <si>
    <t>An electrocardiographic interval measured from the onset of the QRS complex to the offset of the QRS complex of a single beat utilizing one or more leads.</t>
  </si>
  <si>
    <t>Single Beat QRS Duration</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</si>
  <si>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</si>
  <si>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</si>
  <si>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</si>
  <si>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</si>
  <si>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</si>
  <si>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</si>
  <si>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</si>
  <si>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</si>
  <si>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</si>
  <si>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</si>
  <si>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</si>
  <si>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</si>
  <si>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</si>
  <si>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</si>
  <si>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</si>
  <si>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</si>
  <si>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</si>
  <si>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</si>
  <si>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</si>
  <si>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</si>
  <si>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</si>
  <si>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</si>
  <si>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</si>
  <si>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</si>
  <si>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QTCBSB</t>
  </si>
  <si>
    <t>QTcB Interval, Single Beat</t>
  </si>
  <si>
    <t>A QT single beat interval that is corrected for heart rate using Bazett's formula, based on a QT interval measured on a single beat utilizing one or more ECG leads.</t>
  </si>
  <si>
    <t>Single Beat QTCB Interval</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</si>
  <si>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</si>
  <si>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</si>
  <si>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</si>
  <si>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</si>
  <si>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QTCFSB</t>
  </si>
  <si>
    <t>QTcF Interval, Single Beat</t>
  </si>
  <si>
    <t>A QT single beat interval that is corrected for heart rate using Fridericia's formula, based on a QT interval measured on a single beat utilizing one or more ECG leads.</t>
  </si>
  <si>
    <t>Single Beat QTCF Interval</t>
  </si>
  <si>
    <t>QTCLAG</t>
  </si>
  <si>
    <t>QTcL Interval, Aggregate</t>
  </si>
  <si>
    <t>A QT aggregate interval corrected for heart rate using a linear correction formula.</t>
  </si>
  <si>
    <t>Aggregate QTcL Interval</t>
  </si>
  <si>
    <t>QTCLSB</t>
  </si>
  <si>
    <t>QTcL Interval, Single Beat</t>
  </si>
  <si>
    <t>A QT single beat interval corrected for heart rate using a linear correction formula.</t>
  </si>
  <si>
    <t>Single Beat QTcL Interval</t>
  </si>
  <si>
    <t>QTCUNS</t>
  </si>
  <si>
    <t>QTc Correction Method Unspecified</t>
  </si>
  <si>
    <t>A QT interval that is corrected for heart rate by unspecified correction method, or by non-standard correction methods.</t>
  </si>
  <si>
    <t>Corrected QT Interval</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</si>
  <si>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</si>
  <si>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</si>
  <si>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</si>
  <si>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</si>
  <si>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</si>
  <si>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</si>
  <si>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</si>
  <si>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</si>
  <si>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</si>
  <si>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</si>
  <si>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QTCVAG</t>
  </si>
  <si>
    <t>QTcV Interval, Aggregate</t>
  </si>
  <si>
    <t>A QT aggregate interval corrected for heart rate using the Van der Water's correction formula.</t>
  </si>
  <si>
    <t>Aggregate QTcV Interval</t>
  </si>
  <si>
    <t>QTCVSB</t>
  </si>
  <si>
    <t>QTcV Interval, Single Beat</t>
  </si>
  <si>
    <t>A QT single beat interval corrected for heart rate using the Van der Water's correction formula.</t>
  </si>
  <si>
    <t>Single Beat QTcV Interval</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</si>
  <si>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</si>
  <si>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</si>
  <si>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</si>
  <si>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</si>
  <si>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</si>
  <si>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</si>
  <si>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</si>
  <si>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</si>
  <si>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QTSB</t>
  </si>
  <si>
    <t>QT Interval, Single Beat</t>
  </si>
  <si>
    <t>An electrocardiographic interval measured from the onset of the QRS complex to the offset of the T wave of a single beat utilizing one or more leads.</t>
  </si>
  <si>
    <t>Single Beat QT Interval</t>
  </si>
  <si>
    <t>QUALITY</t>
  </si>
  <si>
    <t>Quality</t>
  </si>
  <si>
    <t>An assessment of excellence, worth, or fitness for use.</t>
  </si>
  <si>
    <t>QUASCOMP</t>
  </si>
  <si>
    <t>Quasi-Static Compliance</t>
  </si>
  <si>
    <t>The static elastic recoil pressure of the lungs at a given lung volume.</t>
  </si>
  <si>
    <t>QUETIAPN</t>
  </si>
  <si>
    <t>Quetiapine</t>
  </si>
  <si>
    <t>A measurement of the quetiapine in a biological specimen.</t>
  </si>
  <si>
    <t>Quetiapine Measurement</t>
  </si>
  <si>
    <t>QUINOLIN</t>
  </si>
  <si>
    <t>Quinoline</t>
  </si>
  <si>
    <t>A measurement of the quinoline in a specimen.</t>
  </si>
  <si>
    <t>Quinoline Measurement</t>
  </si>
  <si>
    <t>QUZPM</t>
  </si>
  <si>
    <t>Quazepam</t>
  </si>
  <si>
    <t>A measurement of the quazepam in a biological specimen.</t>
  </si>
  <si>
    <t>Quazepam Measurement</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</si>
  <si>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</si>
  <si>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</si>
  <si>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</si>
  <si>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</si>
  <si>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</si>
  <si>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</si>
  <si>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</si>
  <si>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</si>
  <si>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RADIODEN</t>
  </si>
  <si>
    <t>Radiodensity</t>
  </si>
  <si>
    <t>The transparency of a material to the passage of X-rays and other forms of radiation.</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</si>
  <si>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</si>
  <si>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</si>
  <si>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</si>
  <si>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</si>
  <si>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</si>
  <si>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RANDCORR</t>
  </si>
  <si>
    <t>Randoms Correction Indicator</t>
  </si>
  <si>
    <t>An indication as to whether the device was set to correct for random noise generated by deflected positrons.</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</si>
  <si>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</si>
  <si>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</si>
  <si>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</si>
  <si>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</si>
  <si>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</si>
  <si>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</si>
  <si>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</si>
  <si>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</si>
  <si>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</si>
  <si>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</si>
  <si>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RASHIND</t>
  </si>
  <si>
    <t>Rash Indicator</t>
  </si>
  <si>
    <t>An indication as to whether rash is present.</t>
  </si>
  <si>
    <t>RAW</t>
  </si>
  <si>
    <t>Airway Resistance</t>
  </si>
  <si>
    <t>A measurement of respiratory tract resistance to airflow during inspiration and expiration.</t>
  </si>
  <si>
    <t>RAWPP</t>
  </si>
  <si>
    <t>Percent Predicted Airway Resistance</t>
  </si>
  <si>
    <t>A measurement of respiratory tract resistance to airflow during inspiration and expiration, as a proportion of the predicted normal value.</t>
  </si>
  <si>
    <t>RBC</t>
  </si>
  <si>
    <t>Erythrocytes</t>
  </si>
  <si>
    <t>Erythrocytes; Red Blood Cells</t>
  </si>
  <si>
    <t>A measurement of the total erythrocytes in a biological specimen.</t>
  </si>
  <si>
    <t>Erythrocyte Count</t>
  </si>
  <si>
    <t>RBCAGGLU</t>
  </si>
  <si>
    <t>Erythrocyte Agglutination</t>
  </si>
  <si>
    <t>Autoagglutination; Erythrocyte Agglutination; RBC Agglutination</t>
  </si>
  <si>
    <t>A measurement of the erythrocyte agglutination in a biological specimen.</t>
  </si>
  <si>
    <t>Erythrocyte Agglutination Measurement</t>
  </si>
  <si>
    <t>RBCCLMP</t>
  </si>
  <si>
    <t>Erythrocyte Cell Clumps</t>
  </si>
  <si>
    <t>Erythrocyte Cell Clumps; RBC Aggregates; RBC Clumps; Red Blood Cell Clumps</t>
  </si>
  <si>
    <t>A measurement of red blood cell clumps in a biological specimen.</t>
  </si>
  <si>
    <t>Erythrocyte Cell Clumps Measurement</t>
  </si>
  <si>
    <t>RBCDFORM</t>
  </si>
  <si>
    <t>Erythrocyte Deformability</t>
  </si>
  <si>
    <t>An assessment of a red blood cell's ability to adapt its shape to dynamically changing flow conditions, thus minimizing resistance to flow.</t>
  </si>
  <si>
    <t>Erythrocyte Deformability Measurement</t>
  </si>
  <si>
    <t>RBCDIPOP</t>
  </si>
  <si>
    <t>Dimorphic Erythrocyte Population</t>
  </si>
  <si>
    <t>Dimorphic Erythrocyte Population; Dimorphic RBC Population</t>
  </si>
  <si>
    <t>Examination of a biological specimen to detect the presence of dimorphic erythrocyte population.</t>
  </si>
  <si>
    <t>RBCDYRBC</t>
  </si>
  <si>
    <t>Dysmorphic Erythrocytes/Erythrocytes</t>
  </si>
  <si>
    <t>A measurement (ratio or percentage) of dysmorphic erythrocytes to total erythrocytes in a biological specimen.</t>
  </si>
  <si>
    <t>Dysmorphic Erythrocytes to Erythrocytes Ratio Measurement</t>
  </si>
  <si>
    <t>RBCDYSM</t>
  </si>
  <si>
    <t>Dysmorphic Erythrocytes</t>
  </si>
  <si>
    <t>A measurement of the dysmorphic erythrocytes in a biological specimen.</t>
  </si>
  <si>
    <t>Dysmorphic Erythrocyte Count</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</si>
  <si>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</si>
  <si>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</si>
  <si>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</si>
  <si>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</si>
  <si>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</si>
  <si>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RBCGHOST</t>
  </si>
  <si>
    <t>Erythrocyte Ghosts</t>
  </si>
  <si>
    <t>Erythrocyte Ghosts; RBC Ghosts</t>
  </si>
  <si>
    <t>A measurement of the erythrocyte ghosts (erythrocytes in which hemoglobin has been removed through hemolysis) in a biological specimen.</t>
  </si>
  <si>
    <t>Erythrocyte Ghost Count</t>
  </si>
  <si>
    <t>RBCMORPH</t>
  </si>
  <si>
    <t>Erythrocyte Cell Morphology</t>
  </si>
  <si>
    <t>Erythrocyte Cell Morphology; RBC Morphology; Red Blood Cell Morphology</t>
  </si>
  <si>
    <t>An examination or assessment of the form and structure of red blood cells.</t>
  </si>
  <si>
    <t>RBCMRGD</t>
  </si>
  <si>
    <t>Erythrocyte Membrane Rigidity</t>
  </si>
  <si>
    <t>An assessment of the rigidity of the membrane of erythrocytes in a biological specimen.</t>
  </si>
  <si>
    <t>Erythrocyte Membrane Rigidity Measurement</t>
  </si>
  <si>
    <t>RBCNUC</t>
  </si>
  <si>
    <t>Nucleated Erythrocytes</t>
  </si>
  <si>
    <t>Nucleated Erythrocytes; Nucleated Red Blood Cells</t>
  </si>
  <si>
    <t>A measurement of the nucleated erythrocytes (large, immature nucleated erythrocytes) in a biological specimen.</t>
  </si>
  <si>
    <t>Nucleated Red Blood Cell Count</t>
  </si>
  <si>
    <t>RBCNUCLE</t>
  </si>
  <si>
    <t>Nucleated Erythrocytes/Leukocytes</t>
  </si>
  <si>
    <t>A relative measurement (ratio or percentage) of nucleated erythrocytes to leukocytes in a biological specimen.</t>
  </si>
  <si>
    <t>Nucleated Erythrocyte to Leukocyte Ratio Measurement</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</si>
  <si>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</si>
  <si>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</si>
  <si>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</si>
  <si>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</si>
  <si>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</si>
  <si>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RBOAG</t>
  </si>
  <si>
    <t>Rubeola Antigen</t>
  </si>
  <si>
    <t>Measles Virus Antigen</t>
  </si>
  <si>
    <t>A measurement of the Rubeola virus antigen in a biological specimen.</t>
  </si>
  <si>
    <t>Rubeola Antigen Measurement</t>
  </si>
  <si>
    <t>RBP</t>
  </si>
  <si>
    <t>Retinol Binding Protein</t>
  </si>
  <si>
    <t>A measurement of the total retinol binding protein in a biological specimen.</t>
  </si>
  <si>
    <t>Retinol Binding Protein Measurement</t>
  </si>
  <si>
    <t>RBP1</t>
  </si>
  <si>
    <t>Retinol Binding Protein 1</t>
  </si>
  <si>
    <t>A measurement of the retinol binding protein 1 in a biological specimen.</t>
  </si>
  <si>
    <t>Retinol Binding Protein 1 Measurement</t>
  </si>
  <si>
    <t>RBP2</t>
  </si>
  <si>
    <t>Retinol Binding Protein 2</t>
  </si>
  <si>
    <t>A measurement of the retinol binding protein 2 in a biological specimen.</t>
  </si>
  <si>
    <t>Retinol Binding Protein 2 Measurement</t>
  </si>
  <si>
    <t>RBP3</t>
  </si>
  <si>
    <t>Retinol Binding Protein 3</t>
  </si>
  <si>
    <t>A measurement of the retinol binding protein 3 in a biological specimen.</t>
  </si>
  <si>
    <t>Retinol Binding Protein 3 Measurement</t>
  </si>
  <si>
    <t>RBP4</t>
  </si>
  <si>
    <t>Retinol Binding Protein 4</t>
  </si>
  <si>
    <t>A measurement of the retinol binding protein 4 in a biological specimen.</t>
  </si>
  <si>
    <t>Retinol Binding Protein 4 Measurement</t>
  </si>
  <si>
    <t>RBPCREAT</t>
  </si>
  <si>
    <t>Retinol Binding Protein/Creatinine</t>
  </si>
  <si>
    <t>A relative measurement (ratio or percentage) of the retinol binding protein to creatinine in a biological specimen.</t>
  </si>
  <si>
    <t>Retinol Binding Protein to Creatinine Ratio Measurement</t>
  </si>
  <si>
    <t>RCBDWDTH</t>
  </si>
  <si>
    <t>Receiver Bandwidth</t>
  </si>
  <si>
    <t>The range between the minimum and maximum cut-off frequencies for a particular receiver, commonly measured in Hertz. (NCI)</t>
  </si>
  <si>
    <t>RCFLTRTP</t>
  </si>
  <si>
    <t>Reconstruction Filter Type</t>
  </si>
  <si>
    <t>A classification of the reconstruction filter used to suppress noise, enhance edges, resolution recovery and smooth an image.</t>
  </si>
  <si>
    <t>RCLRNA</t>
  </si>
  <si>
    <t>Replication Competent Lentivirus RNA</t>
  </si>
  <si>
    <t>A measurement of the RNA from a replication competent viral vector lentivirus in a biological specimen.</t>
  </si>
  <si>
    <t>Replication Competent Lentivirus RNA Measurement</t>
  </si>
  <si>
    <t>RDCSUB</t>
  </si>
  <si>
    <t>Reducing Substances</t>
  </si>
  <si>
    <t>A measurement of the reducing substances (e.g., sugars, glutathione, creatinine, uric acid, and ascorbic acid) in a biological specimen.</t>
  </si>
  <si>
    <t>Reducing Substance Measurement</t>
  </si>
  <si>
    <t>RDCSUG</t>
  </si>
  <si>
    <t>Reducing Sugars</t>
  </si>
  <si>
    <t>A measurement of the reducing sugars in a biological specimen.</t>
  </si>
  <si>
    <t>Reducing Sugar Measurement</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</si>
  <si>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</si>
  <si>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</si>
  <si>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</si>
  <si>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</si>
  <si>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</si>
  <si>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</si>
  <si>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</si>
  <si>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</si>
  <si>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</si>
  <si>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</si>
  <si>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</si>
  <si>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</si>
  <si>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</si>
  <si>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</si>
  <si>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</si>
  <si>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</si>
  <si>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</si>
  <si>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</si>
  <si>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</si>
  <si>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</si>
  <si>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</si>
  <si>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</si>
  <si>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</si>
  <si>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</si>
  <si>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</si>
  <si>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</si>
  <si>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</si>
  <si>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</si>
  <si>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</si>
  <si>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</si>
  <si>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REACTGR</t>
  </si>
  <si>
    <t>Reaction Grade</t>
  </si>
  <si>
    <t>The position on a scale to assess the degree of the response to a stimulus or intervention.</t>
  </si>
  <si>
    <t>REACTIV</t>
  </si>
  <si>
    <t>Reactivity</t>
  </si>
  <si>
    <t>A description of the action in response to some kind of stimulus.</t>
  </si>
  <si>
    <t>Reaction</t>
  </si>
  <si>
    <t>REAGLOT</t>
  </si>
  <si>
    <t>Reagent Lot</t>
  </si>
  <si>
    <t>The lot number of the reagent.</t>
  </si>
  <si>
    <t>Reagent Lot Number</t>
  </si>
  <si>
    <t>RECONDAT</t>
  </si>
  <si>
    <t>Reconstruction of Raw Data Type</t>
  </si>
  <si>
    <t>The type of mathematical process used to produce the displayed image from the raw k-space data obtained from the receiver circuitry. (NCI)</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</si>
  <si>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</si>
  <si>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</si>
  <si>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</si>
  <si>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</si>
  <si>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</si>
  <si>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REEXAM</t>
  </si>
  <si>
    <t>Respiratory System Examination</t>
  </si>
  <si>
    <t>An observation, assessment or examination of the respiratory system.</t>
  </si>
  <si>
    <t>REFEQU</t>
  </si>
  <si>
    <t>Reference Equation</t>
  </si>
  <si>
    <t>A mathematical formula to predict measured outcomes based on values of associated parameters determined to be related to a test. Reference equations are typically derived via regression analysis of parameters postulated to be relevant to the outcome over</t>
  </si>
  <si>
    <t>RELSZCHG</t>
  </si>
  <si>
    <t>Relative Size Change</t>
  </si>
  <si>
    <t>An assessment of the size difference in comparison to a baseline or previous value.</t>
  </si>
  <si>
    <t>REMAMT</t>
  </si>
  <si>
    <t>Remaining Amount</t>
  </si>
  <si>
    <t>The quantity of a product that remains after dosing, consumption, or use.</t>
  </si>
  <si>
    <t>REMDUR</t>
  </si>
  <si>
    <t>REM Duration</t>
  </si>
  <si>
    <t>The total amount of time an individual spends in rapid eye movement (REM) sleep.</t>
  </si>
  <si>
    <t>Rapid Eye Movement Sleep Phase Duration</t>
  </si>
  <si>
    <t>REMLAT</t>
  </si>
  <si>
    <t>REM Latency</t>
  </si>
  <si>
    <t>The time between the onset of sleep and the onset of the first rapid eye movement (REM) cycle.</t>
  </si>
  <si>
    <t>Rapid Eye Movement Sleep Phase Latency</t>
  </si>
  <si>
    <t>REMTST</t>
  </si>
  <si>
    <t>REM/Total Sleep Time</t>
  </si>
  <si>
    <t>A relative measurement (percentage) of the rapid eye movement (REM) sleep time to total sleep time.</t>
  </si>
  <si>
    <t>REM to Total Sleep Time Ratio Measurement</t>
  </si>
  <si>
    <t>RENIN</t>
  </si>
  <si>
    <t>Renin</t>
  </si>
  <si>
    <t>Active Renin; Angiotensinogenase; Direct Renin; Renin</t>
  </si>
  <si>
    <t>A measurement of the renin in a biological specimen.</t>
  </si>
  <si>
    <t>Renin Measurement</t>
  </si>
  <si>
    <t>RENINA</t>
  </si>
  <si>
    <t>Renin Activity</t>
  </si>
  <si>
    <t>A measurement of the renin activity in a biological specimen.</t>
  </si>
  <si>
    <t>Renin Activity Measurement</t>
  </si>
  <si>
    <t>REPTIME</t>
  </si>
  <si>
    <t>Repetition Time</t>
  </si>
  <si>
    <t>The amount of time in milliseconds between successive pulse sequences applied to the same slice.</t>
  </si>
  <si>
    <t>RER</t>
  </si>
  <si>
    <t>Respiratory Exchange Ratio</t>
  </si>
  <si>
    <t>The ratio between the amount of carbon dioxide produced and oxygen consumed in one breath.</t>
  </si>
  <si>
    <t>RESCTIND</t>
  </si>
  <si>
    <t>Resected Tumor Ind</t>
  </si>
  <si>
    <t>Resected Tumor Ind; Resected Tumor Indicator</t>
  </si>
  <si>
    <t>An indication as to whether the tumor has been resected.</t>
  </si>
  <si>
    <t>Tumor Resected Indicator</t>
  </si>
  <si>
    <t>RESISTIN</t>
  </si>
  <si>
    <t>Resistin</t>
  </si>
  <si>
    <t>A measurement of the resistin in a biological specimen.</t>
  </si>
  <si>
    <t>Resistin Measurement</t>
  </si>
  <si>
    <t>RESP</t>
  </si>
  <si>
    <t>Respiratory Rate</t>
  </si>
  <si>
    <t>The rate of breathing (inhalation and exhalation) measured within in a unit time, usually expressed as breaths per minute. (NCI)</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</si>
  <si>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</si>
  <si>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</si>
  <si>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</si>
  <si>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</si>
  <si>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RESPST</t>
  </si>
  <si>
    <t>Respiratory Rate Setting</t>
  </si>
  <si>
    <t>Respiratory Rate Setting; RR Setting</t>
  </si>
  <si>
    <t>A device setting that determines and regulates the rate of breathing (inhalation and exhalation) within a unit of time.</t>
  </si>
  <si>
    <t>Respiratory Rate Device Setting</t>
  </si>
  <si>
    <t>RETAMT</t>
  </si>
  <si>
    <t>Returned Amount</t>
  </si>
  <si>
    <t>The quantity of a product that has been returned. (NCI)</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</si>
  <si>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</si>
  <si>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</si>
  <si>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</si>
  <si>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</si>
  <si>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RETI</t>
  </si>
  <si>
    <t>Reticulocytes</t>
  </si>
  <si>
    <t>A measurement of the reticulocytes in a biological specimen.</t>
  </si>
  <si>
    <t>Reticulocyte Count</t>
  </si>
  <si>
    <t>RETICE</t>
  </si>
  <si>
    <t>Reticulocytes/Total Cells</t>
  </si>
  <si>
    <t>A relative measurement (ratio or percentage) of reticulocytes to total cells in a biological specimen.</t>
  </si>
  <si>
    <t>Reticulocyte to Total Cell Ratio Measurement</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</si>
  <si>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</si>
  <si>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</si>
  <si>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</si>
  <si>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</si>
  <si>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</si>
  <si>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RETIH</t>
  </si>
  <si>
    <t>High Absorption Reticulocytes</t>
  </si>
  <si>
    <t>A measurement of the high absorption reticulocytes in a biological specimen.</t>
  </si>
  <si>
    <t>High Absorption Reticulocyte Measurement</t>
  </si>
  <si>
    <t>RETIHCR</t>
  </si>
  <si>
    <t>Hematocrit Corrected Reticulocytes</t>
  </si>
  <si>
    <t>A measurement of the hematocrit corrected reticulocytes in a biological specimen.</t>
  </si>
  <si>
    <t>Hematocrit Corrected Reticulocyte Count</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</si>
  <si>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</si>
  <si>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</si>
  <si>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</si>
  <si>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</si>
  <si>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RETIL</t>
  </si>
  <si>
    <t>Low Absorption Reticulocytes</t>
  </si>
  <si>
    <t>A measurement of the low absorption reticulocytes in a biological specimen.</t>
  </si>
  <si>
    <t>Low Absorption Reticulocyte Measurement</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</si>
  <si>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</si>
  <si>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</si>
  <si>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</si>
  <si>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</si>
  <si>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RETIM</t>
  </si>
  <si>
    <t>Medium Absorption Reticulocytes</t>
  </si>
  <si>
    <t>A measurement of the medium absorption reticulocytes in a biological specimen.</t>
  </si>
  <si>
    <t>Medium Absorption Reticulocyte Measurement</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</si>
  <si>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</si>
  <si>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</si>
  <si>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</si>
  <si>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</si>
  <si>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RETINOAC</t>
  </si>
  <si>
    <t>Retinoic Acid</t>
  </si>
  <si>
    <t>Retinoate; Retinoic Acid</t>
  </si>
  <si>
    <t>A measurement of the retinoic acid in a biological specimen.</t>
  </si>
  <si>
    <t>Retinoic Acid Measurement</t>
  </si>
  <si>
    <t>RETIRBC</t>
  </si>
  <si>
    <t>Reticulocytes/Erythrocytes</t>
  </si>
  <si>
    <t>A relative measurement (ratio or percentage) of reticulocytes to erythrocytes in a biological specimen.</t>
  </si>
  <si>
    <t>Reticulocyte to Erythrocyte Ratio</t>
  </si>
  <si>
    <t>RETPALM</t>
  </si>
  <si>
    <t>Retinyl Palmitate</t>
  </si>
  <si>
    <t>Retinol Palmitate; Retinyl Palmitate; Vitamin A Palmitate</t>
  </si>
  <si>
    <t>A measurement of the endogenous retinyl palmitate vitamin A in a biological specimen.</t>
  </si>
  <si>
    <t>Retinyl Palmitate Measurement</t>
  </si>
  <si>
    <t>RFATAB</t>
  </si>
  <si>
    <t>Autoantibody, Rheumatoid Factor</t>
  </si>
  <si>
    <t>A measurement of any of the rheumatoid factor autoantibodies in a biological specimen.</t>
  </si>
  <si>
    <t>Rheumatoid Factor Autoantibody Measurement</t>
  </si>
  <si>
    <t>RFIGAAB</t>
  </si>
  <si>
    <t>IgA Autoantibody, Rheumatoid Factor</t>
  </si>
  <si>
    <t>A measurement of the rheumatoid factor IgA autoantibody in a biological specimen.</t>
  </si>
  <si>
    <t>Rheumatoid Factor IgA Autoantibody Measurement</t>
  </si>
  <si>
    <t>RFIGGAB</t>
  </si>
  <si>
    <t>IgG Autoantibody, Rheumatoid Factor</t>
  </si>
  <si>
    <t>A measurement of the rheumatoid factor IgG autoantibody in a biological specimen.</t>
  </si>
  <si>
    <t>Rheumatoid Factor IgG Autoantibody Measurement</t>
  </si>
  <si>
    <t>RFIGMAB</t>
  </si>
  <si>
    <t>IgM Autoantibody, Rheumatoid Factor</t>
  </si>
  <si>
    <t>A measurement of the rheumatoid factor IgM autoantibody in a biological specimen.</t>
  </si>
  <si>
    <t>Rheumatoid Factor IgM Autoantibody Measurement</t>
  </si>
  <si>
    <t>RFLMAG</t>
  </si>
  <si>
    <t>Reflection Magnitude</t>
  </si>
  <si>
    <t>The reflected-to-forward pressure wave amplitude ratio. (Hashimoto J et al, J Hypertens. 2008 May;26(5):1017-24)</t>
  </si>
  <si>
    <t>RFLWAMP</t>
  </si>
  <si>
    <t>Reflection Wave Amplitude</t>
  </si>
  <si>
    <t>The summation of the numerous waves being reflected by sites of impedance mismatch where central elastic arteries join more muscular arteries.</t>
  </si>
  <si>
    <t>RH</t>
  </si>
  <si>
    <t>Rh Factor</t>
  </si>
  <si>
    <t>A measurement of non-specified Rhesus factor antigen(s) in a biological specimen.</t>
  </si>
  <si>
    <t>Rh Factor Measurement</t>
  </si>
  <si>
    <t>RHD</t>
  </si>
  <si>
    <t>RhD Factor</t>
  </si>
  <si>
    <t>A measurement of the Rhesus factor D antigen in a biological specimen.</t>
  </si>
  <si>
    <t>RhD Factor Measurement</t>
  </si>
  <si>
    <t>RHYNOS</t>
  </si>
  <si>
    <t>Rhythm Not Otherwise Specified</t>
  </si>
  <si>
    <t>An electrocardiographic assessment of cardiac rhythm not otherwise specified.</t>
  </si>
  <si>
    <t>Rhythm Not Otherwise Specified ECG Assessment</t>
  </si>
  <si>
    <t>RICKDNA</t>
  </si>
  <si>
    <t>Rickettsia DNA</t>
  </si>
  <si>
    <t>A measurement of the DNA from any member of the genus Rickettsia in a biological specimen.</t>
  </si>
  <si>
    <t>Rickettsia DNA Measurement</t>
  </si>
  <si>
    <t>RIN</t>
  </si>
  <si>
    <t>RNA Integrity Number</t>
  </si>
  <si>
    <t>A numerical assessment of the integrity of RNA based on the entire electrophoretic trace of the RNA sample, including the presence or absence of degradation products. (NCI)</t>
  </si>
  <si>
    <t>RISKPOP</t>
  </si>
  <si>
    <t>Member of High Risk Population</t>
  </si>
  <si>
    <t>An indication that a subject is part of a population group that has a greater chance of contracting a disease or disorder.</t>
  </si>
  <si>
    <t>RISKSOC</t>
  </si>
  <si>
    <t>Social Risk Factor</t>
  </si>
  <si>
    <t>Social factors such as personal behavior, lifestyle, or environment belonging to the subject which are known to increase the likelihood of infection and disease.</t>
  </si>
  <si>
    <t>RITALAC</t>
  </si>
  <si>
    <t>Ritalinic Acid</t>
  </si>
  <si>
    <t>A measurement of the ritalinic acid in a biological specimen.</t>
  </si>
  <si>
    <t>Ritalinic Acid Measurement</t>
  </si>
  <si>
    <t>RLDEPIND</t>
  </si>
  <si>
    <t>Relapse after Discon Dependent Indicator</t>
  </si>
  <si>
    <t>Relapse after Discon Dependent Indicator; Relapse after Discontinue Dependent Indicator</t>
  </si>
  <si>
    <t>An indication as to whether an individual has had a relapse after discontinuation of a substance due to dependence.</t>
  </si>
  <si>
    <t>Relapse after Discontinuation Because of Dependence Indicator</t>
  </si>
  <si>
    <t>RLDEV</t>
  </si>
  <si>
    <t>Relationship to Device</t>
  </si>
  <si>
    <t>The relationship of an event to a device, which may or may not be a device under study.</t>
  </si>
  <si>
    <t>RLP</t>
  </si>
  <si>
    <t>RLP Cholesterol</t>
  </si>
  <si>
    <t>A measurement of the cholesterol remnant-like particles in a biological specimen.</t>
  </si>
  <si>
    <t>Remnant-like Particle Cholesterol Measurement</t>
  </si>
  <si>
    <t>RMNTLP</t>
  </si>
  <si>
    <t>Remnant Lipoprotein</t>
  </si>
  <si>
    <t>A measurement of the remnant lipoproteins in a biological specimen.</t>
  </si>
  <si>
    <t>Remnant Lipoprotein Measurement</t>
  </si>
  <si>
    <t>RNA</t>
  </si>
  <si>
    <t>Ribonucleic Acid</t>
  </si>
  <si>
    <t>A measurement of a targeted ribonucleic acid (RNA) in a biological specimen.</t>
  </si>
  <si>
    <t>Ribonucleic Acid Measurement</t>
  </si>
  <si>
    <t>ROM</t>
  </si>
  <si>
    <t>Reactive Oxygen Metabolite</t>
  </si>
  <si>
    <t>A measurement of the reactive oxygen metabolite in a biological specimen.</t>
  </si>
  <si>
    <t>Reactive Oxygen Metabolite Measurement</t>
  </si>
  <si>
    <t>ROOTRFX</t>
  </si>
  <si>
    <t>Rooting Reflex</t>
  </si>
  <si>
    <t>An involuntary, primal response in the neonate to search for the nipple when the cheek is touched.</t>
  </si>
  <si>
    <t>ROTAG</t>
  </si>
  <si>
    <t>Rotavirus Antigen</t>
  </si>
  <si>
    <t>A measurement of the antigen from any member of the genus Rotavirus in a biological specimen.</t>
  </si>
  <si>
    <t>Rotavirus Antigen Measurement</t>
  </si>
  <si>
    <t>ROTAVIRU</t>
  </si>
  <si>
    <t>Rotavirus</t>
  </si>
  <si>
    <t>A measurement of the organisms that are not assigned to the species level but are assigned to the Rotavirus genus level in a biological specimen.</t>
  </si>
  <si>
    <t>Rotavirus Measurement</t>
  </si>
  <si>
    <t>ROTRNA</t>
  </si>
  <si>
    <t>Rotavirus RNA</t>
  </si>
  <si>
    <t>A measurement of the RNA from any member of the genus Rotavirus in a biological specimen.</t>
  </si>
  <si>
    <t>Rotavirus RNA Measurement</t>
  </si>
  <si>
    <t>ROULEAUX</t>
  </si>
  <si>
    <t>Rouleaux Formation</t>
  </si>
  <si>
    <t>A measurement of the stacking red blood cells in a biological specimen.</t>
  </si>
  <si>
    <t>Rouleaux Formation Count</t>
  </si>
  <si>
    <t>ROUNDCE</t>
  </si>
  <si>
    <t>Round Cells</t>
  </si>
  <si>
    <t>A measurement of the round cells (round shaped cells mainly comprised of white blood cells and immature spermatogenic cells) in a biological specimen.</t>
  </si>
  <si>
    <t>Round Cell Count</t>
  </si>
  <si>
    <t>RPA1</t>
  </si>
  <si>
    <t>Renal Papillary Antigen 1</t>
  </si>
  <si>
    <t>A measurement of the renal papillary antigen 1 in a biological specimen.</t>
  </si>
  <si>
    <t>Renal Papillary Antigen 1 Measurement</t>
  </si>
  <si>
    <t>RPEXAM</t>
  </si>
  <si>
    <t>Reproductive System Examination</t>
  </si>
  <si>
    <t>An observation, assessment or examination of the reproductive system.</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</si>
  <si>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</si>
  <si>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</si>
  <si>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</si>
  <si>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</si>
  <si>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</si>
  <si>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RPTLTIME</t>
  </si>
  <si>
    <t>Reptilase Time</t>
  </si>
  <si>
    <t>A measurement of the time it takes a plasma sample to clot after adding the active enzyme reptilase.</t>
  </si>
  <si>
    <t>Reptilase Time Measurement</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</si>
  <si>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</si>
  <si>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</si>
  <si>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</si>
  <si>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</si>
  <si>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RRMAX</t>
  </si>
  <si>
    <t>Summary (Max) RR Duration</t>
  </si>
  <si>
    <t>The maximum duration (time) between successive peaks of R waves in a particular set of RR intervals. (NCI)</t>
  </si>
  <si>
    <t>Maximum RR Duration</t>
  </si>
  <si>
    <t>RRMIN</t>
  </si>
  <si>
    <t>Summary (Min) RR Duration</t>
  </si>
  <si>
    <t>The minimum duration (time) between successive peaks of R waves in a particular set of RR intervals. (NCI)</t>
  </si>
  <si>
    <t>Minimum RR Duration</t>
  </si>
  <si>
    <t>RROARNA</t>
  </si>
  <si>
    <t>Rotavirus A RNA</t>
  </si>
  <si>
    <t>Rotavirus A RNA; Rotavirus Group A RNA</t>
  </si>
  <si>
    <t>A measurement of the Rotavirus A RNA in a biological specimen.</t>
  </si>
  <si>
    <t>Rotavirus A RNA Measurement</t>
  </si>
  <si>
    <t>RRS</t>
  </si>
  <si>
    <t>Total Respiratory System Resistance</t>
  </si>
  <si>
    <t>A calculated value based on all factors that influence the flow of gas from the airway opening to the alveoli, including airway resistance, and tissue resistance of the lung and chest wall. (NCI)</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</si>
  <si>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</si>
  <si>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</si>
  <si>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</si>
  <si>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</si>
  <si>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</si>
  <si>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</si>
  <si>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</si>
  <si>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</si>
  <si>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</si>
  <si>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</si>
  <si>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</si>
  <si>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</si>
  <si>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</si>
  <si>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RSASB</t>
  </si>
  <si>
    <t>RS Wave Amplitude, Single Beat</t>
  </si>
  <si>
    <t>An electrocardiographic measurement of the sum of the amplitudes of the R and S waves, obtained from a single beat in one particular lead or set of leads.</t>
  </si>
  <si>
    <t>RS Wave Amplitude Single Beat</t>
  </si>
  <si>
    <t>RSOH9RS</t>
  </si>
  <si>
    <t>Risperidone+9-Hydroxyrisperidone</t>
  </si>
  <si>
    <t>Risperidone+9-Hydroxyrisperidone; Risperidone+Paliperidone</t>
  </si>
  <si>
    <t>A measurement of the risperidone and 9-hydroxyrisperidone in a biological specimen.</t>
  </si>
  <si>
    <t>Risperidone and 9-Hydroxyrisperidone Measurement</t>
  </si>
  <si>
    <t>RSPDN</t>
  </si>
  <si>
    <t>Risperidone</t>
  </si>
  <si>
    <t>A measurement of the risperidone in a biological specimen.</t>
  </si>
  <si>
    <t>Risperidone Measurement</t>
  </si>
  <si>
    <t>RSV</t>
  </si>
  <si>
    <t>Respiratory Syncytial Virus</t>
  </si>
  <si>
    <t>A measurement of the respiratory syncytial virus in a biological specimen.</t>
  </si>
  <si>
    <t>Respiratory Syncytial Virus Measurement</t>
  </si>
  <si>
    <t>RSVA</t>
  </si>
  <si>
    <t>Respiratory Syncytial Virus Type A</t>
  </si>
  <si>
    <t>A measurement of the respiratory syncytial virus type A in a biological specimen.</t>
  </si>
  <si>
    <t>Respiratory Syncytial Virus Type A Measurement</t>
  </si>
  <si>
    <t>RSVAG</t>
  </si>
  <si>
    <t>Respiratory Syncytial Virus Antigen</t>
  </si>
  <si>
    <t>Respiratory Syncytial Virus Antigen; RSV Antigen</t>
  </si>
  <si>
    <t>A measurement of the respiratory syncytial virus antigen in a biological specimen.</t>
  </si>
  <si>
    <t>Respiratory Syncytial Virus Antigen Measurement</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</si>
  <si>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</si>
  <si>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</si>
  <si>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</si>
  <si>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</si>
  <si>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</si>
  <si>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</si>
  <si>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</si>
  <si>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</si>
  <si>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</si>
  <si>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</si>
  <si>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RSVB</t>
  </si>
  <si>
    <t>Respiratory Syncytial Virus Type B</t>
  </si>
  <si>
    <t>A measurement of the respiratory syncytial virus type B in a biological specimen.</t>
  </si>
  <si>
    <t>Respiratory Syncytial Virus Type B Measurement</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</si>
  <si>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</si>
  <si>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</si>
  <si>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</si>
  <si>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</si>
  <si>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</si>
  <si>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</si>
  <si>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</si>
  <si>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</si>
  <si>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</si>
  <si>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</si>
  <si>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RSVRNA</t>
  </si>
  <si>
    <t>Respiratory Syncytial Virus RNA</t>
  </si>
  <si>
    <t>A measurement of the respiratory syncytial virus RNA in a biological specimen.</t>
  </si>
  <si>
    <t>Respiratory Syncytial Virus RNA Measurement</t>
  </si>
  <si>
    <t>RT3</t>
  </si>
  <si>
    <t>Triiodothyronine, Reverse</t>
  </si>
  <si>
    <t>A measurement of the reverse triiodothyronine in a biological specimen.</t>
  </si>
  <si>
    <t>Reverse Triiodothyronine Measurement</t>
  </si>
  <si>
    <t>RUB</t>
  </si>
  <si>
    <t>Rubricyte</t>
  </si>
  <si>
    <t>Polychromatophilic Erythroblast; Polychromatophilic Normoblast; Rubricyte</t>
  </si>
  <si>
    <t>A measurement of the rubricytes in a biological specimen.</t>
  </si>
  <si>
    <t>Rubricyte Count</t>
  </si>
  <si>
    <t>RUBCE</t>
  </si>
  <si>
    <t>Rubricyte/Total Cells</t>
  </si>
  <si>
    <t>A relative measurement (ratio or percentage) of the rubricytes to total cells in a biological specimen.</t>
  </si>
  <si>
    <t>Rubricyte to Total Cell Ratio Measurement</t>
  </si>
  <si>
    <t>RV</t>
  </si>
  <si>
    <t>Residual Volume</t>
  </si>
  <si>
    <t>The volume of air remaining in the lungs after maximum exhalation.</t>
  </si>
  <si>
    <t>RVEF</t>
  </si>
  <si>
    <t>Right Ventricular Ejection Fraction</t>
  </si>
  <si>
    <t>The percent or fraction of the right ventricular end diastolic volume ejected during systole that can be measured by visual estimation or calculation.</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</si>
  <si>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</si>
  <si>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</si>
  <si>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</si>
  <si>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</si>
  <si>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</si>
  <si>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</si>
  <si>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</si>
  <si>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</si>
  <si>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</si>
  <si>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</si>
  <si>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RVENT</t>
  </si>
  <si>
    <t>Human rhinovirus/enterovirus</t>
  </si>
  <si>
    <t>A measurement of the Human rhinovirus and/or Human enterovirus in a biological specimen.</t>
  </si>
  <si>
    <t>Human Rhinovirus and/or Enterovirus Measurement</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</si>
  <si>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</si>
  <si>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</si>
  <si>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</si>
  <si>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</si>
  <si>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</si>
  <si>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RVENTRNA</t>
  </si>
  <si>
    <t>Human rhinovirus/enterovirus RNA</t>
  </si>
  <si>
    <t>A measurement of RNA from any member of the Human Rhinovirus species and/or Human Enterovirus species in a biological specimen.</t>
  </si>
  <si>
    <t>Human rhinovirus and/or enterovirus RNA Measurement</t>
  </si>
  <si>
    <t>RVPP</t>
  </si>
  <si>
    <t>Percent Predicted Residual Volume</t>
  </si>
  <si>
    <t>The volume of air remaining in the lungs after maximum exhalation as a proportion of the predicted normal value.</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</si>
  <si>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</si>
  <si>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</si>
  <si>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</si>
  <si>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</si>
  <si>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</si>
  <si>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</si>
  <si>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</si>
  <si>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</si>
  <si>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S100A8</t>
  </si>
  <si>
    <t>S100 Calcium Binding Protein A8</t>
  </si>
  <si>
    <t>A measurement of the S100 calcium binding protein A8 in a biological specimen.</t>
  </si>
  <si>
    <t>S100 Calcium Binding Protein A8 Measurement</t>
  </si>
  <si>
    <t>S100B</t>
  </si>
  <si>
    <t>S100 Calcium-Binding Protein B</t>
  </si>
  <si>
    <t>A measure of the S100 calcium-binding protein B in a biological specimen.</t>
  </si>
  <si>
    <t>S100 Calcium-Binding Protein B Measurement</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</si>
  <si>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</si>
  <si>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</si>
  <si>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</si>
  <si>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</si>
  <si>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</si>
  <si>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SAA1</t>
  </si>
  <si>
    <t>Serum Amyloid A1</t>
  </si>
  <si>
    <t>PIG4; SAA1; Serum Amyloid A-1 Protein; Serum Amyloid A1</t>
  </si>
  <si>
    <t>A measurement of the serum amyloid A1 in a biological specimen.</t>
  </si>
  <si>
    <t>Serum Amyloid A1 Measurement</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</si>
  <si>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</si>
  <si>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</si>
  <si>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</si>
  <si>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</si>
  <si>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</si>
  <si>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</si>
  <si>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</si>
  <si>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</si>
  <si>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SAG</t>
  </si>
  <si>
    <t>Streptococcus agalactiae</t>
  </si>
  <si>
    <t>A measurement of the Streptococcus agalactiae in a biological specimen.</t>
  </si>
  <si>
    <t>Streptococcus agalactiae Measurement</t>
  </si>
  <si>
    <t>SAGAG</t>
  </si>
  <si>
    <t>Streptococcus agalactiae Antigen</t>
  </si>
  <si>
    <t>Streptococcus agalactiae Antigen; Streptococcus Group B Antigen</t>
  </si>
  <si>
    <t>A measurement of the Streptococcus agalactiae antigen in a biological specimen.</t>
  </si>
  <si>
    <t>Streptococcus agalactiae Antigen Measurement</t>
  </si>
  <si>
    <t>SAGDNA</t>
  </si>
  <si>
    <t>Streptococcus agalactiae DNA</t>
  </si>
  <si>
    <t>A measurement of the Streptococcus agalactiae DNA in a biological specimen.</t>
  </si>
  <si>
    <t>Streptococcus agalactiae DNA Measurement</t>
  </si>
  <si>
    <t>SAHOMC</t>
  </si>
  <si>
    <t>S-Adenosylhomocysteine</t>
  </si>
  <si>
    <t>S-adenosyl-L-homocysteine; S-Adenosylhomocysteine; SAH</t>
  </si>
  <si>
    <t>A measurement of the S-adenosylhomocysteine in a biological specimen.</t>
  </si>
  <si>
    <t>S-Adenosylhomocysteine Measurement</t>
  </si>
  <si>
    <t>SALCYLT</t>
  </si>
  <si>
    <t>Salicylates</t>
  </si>
  <si>
    <t>A measurement of the salicylates in a biological specimen.</t>
  </si>
  <si>
    <t>Salicylates Measurement</t>
  </si>
  <si>
    <t>SALKA</t>
  </si>
  <si>
    <t>Salazar-Knowles Equation Parameter A</t>
  </si>
  <si>
    <t>A representation of the exponential function described by the Salazar-Knowles equation, and an estimation of a subject's inspiratory capacity.</t>
  </si>
  <si>
    <t>SALKB</t>
  </si>
  <si>
    <t>Salazar-Knowles Equation Parameter B</t>
  </si>
  <si>
    <t>The difference between the volume at total lung capacity and the hypothesized volume at a transpulmonary pressure of zero.</t>
  </si>
  <si>
    <t>SALKK</t>
  </si>
  <si>
    <t>Salazar-Knowles Equation, K</t>
  </si>
  <si>
    <t>The reflection of the curvature of the upper portion of the deflationary limb of the pressure-volume curve.</t>
  </si>
  <si>
    <t>Salazar-Knowles Equation, K Parameter</t>
  </si>
  <si>
    <t>SALMOAG</t>
  </si>
  <si>
    <t>Salmonella Antigen</t>
  </si>
  <si>
    <t>A measurement of the antigen from any member of the genus Salmonella in a biological specimen.</t>
  </si>
  <si>
    <t>Salmonella Antigen Measurement</t>
  </si>
  <si>
    <t>SALMODNA</t>
  </si>
  <si>
    <t>Salmonella DNA</t>
  </si>
  <si>
    <t>A measurement of the DNA from any member of the genus Salmonella in a biological specimen.</t>
  </si>
  <si>
    <t>Salmonella DNA Measurement</t>
  </si>
  <si>
    <t>SALMONEL</t>
  </si>
  <si>
    <t>Salmonella</t>
  </si>
  <si>
    <t>A measurement of the organisms that are not assigned to the species level but are assigned to the Salmonella genus level in a biological specimen.</t>
  </si>
  <si>
    <t>Salmonella Measurement</t>
  </si>
  <si>
    <t>SALTYP</t>
  </si>
  <si>
    <t>Employee Salary Type</t>
  </si>
  <si>
    <t>A code specifying the method used by the employer to compute the employee's salary or wages. For example, hourly, annual, or commission.</t>
  </si>
  <si>
    <t>SAMETH</t>
  </si>
  <si>
    <t>S-Adenosylmethionine</t>
  </si>
  <si>
    <t>S-adenosyl-L-methionine; S-Adenosylmethionine; SAM-e; SAMe; SAMMY</t>
  </si>
  <si>
    <t>A measurement of the S-adenosylmethionine in a biological specimen.</t>
  </si>
  <si>
    <t>S-Adenosylmethionine Measurement</t>
  </si>
  <si>
    <t>SAMIND</t>
  </si>
  <si>
    <t>Systolic Anterior Motion Indicator</t>
  </si>
  <si>
    <t>SAM Indicator; Systolic Anterior Motion Indicator</t>
  </si>
  <si>
    <t>An indication as to whether there is systolic anterior motion of a cardiac valve and its associated structures.</t>
  </si>
  <si>
    <t>SAMSEV</t>
  </si>
  <si>
    <t>Systolic Anterior Motion Severity</t>
  </si>
  <si>
    <t>SAM Severity; Systolic Anterior Motion Severity</t>
  </si>
  <si>
    <t>The assessment of the severity of the systolic anterior motion of a cardiac valve and its associated structures.</t>
  </si>
  <si>
    <t>SAN</t>
  </si>
  <si>
    <t>Streptococcus anginosus</t>
  </si>
  <si>
    <t>A measurement of the Streptococcus anginosus in a biological specimen.</t>
  </si>
  <si>
    <t>Streptococcus anginosus Measurement</t>
  </si>
  <si>
    <t>SAO2FIO2</t>
  </si>
  <si>
    <t>Oxygen Saturation/Fraction Inspired O2</t>
  </si>
  <si>
    <t>A relative measurement (ratio or percentage) of the oxygen-hemoglobin saturation of a volume of blood to the volumetric fraction of oxygen in the inhaled gas.</t>
  </si>
  <si>
    <t>SAR12AG</t>
  </si>
  <si>
    <t>SARS-CoV-1/SARS-CoV-2 Antigen</t>
  </si>
  <si>
    <t>A measurement of the antigens from SARS-CoV-1 and/or SARS-CoV-2 in a biological specimen.</t>
  </si>
  <si>
    <t>SARS-CoV-1/SARS-CoV-2 Antigen Measurement</t>
  </si>
  <si>
    <t>SAR2AG</t>
  </si>
  <si>
    <t>SARS-CoV-2 Antigen</t>
  </si>
  <si>
    <t>A measurement of the SARS-CoV-2 antigen in a biological specimen.</t>
  </si>
  <si>
    <t>SARS-CoV-2 Antigen Measurement</t>
  </si>
  <si>
    <t>SAR2NPAG</t>
  </si>
  <si>
    <t>SARS-CoV-2 Nucleocapsid Protein Antigen</t>
  </si>
  <si>
    <t>SARS-CoV-2 N Protein Antigen</t>
  </si>
  <si>
    <t>A measurement of the SARS-CoV-2 nucleocapsid protein antigen in a biological specimen.</t>
  </si>
  <si>
    <t>SARS-CoV-2 Nucleocapsid Protein Antigen Measurement</t>
  </si>
  <si>
    <t>SAR2RNA</t>
  </si>
  <si>
    <t>SARS-CoV-2 RNA</t>
  </si>
  <si>
    <t>A measurement of the SARS-CoV-2 RNA in a biological specimen.</t>
  </si>
  <si>
    <t>SARS-CoV-2 RNA Measurement</t>
  </si>
  <si>
    <t>SAR2SRNA</t>
  </si>
  <si>
    <t>SARS-CoV-2 S RNA</t>
  </si>
  <si>
    <t>SARS-CoV-2 S Gene; SARS-CoV-2 S RNA; SARS-CoV-2 Spike RNA</t>
  </si>
  <si>
    <t>A measurement of the SARS-CoV-2 S RNA in a biological specimen.</t>
  </si>
  <si>
    <t>SARS-CoV-2 S RNA Measurement</t>
  </si>
  <si>
    <t>SARCOSIN</t>
  </si>
  <si>
    <t>Sarcosine</t>
  </si>
  <si>
    <t>N-Methylglycine; Sarcosine</t>
  </si>
  <si>
    <t>A measurement of the sarcosine in a biological specimen.</t>
  </si>
  <si>
    <t>Sarcosine Measurement</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</si>
  <si>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</si>
  <si>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</si>
  <si>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</si>
  <si>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</si>
  <si>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</si>
  <si>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</si>
  <si>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</si>
  <si>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</si>
  <si>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</si>
  <si>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</si>
  <si>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</si>
  <si>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</si>
  <si>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</si>
  <si>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</si>
  <si>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SARSRRNA</t>
  </si>
  <si>
    <t>SARS-related Coronavirus RNA</t>
  </si>
  <si>
    <t>A measurement of the SARS-related Coronavirus RNA including but not limited to SARS-CoV, SARS-CoV-2, and/or other SARS-like Coronavirus in a biological specimen.</t>
  </si>
  <si>
    <t>SARS-related Coronavirus RNA Measurement</t>
  </si>
  <si>
    <t>SAUDNA</t>
  </si>
  <si>
    <t>Staphylococcus aureus DNA</t>
  </si>
  <si>
    <t>A measurement of the Staphylococcus aureus DNA in a biological specimen.</t>
  </si>
  <si>
    <t>Staphylococcus aureus DNA Measurement</t>
  </si>
  <si>
    <t>SAUREUS</t>
  </si>
  <si>
    <t>Staphylococcus aureus</t>
  </si>
  <si>
    <t>S. aureus; Staphylococcus aureus</t>
  </si>
  <si>
    <t>A measurement of the Staphylococcus aureus in a biological specimen.</t>
  </si>
  <si>
    <t>Staphylococcus aureus Measurement</t>
  </si>
  <si>
    <t>SAWVOL</t>
  </si>
  <si>
    <t>Specific Airway Volume</t>
  </si>
  <si>
    <t>A parameter used in functional respiratory imaging, derived by dividing the airway volume of a specified intrapulmonary region by the total volume of the same specified intrapulmonary region.</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</si>
  <si>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</si>
  <si>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</si>
  <si>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</si>
  <si>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SBDEPIND</t>
  </si>
  <si>
    <t>Substance Dependence Indicator</t>
  </si>
  <si>
    <t>An indication as to whether an individual has become dependent on a substance.</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</si>
  <si>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</si>
  <si>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</si>
  <si>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</si>
  <si>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</si>
  <si>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</si>
  <si>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</si>
  <si>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</si>
  <si>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</si>
  <si>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</si>
  <si>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</si>
  <si>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SBUTRMN</t>
  </si>
  <si>
    <t>Sibutramine</t>
  </si>
  <si>
    <t>A measurement of the sibutramine in a biological specimen.</t>
  </si>
  <si>
    <t>Sibutramine Measurement</t>
  </si>
  <si>
    <t>SBZMA</t>
  </si>
  <si>
    <t>S-Benzyl Mercapturic Acid</t>
  </si>
  <si>
    <t>N-Acetyl-S-benzyl-L-cysteine; S-Benzyl Mercapturic Acid; S-Benzylmercapturate; S-Benzylmercapturic Acid; SBNAC</t>
  </si>
  <si>
    <t>A measurement of the S-benzyl mercapturic acid in a specimen.</t>
  </si>
  <si>
    <t>S-Benzyl Mercapturic Acid Measurement</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</si>
  <si>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</si>
  <si>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</si>
  <si>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</si>
  <si>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</si>
  <si>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</si>
  <si>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SCBRBTL</t>
  </si>
  <si>
    <t>Secobarbital</t>
  </si>
  <si>
    <t>A measurement of the secobarbital present in a biological specimen.</t>
  </si>
  <si>
    <t>Secobarbital Measurement</t>
  </si>
  <si>
    <t>SCCAG</t>
  </si>
  <si>
    <t>Squamous Cell Carcinoma Antigen</t>
  </si>
  <si>
    <t>A measurement of the squamous cell carcinoma antigen in a biological specimen.</t>
  </si>
  <si>
    <t>Squamous Cell Carcinoma Antigen Measurement</t>
  </si>
  <si>
    <t>SCD223X</t>
  </si>
  <si>
    <t>sCD223 Expression</t>
  </si>
  <si>
    <t>Cell Surface CD223 Expression; Membrane CD223 Expression; Plasma Membrane CD223 Expression; sCD223 Expression</t>
  </si>
  <si>
    <t>A measurement of cellular plasma membrane (surface) CD223 expression in a biological specimen.</t>
  </si>
  <si>
    <t>Plasma Membrane CD223 Expression Measurement</t>
  </si>
  <si>
    <t>SCF</t>
  </si>
  <si>
    <t>Stem Cell Factor</t>
  </si>
  <si>
    <t>KIT Ligand; Stem Cell Factor</t>
  </si>
  <si>
    <t>A measurement of the stem cell factor in a biological specimen.</t>
  </si>
  <si>
    <t>Stem Cell Factor Measurement</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</si>
  <si>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</si>
  <si>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</si>
  <si>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</si>
  <si>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</si>
  <si>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</si>
  <si>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SCHISRBC</t>
  </si>
  <si>
    <t>Schistocytes/Erythrocytes</t>
  </si>
  <si>
    <t>A relative measure (ratio or percentage) of schistocytes to erythrocytes in a biological specimen.</t>
  </si>
  <si>
    <t>Schistocyte to Erythrocyte Ratio Measurement</t>
  </si>
  <si>
    <t>SCHISTO</t>
  </si>
  <si>
    <t>Schistocytes</t>
  </si>
  <si>
    <t>A measurement of the schistocytes (fragmented red blood cells) in a biological specimen.</t>
  </si>
  <si>
    <t>Schistocyte Count</t>
  </si>
  <si>
    <t>SCKCERBC</t>
  </si>
  <si>
    <t>Sickle Cells/Erythrocytes</t>
  </si>
  <si>
    <t>A relative measurement (ratio or percentage) of the sickle cells (sickle shaped red blood cells) to all erythrocytes in a biological specimen.</t>
  </si>
  <si>
    <t>Sickle Cell to Erythrocyte Ratio Measurement</t>
  </si>
  <si>
    <t>SCKLCE</t>
  </si>
  <si>
    <t>Sickle Cells</t>
  </si>
  <si>
    <t>Drepanocytes; Sickle Cells</t>
  </si>
  <si>
    <t>A measurement of the sickle cells (sickle shaped red blood cells) in a biological specimen.</t>
  </si>
  <si>
    <t>Sickle Cell Count</t>
  </si>
  <si>
    <t>SCN</t>
  </si>
  <si>
    <t>Thiocyanate</t>
  </si>
  <si>
    <t>A measurement of the thiocyanate in a biological specimen.</t>
  </si>
  <si>
    <t>Thiocyanate Measurement</t>
  </si>
  <si>
    <t>SCNYLACT</t>
  </si>
  <si>
    <t>Succinylacetone</t>
  </si>
  <si>
    <t>A measurement of the succinylacetone in a biological specimen.</t>
  </si>
  <si>
    <t>Succinylacetone Measurement</t>
  </si>
  <si>
    <t>SCORE</t>
  </si>
  <si>
    <t>Score</t>
  </si>
  <si>
    <t>A value (e.g., number, numeric range, ratio) that assesses and orders a result or response for purposes of comparison.</t>
  </si>
  <si>
    <t>SCRYSTYP</t>
  </si>
  <si>
    <t>Scintillation Crystal Type</t>
  </si>
  <si>
    <t>The classification of the crystalline material, which emits light in response to radiation exposure, used in the imaging procedure.</t>
  </si>
  <si>
    <t>SCTTHICK</t>
  </si>
  <si>
    <t>Section Thickness</t>
  </si>
  <si>
    <t>A measurement of the thickness of a sectioned slice (of tissue or mineral or other substance).</t>
  </si>
  <si>
    <t>SDH</t>
  </si>
  <si>
    <t>Sorbitol Dehydrogenase</t>
  </si>
  <si>
    <t>A measurement of the sorbitol dehydrogenase in a biological specimen.</t>
  </si>
  <si>
    <t>Sorbitol Dehydrogenase Measurement</t>
  </si>
  <si>
    <t>SDMA</t>
  </si>
  <si>
    <t>Symmetric Dimethylarginine</t>
  </si>
  <si>
    <t>N,N'-dimethylarginine; Symmetric Dimethylarginine</t>
  </si>
  <si>
    <t>A measurement of the symmetric dimethylarginine in a biological specimen.</t>
  </si>
  <si>
    <t>Symmetric Dimethylarginine Measurement</t>
  </si>
  <si>
    <t>SE</t>
  </si>
  <si>
    <t>Sleep Efficiency</t>
  </si>
  <si>
    <t>A relative measurement (percentage) of the total sleep time (N1 sleep + N2 sleep + N3 sleep + REM sleep) to the total time spent in bed.</t>
  </si>
  <si>
    <t>Selenium</t>
  </si>
  <si>
    <t>A measurement of the selenium in a specimen.</t>
  </si>
  <si>
    <t>Selenium Measurement</t>
  </si>
  <si>
    <t>SECRETIN</t>
  </si>
  <si>
    <t>Secretin</t>
  </si>
  <si>
    <t>A measurement of the secretin hormone in a biological specimen.</t>
  </si>
  <si>
    <t>Secretin Measurement</t>
  </si>
  <si>
    <t>SEDEXAM</t>
  </si>
  <si>
    <t>Sediment Examination</t>
  </si>
  <si>
    <t>Microscopic Sediment Analysis; Sediment Analysis; Sediment Examination</t>
  </si>
  <si>
    <t>An observation, assessment or examination of the sediment in a biological specimen.</t>
  </si>
  <si>
    <t>Sediment Analysis</t>
  </si>
  <si>
    <t>SEN</t>
  </si>
  <si>
    <t>Salmonella enterica</t>
  </si>
  <si>
    <t>A measurement of the Salmonella enterica in a biological specimen.</t>
  </si>
  <si>
    <t>Salmonella enterica Measurement</t>
  </si>
  <si>
    <t>SENBODNA</t>
  </si>
  <si>
    <t>Salmonella enterica/bongori DNA</t>
  </si>
  <si>
    <t>A measurement of the Salmonella enterica and/or Salmonella bongori DNA in a biological specimen.</t>
  </si>
  <si>
    <t>Salmonella enterica and/or Salmonella bongori DNA Measurement</t>
  </si>
  <si>
    <t>SEP</t>
  </si>
  <si>
    <t>Staphylococcus epidermidis</t>
  </si>
  <si>
    <t>A measurement of the Staphylococcus epidermidis in a biological specimen.</t>
  </si>
  <si>
    <t>Staphylococcus epidermidis Measurement</t>
  </si>
  <si>
    <t>SEQREAR</t>
  </si>
  <si>
    <t>Sequence Rearrangement</t>
  </si>
  <si>
    <t>Any product of a process affecting a nucleic acid sequence that results in the gain, loss, inversion, or translocation of nucleic acid.</t>
  </si>
  <si>
    <t>SER</t>
  </si>
  <si>
    <t>Serine</t>
  </si>
  <si>
    <t>A measurement of the serine in a biological specimen.</t>
  </si>
  <si>
    <t>Serine Measurement</t>
  </si>
  <si>
    <t>SERRATIA</t>
  </si>
  <si>
    <t>Serratia</t>
  </si>
  <si>
    <t>A measurement of the organisms that are not assigned to the species level but are assigned to the Serratia genus level in a biological specimen.</t>
  </si>
  <si>
    <t>Serratia Measurement</t>
  </si>
  <si>
    <t>SERTRAL</t>
  </si>
  <si>
    <t>Sertraline</t>
  </si>
  <si>
    <t>A measurement of the sertraline present in a biological specimen.</t>
  </si>
  <si>
    <t>Sertraline Measurement</t>
  </si>
  <si>
    <t>SERTRALN</t>
  </si>
  <si>
    <t>Norsertraline</t>
  </si>
  <si>
    <t>A measurement of the norsertraline in a biological specimen.</t>
  </si>
  <si>
    <t>Norsertraline Measurement</t>
  </si>
  <si>
    <t>SETCON</t>
  </si>
  <si>
    <t>Setting of Contact</t>
  </si>
  <si>
    <t>The environment within which the person may have come into contact with a disease carrier, or played the role of a disease carrier.</t>
  </si>
  <si>
    <t>Setting of Disease Contact</t>
  </si>
  <si>
    <t>SEV</t>
  </si>
  <si>
    <t>Severity/Intensity</t>
  </si>
  <si>
    <t>The degree of something undesirable.</t>
  </si>
  <si>
    <t>Severity</t>
  </si>
  <si>
    <t>SEXABDUR</t>
  </si>
  <si>
    <t>Duration of Sexual Abstinence</t>
  </si>
  <si>
    <t>The length of time during which the individual abstained from sexual activity.</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</si>
  <si>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</si>
  <si>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</si>
  <si>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</si>
  <si>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SEXORIE</t>
  </si>
  <si>
    <t>Sexual Orientation</t>
  </si>
  <si>
    <t>The pattern of a person's emotional, romantic, and/or sexual attractions.</t>
  </si>
  <si>
    <t>SEZCE</t>
  </si>
  <si>
    <t>Sezary Cells</t>
  </si>
  <si>
    <t>A measurement of the Sezary cells (atypical lymphocytes with cerebriform nuclei) in a biological specimen.</t>
  </si>
  <si>
    <t>Sezary Cell Count</t>
  </si>
  <si>
    <t>SEZCELE</t>
  </si>
  <si>
    <t>Sezary Cells/Leukocytes</t>
  </si>
  <si>
    <t>A relative measurement (ratio or percentage) of the Sezary cells to all leukocytes in a biological specimen.</t>
  </si>
  <si>
    <t>Sezary Cells to Leukocytes Ratio Measurement</t>
  </si>
  <si>
    <t>SEZCELY</t>
  </si>
  <si>
    <t>Sezary Cells/Lymphocytes</t>
  </si>
  <si>
    <t>A relative measurement (ratio or percentage of the Sezary cells (atypical lymphocytes with cerebriform nuclei) to all lymphocytes in a biological specimen.</t>
  </si>
  <si>
    <t>Sezary Cell to Lymphocyte Ratio Measurement</t>
  </si>
  <si>
    <t>SFTPD</t>
  </si>
  <si>
    <t>Surfactant Protein D</t>
  </si>
  <si>
    <t>SP-D; Surfactant Protein D</t>
  </si>
  <si>
    <t>A measurement of the surfactant protein D in a biological specimen.</t>
  </si>
  <si>
    <t>Surfactant Protein D Measurement</t>
  </si>
  <si>
    <t>SFTWRNAM</t>
  </si>
  <si>
    <t>Software Name</t>
  </si>
  <si>
    <t>The literal identifier of the software program.</t>
  </si>
  <si>
    <t>SFTWRVER</t>
  </si>
  <si>
    <t>Software Version</t>
  </si>
  <si>
    <t>A form or variant of software; one of a sequence of copies of a software program, each incorporating new modifications. (NCI)</t>
  </si>
  <si>
    <t>SGAW</t>
  </si>
  <si>
    <t>Specific Airway Conductance</t>
  </si>
  <si>
    <t>A measurement of the airway conductance relative to lung volume. (NCI)</t>
  </si>
  <si>
    <t>SGELGE</t>
  </si>
  <si>
    <t>Segmental Late Gadolinium Enhancement</t>
  </si>
  <si>
    <t>The identification of the segment which exabits characteristics of late gadolinium enhancement.</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</si>
  <si>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</si>
  <si>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</si>
  <si>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</si>
  <si>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</si>
  <si>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</si>
  <si>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SHA</t>
  </si>
  <si>
    <t>Staphylococcus haemolyticus</t>
  </si>
  <si>
    <t>A measurement of the Staphylococcus haemolyticus in a biological specimen.</t>
  </si>
  <si>
    <t>Staphylococcus haemolyticus Measurement</t>
  </si>
  <si>
    <t>SHAPE</t>
  </si>
  <si>
    <t>Shape</t>
  </si>
  <si>
    <t>The spatial arrangement of something as distinct from its substance. (NCI)</t>
  </si>
  <si>
    <t>SHBG</t>
  </si>
  <si>
    <t>Sex Hormone Binding Globulin</t>
  </si>
  <si>
    <t>Sex Hormone Binding Globulin; Sex Hormone Binding Protein</t>
  </si>
  <si>
    <t>A measurement of the sex hormone binding (globulin) protein in a biological specimen.</t>
  </si>
  <si>
    <t>Sex Hormone Binding Protein Measurement</t>
  </si>
  <si>
    <t>SHH</t>
  </si>
  <si>
    <t>Sonic Hedgehog</t>
  </si>
  <si>
    <t>A measurement of the sonic hedgehog protein in a biological specimen.</t>
  </si>
  <si>
    <t>Sonic Hedgehog Measurement</t>
  </si>
  <si>
    <t>SHIGAG</t>
  </si>
  <si>
    <t>Shigella Antigen</t>
  </si>
  <si>
    <t>A measurement of the antigen from any member of the genus Shigella in a biological specimen.</t>
  </si>
  <si>
    <t>Shigella Antigen Measurement</t>
  </si>
  <si>
    <t>SHIGATOX</t>
  </si>
  <si>
    <t>Shiga Toxin</t>
  </si>
  <si>
    <t>A measurement of the shiga toxin in a biological specimen.</t>
  </si>
  <si>
    <t>Shiga Toxin Measurement</t>
  </si>
  <si>
    <t>SHIGDNA</t>
  </si>
  <si>
    <t>Shigella DNA</t>
  </si>
  <si>
    <t>A measurement of the DNA from any member of the genus Shigella in a biological specimen.</t>
  </si>
  <si>
    <t>Shigella DNA Measurement</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</si>
  <si>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</si>
  <si>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</si>
  <si>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</si>
  <si>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</si>
  <si>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</si>
  <si>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SHIGELLA</t>
  </si>
  <si>
    <t>Shigella</t>
  </si>
  <si>
    <t>A measurement of the organisms that are not assigned to the species level but are assigned to the Shigella genus level in a biological specimen.</t>
  </si>
  <si>
    <t>Shigella Measurement</t>
  </si>
  <si>
    <t>SHLFLIFE</t>
  </si>
  <si>
    <t>Shelf Life</t>
  </si>
  <si>
    <t>The period during which a medical product retains its properties and stated performance within specified limits if stored under defined conditions. The stability period is determined from the date the product was manufactured.</t>
  </si>
  <si>
    <t>Medical Product Shelf Life</t>
  </si>
  <si>
    <t>SHRTVAR</t>
  </si>
  <si>
    <t>Short Variation</t>
  </si>
  <si>
    <t>An assessment of the variability in a short sequence of nucleotides (generally defined as 50 base pairs or less), when compared to a reference sequence.</t>
  </si>
  <si>
    <t>Short Variation Assessment</t>
  </si>
  <si>
    <t>SHSMEXST</t>
  </si>
  <si>
    <t>Second Hand Smoke Exposure Status</t>
  </si>
  <si>
    <t>The status of an individual with regard to secondhand smoke exposure.</t>
  </si>
  <si>
    <t>SICAM1</t>
  </si>
  <si>
    <t>Soluble Intercell Adhesion Molecule 1</t>
  </si>
  <si>
    <t>A measurement of the soluble intercellular adhesion molecule 1 in a biological specimen.</t>
  </si>
  <si>
    <t>Soluble Intercellular Adhesion Molecule 1 Measurement</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</si>
  <si>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</si>
  <si>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</si>
  <si>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</si>
  <si>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</si>
  <si>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</si>
  <si>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SIGAMP</t>
  </si>
  <si>
    <t>Signal Amplitude</t>
  </si>
  <si>
    <t>A measurement of the height of the signal.</t>
  </si>
  <si>
    <t>SIGFREQ</t>
  </si>
  <si>
    <t>Signal Frequency</t>
  </si>
  <si>
    <t>A measurement of the number of cycles of a periodic wave or pulse per unit of time.</t>
  </si>
  <si>
    <t>SIGW</t>
  </si>
  <si>
    <t>Signal Width</t>
  </si>
  <si>
    <t>A measurement of the range of values seen in the time interval between the beginning and end of the pulse wave.</t>
  </si>
  <si>
    <t>SIXMAM</t>
  </si>
  <si>
    <t>6-Monoacetylmorphine</t>
  </si>
  <si>
    <t>A measurement of the 6-monoacetylmorphine present in a biological specimen.</t>
  </si>
  <si>
    <t>6-Monoacetylmorphine Measurement</t>
  </si>
  <si>
    <t>SIZE</t>
  </si>
  <si>
    <t>Size</t>
  </si>
  <si>
    <t>The physical magnitude of something. (NCI)</t>
  </si>
  <si>
    <t>SKGLAIND</t>
  </si>
  <si>
    <t>Skene's Gland Abnormality Indicator</t>
  </si>
  <si>
    <t>An indication as to whether the Skene's gland is abnormal.</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</si>
  <si>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</si>
  <si>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</si>
  <si>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</si>
  <si>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</si>
  <si>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</si>
  <si>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SKNCUDNC</t>
  </si>
  <si>
    <t>Skin Conductance</t>
  </si>
  <si>
    <t>The degree to which the skin can conduct electricity.</t>
  </si>
  <si>
    <t>SLICNUM</t>
  </si>
  <si>
    <t>Slice Number</t>
  </si>
  <si>
    <t>The numeric identifier used to identify an image slice. (NCI)</t>
  </si>
  <si>
    <t>SLTFRNRC</t>
  </si>
  <si>
    <t>Soluble Transferrin Receptor</t>
  </si>
  <si>
    <t>A measurement of the soluble transferrin receptor in a biological specimen.</t>
  </si>
  <si>
    <t>Soluble Transferrin Receptor Measurement</t>
  </si>
  <si>
    <t>SLXAG</t>
  </si>
  <si>
    <t>Sialyl SSEA-1 Antigen</t>
  </si>
  <si>
    <t>Sialyl Lewis X Antigen; Sialyl Lex; Sialyl SSEA-1 Antigen; Sialyl-CD15; SLeX</t>
  </si>
  <si>
    <t>A measurement of the sialyl stage-specific embryonic antigen-1 in a biological specimen.</t>
  </si>
  <si>
    <t>Sialyl SSEA-1 Antigen Measurement</t>
  </si>
  <si>
    <t>SMA</t>
  </si>
  <si>
    <t>Serratia marcescens</t>
  </si>
  <si>
    <t>A measurement of the Serratia marcescens in a biological specimen.</t>
  </si>
  <si>
    <t>Serratia marcescens Measurement</t>
  </si>
  <si>
    <t>SMADNA</t>
  </si>
  <si>
    <t>Serratia marcescens DNA</t>
  </si>
  <si>
    <t>A measurement of the Serratia marcescens DNA in a biological specimen.</t>
  </si>
  <si>
    <t>Serratia marcescens DNA Measurement</t>
  </si>
  <si>
    <t>SMDGCE</t>
  </si>
  <si>
    <t>Smudge Cells</t>
  </si>
  <si>
    <t>Basket Cells; Gumprecht Shadow Cells; Shadow Cells; Smudge Cells</t>
  </si>
  <si>
    <t>A measurement of the smudge cells (the nuclear remnant of a ruptured white blood cell) in a biological specimen.</t>
  </si>
  <si>
    <t>Smudge Cell Count</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</si>
  <si>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</si>
  <si>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</si>
  <si>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</si>
  <si>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</si>
  <si>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</si>
  <si>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SMGAIND</t>
  </si>
  <si>
    <t>Small for Gestational Age Indicator</t>
  </si>
  <si>
    <t>An indication as to whether the fetus or infant is small for the gestational age.</t>
  </si>
  <si>
    <t>SMREXAM</t>
  </si>
  <si>
    <t>Smear Examination</t>
  </si>
  <si>
    <t>Smear Evaluation; Smear Examination; Specimen Smear Examination</t>
  </si>
  <si>
    <t>An observation, assessment or examination of a smear of a biological specimen.</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</si>
  <si>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</si>
  <si>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</si>
  <si>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</si>
  <si>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</si>
  <si>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</si>
  <si>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SNRARRY</t>
  </si>
  <si>
    <t>Sinus Node Rhythms and Arrhythmias</t>
  </si>
  <si>
    <t>An electrocardiographic assessment of sinus node rhythms and arrhythmias.</t>
  </si>
  <si>
    <t>Sinus Node Rhythm and Arrhythmia ECG Assessment</t>
  </si>
  <si>
    <t>SNV</t>
  </si>
  <si>
    <t>Single Nucleotide Variation</t>
  </si>
  <si>
    <t>An assessment of the variability in a nucleotide found within a specified position of the genome, when compared to a reference nucleotide.</t>
  </si>
  <si>
    <t>Single Nucleotide Variation Assessment</t>
  </si>
  <si>
    <t>SO2</t>
  </si>
  <si>
    <t>Sulfur Dioxide</t>
  </si>
  <si>
    <t>A measurement of the sulfur dioxide in a biological specimen.</t>
  </si>
  <si>
    <t>Sulfur Dioxide Measurement</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</si>
  <si>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</si>
  <si>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</si>
  <si>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</si>
  <si>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</si>
  <si>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SODIUM</t>
  </si>
  <si>
    <t>Sodium</t>
  </si>
  <si>
    <t>A measurement of the sodium in a biological specimen.</t>
  </si>
  <si>
    <t>Sodium Measurement</t>
  </si>
  <si>
    <t>SODMEXR</t>
  </si>
  <si>
    <t>Sodium Excretion Rate</t>
  </si>
  <si>
    <t>A measurement of the amount of sodium being excreted in a biological specimen over a defined amount of time (e.g. one hour).</t>
  </si>
  <si>
    <t>SOL</t>
  </si>
  <si>
    <t>Sleep Onset Latency</t>
  </si>
  <si>
    <t>The duration of time between when the lights are turned off and when the individual falls asleep.</t>
  </si>
  <si>
    <t>SOMATRO</t>
  </si>
  <si>
    <t>Somatotrophin</t>
  </si>
  <si>
    <t>Growth Hormone; Somatotrophin; Somatotropin</t>
  </si>
  <si>
    <t>A measurement of the somatotrophin (growth) hormone in a biological specimen.</t>
  </si>
  <si>
    <t>Somatotrophin Measurement</t>
  </si>
  <si>
    <t>SOST</t>
  </si>
  <si>
    <t>Sclerostin</t>
  </si>
  <si>
    <t>A measurement of the sclerostin in a biological specimen.</t>
  </si>
  <si>
    <t>Sclerostin Measurement</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</si>
  <si>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</si>
  <si>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</si>
  <si>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</si>
  <si>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</si>
  <si>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SPAN1</t>
  </si>
  <si>
    <t>S-Pancreas-1 Antigen</t>
  </si>
  <si>
    <t>S-Pancreas-1 Antigen; Sialylated Carbonated Antigen SPAN-1; SPan-1</t>
  </si>
  <si>
    <t>A measurement of the S-pancreas-1 antigen in a biological specimen.</t>
  </si>
  <si>
    <t>S-Pancreas-1 Antigen Measurement</t>
  </si>
  <si>
    <t>SPDMSION</t>
  </si>
  <si>
    <t>Spatial Dimension</t>
  </si>
  <si>
    <t>Dimension; Spatial Dimension</t>
  </si>
  <si>
    <t>The three dimensional magnitude of an entity expressed as the three axes of length, width, and height (or thickness).</t>
  </si>
  <si>
    <t>Dimension</t>
  </si>
  <si>
    <t>SPECTWD</t>
  </si>
  <si>
    <t>Spectral Width</t>
  </si>
  <si>
    <t>The width of the wavelength interval at half maximum amplitude.</t>
  </si>
  <si>
    <t>SPEED</t>
  </si>
  <si>
    <t>Speed</t>
  </si>
  <si>
    <t>A scalar measure of the rate of movement of the object expressed as the distance traveled divided by the elapsed time.</t>
  </si>
  <si>
    <t>SPERM</t>
  </si>
  <si>
    <t>Spermatozoa</t>
  </si>
  <si>
    <t>A measurement of the spermatozoa cells present in a biological specimen.</t>
  </si>
  <si>
    <t>Spermatozoa Cell Count</t>
  </si>
  <si>
    <t>SPERMMTL</t>
  </si>
  <si>
    <t>Sperm Motility</t>
  </si>
  <si>
    <t>A measurement of the sperm capable of forward, progressive movement in a semen specimen.</t>
  </si>
  <si>
    <t>Sperm Motility Measurement</t>
  </si>
  <si>
    <t>SPERMP</t>
  </si>
  <si>
    <t>Spermatozoa, Progressive</t>
  </si>
  <si>
    <t>A measurement of the progressive spermatozoa (motile in a forward direction) in a biological specimen.</t>
  </si>
  <si>
    <t>Progressive Spermatozoa Measurement</t>
  </si>
  <si>
    <t>SPGRAV</t>
  </si>
  <si>
    <t>Specific Gravity</t>
  </si>
  <si>
    <t>A ratio of the density of a fluid to the density of water.</t>
  </si>
  <si>
    <t>SPHERO</t>
  </si>
  <si>
    <t>Spherocytes</t>
  </si>
  <si>
    <t>A measurement of the spherocytes (small, sphere-shaped red blood cells) in a biological specimen.</t>
  </si>
  <si>
    <t>Spherocyte Count</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</si>
  <si>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</si>
  <si>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</si>
  <si>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</si>
  <si>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</si>
  <si>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</si>
  <si>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</si>
  <si>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</si>
  <si>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</si>
  <si>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</si>
  <si>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</si>
  <si>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SPLA2II</t>
  </si>
  <si>
    <t>Type II Secretory Phospholipase A2</t>
  </si>
  <si>
    <t>A measurement of the type II secretory phospholipase A2 in a biological specimen.</t>
  </si>
  <si>
    <t>Type II Secretory Phospholipase A2 Measurement</t>
  </si>
  <si>
    <t>SPLMIND</t>
  </si>
  <si>
    <t>Splenomegaly Indicator</t>
  </si>
  <si>
    <t>An indication as to whether splenomegaly (enlarged spleen) is present.</t>
  </si>
  <si>
    <t>SPMA</t>
  </si>
  <si>
    <t>S-Phenylmercapturic Acid</t>
  </si>
  <si>
    <t>S-Phenyl Mercapturic Acid; S-Phenylmercapturate; S-Phenylmercapturic Acid; S-PMA</t>
  </si>
  <si>
    <t>A measurement of the S-phenylmercapturic acid in a specimen.</t>
  </si>
  <si>
    <t>S-Phenylmercapturic Acid Measurement</t>
  </si>
  <si>
    <t>SPMAGGLU</t>
  </si>
  <si>
    <t>Sperm Agglutination</t>
  </si>
  <si>
    <t>A measurement of the motile spermatozoa agglutination in a biological specimen.</t>
  </si>
  <si>
    <t>Sperm Agglutination Measurement</t>
  </si>
  <si>
    <t>SPMAGGR</t>
  </si>
  <si>
    <t>Sperm Aggregation</t>
  </si>
  <si>
    <t>A measurement of the immotile spermatozoa aggregation in a biological specimen.</t>
  </si>
  <si>
    <t>Sperm Aggregation Measurement</t>
  </si>
  <si>
    <t>SPMMSPM</t>
  </si>
  <si>
    <t>Motile Sperm/Total Sperm</t>
  </si>
  <si>
    <t>A relative measurement (ratio or percentage) of the motile sperm to total sperm in a biological specimen.</t>
  </si>
  <si>
    <t>Motile Sperm to Total Sperm Ratio Measurement</t>
  </si>
  <si>
    <t>SPMPSPM</t>
  </si>
  <si>
    <t>Spermatozoa, Progressive/Spermatozoa</t>
  </si>
  <si>
    <t>A relative measurement (ratio or percentage) of the progressive spermatozoa to total spermatozoa in a biological specimen.</t>
  </si>
  <si>
    <t>Progressive Spermatozoa to Total Spermatozoa Ratio Measurement</t>
  </si>
  <si>
    <t>SPN</t>
  </si>
  <si>
    <t>Streptococcus pneumoniae</t>
  </si>
  <si>
    <t>A measurement of the Streptococcus pneumoniae in a biological specimen.</t>
  </si>
  <si>
    <t>Streptococcus pneumoniae Measurement</t>
  </si>
  <si>
    <t>SPNAG</t>
  </si>
  <si>
    <t>Streptococcus pneumoniae Antigen</t>
  </si>
  <si>
    <t>A measurement of the Streptococcus pneumoniae antigen in a biological specimen.</t>
  </si>
  <si>
    <t>Streptococcus pneumoniae Antigen Measurement</t>
  </si>
  <si>
    <t>SPNDNA</t>
  </si>
  <si>
    <t>Streptococcus pneumoniae DNA</t>
  </si>
  <si>
    <t>A measurement of Streptococcus pneumoniae DNA in a biological specimen.</t>
  </si>
  <si>
    <t>Streptococcus pneumoniae DNA Measurement</t>
  </si>
  <si>
    <t>SPRARRY</t>
  </si>
  <si>
    <t>Supraventricular Arrhythmias</t>
  </si>
  <si>
    <t>An electrocardiographic assessment of supraventricular arrhythmias excluding tachycardias.</t>
  </si>
  <si>
    <t>Supraventricular Arrhythmia ECG Assessment</t>
  </si>
  <si>
    <t>SPRTARRY</t>
  </si>
  <si>
    <t>Supraventricular Tachyarrhythmias</t>
  </si>
  <si>
    <t>An electrocardiographic assessment of supraventricular tachyarrhythmias.</t>
  </si>
  <si>
    <t>Supraventricular Tachyarrhythmia ECG Assessment</t>
  </si>
  <si>
    <t>SPSMTIME</t>
  </si>
  <si>
    <t>STEAM Pulse Sequence Mixing Time</t>
  </si>
  <si>
    <t>STEAM Pulse Sequence Mixing Time; Stimulated Echo Acquisition Mode Pulse Sequence Mixing Time</t>
  </si>
  <si>
    <t>The time elapsed between the second and third pulses of the stimulated echo acquisition mode (STEAM) pulse sequence.</t>
  </si>
  <si>
    <t>SPWEIGHT</t>
  </si>
  <si>
    <t>Specimen Weight</t>
  </si>
  <si>
    <t>A measurement of the weight of a biological specimen.</t>
  </si>
  <si>
    <t>Specimen Weight Measurement</t>
  </si>
  <si>
    <t>SPY</t>
  </si>
  <si>
    <t>Streptococcus pyogenes</t>
  </si>
  <si>
    <t>A measurement of the Streptococcus pyogenes in a biological specimen.</t>
  </si>
  <si>
    <t>Streptococcus pyogenes Measurement</t>
  </si>
  <si>
    <t>SPYAG</t>
  </si>
  <si>
    <t>Streptococcus pyogenes Antigen</t>
  </si>
  <si>
    <t>A measurement of the Streptococcus pyogenes antigen in a biological specimen.</t>
  </si>
  <si>
    <t>Streptococcus pyogenes Antigen Measurement</t>
  </si>
  <si>
    <t>SPYDNA</t>
  </si>
  <si>
    <t>Streptococcus pyogenes DNA</t>
  </si>
  <si>
    <t>A measurement of the Streptococcus pyogenes DNA in a biological specimen.</t>
  </si>
  <si>
    <t>Streptococcus pyogenes DNA Measurement</t>
  </si>
  <si>
    <t>SR2RDRPR</t>
  </si>
  <si>
    <t>SARS-CoV-2 RdRp RNA</t>
  </si>
  <si>
    <t>SARS-CoV-2 RdRp Gene; SARS-CoV-2 RdRp RNA; SARS-CoV-2 RNA-dependent RNA Polymerase RNA</t>
  </si>
  <si>
    <t>A measurement of the SARS-CoV-2 RdRp RNA in a biological specimen.</t>
  </si>
  <si>
    <t>SARS-CoV-2 RdRp RNA Measurement</t>
  </si>
  <si>
    <t>SRAW</t>
  </si>
  <si>
    <t>Specific Airway Resistance</t>
  </si>
  <si>
    <t>A measurement used to describe airway behavior irrespective of lung volume; it is calculated as airway resistance (Raw) multiplied by functional residual capacity (FRC).</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</si>
  <si>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</si>
  <si>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</si>
  <si>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</si>
  <si>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</si>
  <si>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</si>
  <si>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SRGMSHOA</t>
  </si>
  <si>
    <t>Surgical Mesh Open Area</t>
  </si>
  <si>
    <t>A quantitative or qualitative measurement of the physical dimensions of the open spaces in a loosely woven sheet of inorganic or biological materials, which is used to physically support organs or tissue during a surgical procedure.</t>
  </si>
  <si>
    <t>SRGSTIND</t>
  </si>
  <si>
    <t>Surgically Sterile Indicator</t>
  </si>
  <si>
    <t>An indication as to whether the individual has been surgically sterilized.</t>
  </si>
  <si>
    <t>Individual Surgically Sterile Indicator</t>
  </si>
  <si>
    <t>SRPNA12</t>
  </si>
  <si>
    <t>Serpin A12</t>
  </si>
  <si>
    <t>OL-64; Serpin A12; Serpin Family A Member 12; Vaspin; Visceral Adipose Tissue-Derived Serpin</t>
  </si>
  <si>
    <t>A measurement of the serpin A12 in a biological specimen.</t>
  </si>
  <si>
    <t>Serpin A12 Measurement</t>
  </si>
  <si>
    <t>SRPNA6</t>
  </si>
  <si>
    <t>Serpin A6</t>
  </si>
  <si>
    <t>CBG; Corticosteroid Binding Globulin; Corticosteroid-binding Globulin; Serpin A6; Transcortin</t>
  </si>
  <si>
    <t>A measurement of the serpin A6 in a biological specimen.</t>
  </si>
  <si>
    <t>Serpin A6 Measurement</t>
  </si>
  <si>
    <t>SRPNB5</t>
  </si>
  <si>
    <t>Serpin Family B Member 5</t>
  </si>
  <si>
    <t>Maspin; Peptidase Inhibitor 5; PI-5; PI5; Serpin B5; Serpin Family B Member 5</t>
  </si>
  <si>
    <t>A measurement of the serpin family B member 5 in a biological specimen.</t>
  </si>
  <si>
    <t>Serpin Family B Member 5 Measurement</t>
  </si>
  <si>
    <t>SRPNF1</t>
  </si>
  <si>
    <t>Serpin Family F Member 1</t>
  </si>
  <si>
    <t>PEDF; Pigment Epithelium Derived Factor; Serpin F1; Serpin Family F Member 1</t>
  </si>
  <si>
    <t>A measurement of the serpin family F member 1 in a biological specimen.</t>
  </si>
  <si>
    <t>Serpin Family F Member 1 Measurement</t>
  </si>
  <si>
    <t>SRTONIN</t>
  </si>
  <si>
    <t>Serotonin</t>
  </si>
  <si>
    <t>A measurement of the serotonin hormone in a biological specimen.</t>
  </si>
  <si>
    <t>Serotonin Measurement</t>
  </si>
  <si>
    <t>SSA</t>
  </si>
  <si>
    <t>Staphylococcus saprophyticus</t>
  </si>
  <si>
    <t>A measurement of the Staphylococcus saprophyticus in a biological specimen.</t>
  </si>
  <si>
    <t>Staphylococcus saprophyticus Measurement</t>
  </si>
  <si>
    <t>SSDISC</t>
  </si>
  <si>
    <t>Sign/Symptom Leading to Discontinuation</t>
  </si>
  <si>
    <t>The signs and/or symptoms that result in the discontinuation of treatment or intervention.</t>
  </si>
  <si>
    <t>Sign or Symptom Leading to Discontinuation</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</si>
  <si>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</si>
  <si>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</si>
  <si>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</si>
  <si>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</si>
  <si>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</si>
  <si>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SSMCDNAM</t>
  </si>
  <si>
    <t>State-Specific Medicaid Program Name</t>
  </si>
  <si>
    <t>The name of the U.S. state-specific Medicaid program.</t>
  </si>
  <si>
    <t>SSMCRNAM</t>
  </si>
  <si>
    <t>State-Specific Medicare Program Name</t>
  </si>
  <si>
    <t>The name of the U.S. state-specific Medicare program.</t>
  </si>
  <si>
    <t>SSSKNF</t>
  </si>
  <si>
    <t>Subscapular Skinfold Thickness</t>
  </si>
  <si>
    <t>A measurement of the thickness of a pinch of skin situated below or on the underside of the scapula. (NCI)</t>
  </si>
  <si>
    <t>SSTR2</t>
  </si>
  <si>
    <t>Somatostatin Receptor Type 2</t>
  </si>
  <si>
    <t>Somatostatin Receptor Type 2; SRIF-1</t>
  </si>
  <si>
    <t>A measurement of the somatostatin receptor type 2 in a biological specimen.</t>
  </si>
  <si>
    <t>Somatostatin Receptor Type 2 Measurement</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</si>
  <si>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</si>
  <si>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</si>
  <si>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</si>
  <si>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</si>
  <si>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</si>
  <si>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STAPHCGN</t>
  </si>
  <si>
    <t>Staphylococcus, Coagulase Negative</t>
  </si>
  <si>
    <t>A measurement of the coagulase negative Staphylococcus species in a biological specimen.</t>
  </si>
  <si>
    <t>Coagulase Negative Staphylococcus Measurement</t>
  </si>
  <si>
    <t>STAPHCGP</t>
  </si>
  <si>
    <t>Staphylococcus, Coagulase Positive</t>
  </si>
  <si>
    <t>A measurement of the coagulase positive Staphylococcus species in a biological specimen.</t>
  </si>
  <si>
    <t>Coagulase Positive Staphylococcus Measurement</t>
  </si>
  <si>
    <t>STAT3</t>
  </si>
  <si>
    <t>Signal Transducer and Activator of Transcription 3; STAT3</t>
  </si>
  <si>
    <t>A measurement of the STAT3 (signal transducer and activator of transcription 3) in a biological specimen.</t>
  </si>
  <si>
    <t>STAT3 Measurement</t>
  </si>
  <si>
    <t>STAT3P</t>
  </si>
  <si>
    <t>Phosphorylated STAT3</t>
  </si>
  <si>
    <t>Phosphorylated STAT3; pSTAT3</t>
  </si>
  <si>
    <t>A measurement of the phosphorylated STAT3 (signal transducer and activator of transcription 3) in a biological specimen.</t>
  </si>
  <si>
    <t>Phosphorylated STAT3 Measurement</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</si>
  <si>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</si>
  <si>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</si>
  <si>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</si>
  <si>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</si>
  <si>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</si>
  <si>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</si>
  <si>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</si>
  <si>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</si>
  <si>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</si>
  <si>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STCTIMNG</t>
  </si>
  <si>
    <t>Stent Thrombosis, Coronary, ARC Timing</t>
  </si>
  <si>
    <t>Categorization of the timing of coronary stent thrombosis occurrence per the classification schema described by the Academic Research Consortium (ARC).</t>
  </si>
  <si>
    <t>Academic Research Council Coronary Stent Thrombosis Timing</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</si>
  <si>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</si>
  <si>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</si>
  <si>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</si>
  <si>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</si>
  <si>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STDNTIND</t>
  </si>
  <si>
    <t>Student Indicator</t>
  </si>
  <si>
    <t>An indication as to whether the subject or associated person is enrolled in school.</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</si>
  <si>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</si>
  <si>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</si>
  <si>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</si>
  <si>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</si>
  <si>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</si>
  <si>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</si>
  <si>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</si>
  <si>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</si>
  <si>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</si>
  <si>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</si>
  <si>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</si>
  <si>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</si>
  <si>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</si>
  <si>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</si>
  <si>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</si>
  <si>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</si>
  <si>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</si>
  <si>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</si>
  <si>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</si>
  <si>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</si>
  <si>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</si>
  <si>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</si>
  <si>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</si>
  <si>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</si>
  <si>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</si>
  <si>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</si>
  <si>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</si>
  <si>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</si>
  <si>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</si>
  <si>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</si>
  <si>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</si>
  <si>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</si>
  <si>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</si>
  <si>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</si>
  <si>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</si>
  <si>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</si>
  <si>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</si>
  <si>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</si>
  <si>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</si>
  <si>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</si>
  <si>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STENMALT</t>
  </si>
  <si>
    <t>Stenotrophomonas maltophilia</t>
  </si>
  <si>
    <t>A measurement of the organisms that are assigned to the Stenotrophomonas maltophilia species in a biological specimen.</t>
  </si>
  <si>
    <t>Stenotrophomonas maltophilia Measurement</t>
  </si>
  <si>
    <t>STEPRFX</t>
  </si>
  <si>
    <t>Stepping Reflex</t>
  </si>
  <si>
    <t>An involuntary, primal response in the neonate to take brisk steps when the feet are placed on a surface whilst in a supported standing position.</t>
  </si>
  <si>
    <t>Step Reflex</t>
  </si>
  <si>
    <t>STEPSTN</t>
  </si>
  <si>
    <t>Number of Steps Taken</t>
  </si>
  <si>
    <t>The number of footsteps taken by an individual.</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</si>
  <si>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</si>
  <si>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</si>
  <si>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</si>
  <si>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</si>
  <si>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STHICK</t>
  </si>
  <si>
    <t>Slice Thickness</t>
  </si>
  <si>
    <t>The dimension between two surfaces of an imaging plane. (NCI)</t>
  </si>
  <si>
    <t>Image Slice Thickness</t>
  </si>
  <si>
    <t>STILBIND</t>
  </si>
  <si>
    <t>Stillbirth Indicator</t>
  </si>
  <si>
    <t>An indication as to whether any pregnancies resulted in stillbirths.</t>
  </si>
  <si>
    <t>STIMPARM</t>
  </si>
  <si>
    <t>Stimulation Parameter</t>
  </si>
  <si>
    <t>The type of electrode (monopolar or bipolar) used on the subject during electrical stimulation of the body or organ.</t>
  </si>
  <si>
    <t>Electrical Stimulation Electrode Type</t>
  </si>
  <si>
    <t>STIPBASO</t>
  </si>
  <si>
    <t>Basophilic Stippling</t>
  </si>
  <si>
    <t>A measurement of the basophilic stippling in a biological specimen.</t>
  </si>
  <si>
    <t>Basophilic Stippling Measurement</t>
  </si>
  <si>
    <t>STMIDX</t>
  </si>
  <si>
    <t>Stimulation Index</t>
  </si>
  <si>
    <t>A relative measurement (ratio or percentage) of a cell characteristic or response in the presence of a stimulating agent relative to a non-stimulated control.</t>
  </si>
  <si>
    <t>Stimulation Index Count</t>
  </si>
  <si>
    <t>STNBLN</t>
  </si>
  <si>
    <t>Stenbolone</t>
  </si>
  <si>
    <t>Deacetylanatrofin; Stenbolone</t>
  </si>
  <si>
    <t>A measurement of the stenbolone in a biological specimen.</t>
  </si>
  <si>
    <t>Stenbolone Measurement</t>
  </si>
  <si>
    <t>STNZLL</t>
  </si>
  <si>
    <t>Stanozolol</t>
  </si>
  <si>
    <t>A measurement of the stanozolol in a biological specimen.</t>
  </si>
  <si>
    <t>Stanozolol Measurement</t>
  </si>
  <si>
    <t>STOMCY</t>
  </si>
  <si>
    <t>Stomatocytes</t>
  </si>
  <si>
    <t>A measurement of the stomatocytes (red blood cells with an oval or rectangular area of central pallor, producing the appearance of a cell mouth) in a biological specimen.</t>
  </si>
  <si>
    <t>Stomatocyte Count</t>
  </si>
  <si>
    <t>STRCTNUM</t>
  </si>
  <si>
    <t>Number of Strictures</t>
  </si>
  <si>
    <t>The number of anatomical strictures observed.</t>
  </si>
  <si>
    <t>STREPTOC</t>
  </si>
  <si>
    <t>Streptococcus</t>
  </si>
  <si>
    <t>A measurement of the organisms that are not assigned to the species level but are assigned to the Streptococcus genus level in a biological specimen.</t>
  </si>
  <si>
    <t>Streptococcus Measurement</t>
  </si>
  <si>
    <t>STROKTYP</t>
  </si>
  <si>
    <t>Stroke Type</t>
  </si>
  <si>
    <t>Categorization of the type of stroke.</t>
  </si>
  <si>
    <t>STROKVOL</t>
  </si>
  <si>
    <t>Stroke Volume</t>
  </si>
  <si>
    <t>The difference in the volumes of blood between the points of maximum dilation and maximum contraction. This is the end diastolic volume minus the end systolic volume.</t>
  </si>
  <si>
    <t>STROPONI</t>
  </si>
  <si>
    <t>Skeletal Troponin I</t>
  </si>
  <si>
    <t>Skeletal Troponin I; sTnl</t>
  </si>
  <si>
    <t>A measurement of the total skeletal troponin I in a biological specimen.</t>
  </si>
  <si>
    <t>Skeletal Troponin I Measurement</t>
  </si>
  <si>
    <t>STS</t>
  </si>
  <si>
    <t>Steroid Sulfatase</t>
  </si>
  <si>
    <t>Steroid Sulfatase; Steryl-sulfatase</t>
  </si>
  <si>
    <t>A measurement of the steroid sulfatase in a biological specimen.</t>
  </si>
  <si>
    <t>Steroid Sulfatase Measurement</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</si>
  <si>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</si>
  <si>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</si>
  <si>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</si>
  <si>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</si>
  <si>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STSDURSB</t>
  </si>
  <si>
    <t>ST Segment Duration, Single Beat</t>
  </si>
  <si>
    <t>An electrocardiographic interval measured from the J point to the onset of the T wave of a single beat utilizing one or more leads.</t>
  </si>
  <si>
    <t>ST Segment Duration Single Beat</t>
  </si>
  <si>
    <t>STSTWUW</t>
  </si>
  <si>
    <t>ST Segment, T wave, and U wave</t>
  </si>
  <si>
    <t>An electrocardiographic assessment of the characteristics of the ST segment, T wave, and U wave.</t>
  </si>
  <si>
    <t>ST Segment, T wave, and U wave ECG Assessment</t>
  </si>
  <si>
    <t>STYRENE</t>
  </si>
  <si>
    <t>Styrene</t>
  </si>
  <si>
    <t>Cinnamene; Ethenylbenzene; Phenylethylene; Styrene; Vinylbenzene</t>
  </si>
  <si>
    <t>A measurement of the styrene in a specimen.</t>
  </si>
  <si>
    <t>Styrene Measurement</t>
  </si>
  <si>
    <t>SUBECADT</t>
  </si>
  <si>
    <t>Subject to Eye Chart Actual Distance</t>
  </si>
  <si>
    <t>The actual distance between the subject and the eye chart during an eye assessment.</t>
  </si>
  <si>
    <t>Actual Subject to Eye Chart Distance</t>
  </si>
  <si>
    <t>SUBECPDT</t>
  </si>
  <si>
    <t>Subject to Eye Chart Planned Distance</t>
  </si>
  <si>
    <t>The planned distance between the subject and the eye chart during an eye assessment.</t>
  </si>
  <si>
    <t>Planned Subject to Eye Chart Distance</t>
  </si>
  <si>
    <t>SUCKRFX</t>
  </si>
  <si>
    <t>Sucking Reflex</t>
  </si>
  <si>
    <t>An involuntary, primal response in the neonate when a nipple is placed on an infant's lips.</t>
  </si>
  <si>
    <t>SUFNTNL</t>
  </si>
  <si>
    <t>Sufentanil</t>
  </si>
  <si>
    <t>A measurement of the sufentanil in a biological specimen.</t>
  </si>
  <si>
    <t>Sufentanil Measurement</t>
  </si>
  <si>
    <t>SULFATE</t>
  </si>
  <si>
    <t>Sulfate</t>
  </si>
  <si>
    <t>Sulfate; Sulphate</t>
  </si>
  <si>
    <t>A measurement of the sulfate in a biological specimen.</t>
  </si>
  <si>
    <t>Sulfate Measurement</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</si>
  <si>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</si>
  <si>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</si>
  <si>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</si>
  <si>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</si>
  <si>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</si>
  <si>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</si>
  <si>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</si>
  <si>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</si>
  <si>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</si>
  <si>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</si>
  <si>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</si>
  <si>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</si>
  <si>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</si>
  <si>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</si>
  <si>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</si>
  <si>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SUMDIAM</t>
  </si>
  <si>
    <t>Sum of Diameter</t>
  </si>
  <si>
    <t>A calculation of the aggregated diameter values.</t>
  </si>
  <si>
    <t>Sum of Diameters</t>
  </si>
  <si>
    <t>SUMLDIAM</t>
  </si>
  <si>
    <t>Sum of Longest Diameter</t>
  </si>
  <si>
    <t>A calculation of the aggregated longest diameter values.</t>
  </si>
  <si>
    <t>Sum of Longest Diameters</t>
  </si>
  <si>
    <t>SUMLPERP</t>
  </si>
  <si>
    <t>Sum of Longest Perpendicular</t>
  </si>
  <si>
    <t>A calculation of the aggregated longest perpendicular values.</t>
  </si>
  <si>
    <t>Sum of Longest Perpendiculars</t>
  </si>
  <si>
    <t>SUMNLNLD</t>
  </si>
  <si>
    <t>Sum Diameters of Non Lymph Node Tumors</t>
  </si>
  <si>
    <t>A calculation of the aggregated diameter values for tumors other than the lymph nodes.</t>
  </si>
  <si>
    <t>Sum of Diameters of Non Lymph Node Tumors</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</si>
  <si>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</si>
  <si>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</si>
  <si>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</si>
  <si>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</si>
  <si>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</si>
  <si>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SUMVDIAM</t>
  </si>
  <si>
    <t>Sum of Viable Diameter</t>
  </si>
  <si>
    <t>A calculation of the aggregated diameter values taken from the viable portion of the tumor mass.</t>
  </si>
  <si>
    <t>Sum of Viable Diameters</t>
  </si>
  <si>
    <t>SUMVOL</t>
  </si>
  <si>
    <t>Sum of Volume</t>
  </si>
  <si>
    <t>A calculation of the aggregated volume values.</t>
  </si>
  <si>
    <t>Sum of Volumes</t>
  </si>
  <si>
    <t>SURVSTAT</t>
  </si>
  <si>
    <t>Survival Status</t>
  </si>
  <si>
    <t>The state or condition of being living or deceased; also includes the case where the vital status is unknown.</t>
  </si>
  <si>
    <t>Vital Status</t>
  </si>
  <si>
    <t>SUSMUIND</t>
  </si>
  <si>
    <t>Susceptibility Score Mutations Indicator</t>
  </si>
  <si>
    <t>An indication as to whether one or more scored mutations of interest that may confer susceptibility in the microorganism is present.</t>
  </si>
  <si>
    <t>SUV</t>
  </si>
  <si>
    <t>Standard Uptake Value</t>
  </si>
  <si>
    <t>The ratio between the tissue radioactivity concentration at a point in time C(T) and the injected dose of radioactivity per kilogram of the patient's body weight.</t>
  </si>
  <si>
    <t>Standardized Uptake Value</t>
  </si>
  <si>
    <t>SUVMAX</t>
  </si>
  <si>
    <t>Standardized Uptake Value Maximum</t>
  </si>
  <si>
    <t>The standardized (by total body weight) uptake value of the pixel or voxel with the strongest signal, within a defined area or volume of interest (VOI).</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</si>
  <si>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</si>
  <si>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</si>
  <si>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</si>
  <si>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</si>
  <si>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SUVMIN</t>
  </si>
  <si>
    <t>Standardized Uptake Value Minimum</t>
  </si>
  <si>
    <t>The standardized (by total body weight) uptake value of the pixel or voxel with the lowest signal, within a defined area or volume of interest (VOI).</t>
  </si>
  <si>
    <t>SUVPEAK</t>
  </si>
  <si>
    <t>Standardized Uptake Value Peak</t>
  </si>
  <si>
    <t>The maximum average (peak) of standardized (by total body weight) uptake value distribution, generated by a histogram of all SUV values, across a defined area or volume of interest (VOI).</t>
  </si>
  <si>
    <t>SUVR</t>
  </si>
  <si>
    <t>Standard Uptake Value Ratio</t>
  </si>
  <si>
    <t>The ratio between the uptake or binding of a radiopharmaceutical agent in an anatomical region of interest and a context-defined reference anatomical region.</t>
  </si>
  <si>
    <t>SVC</t>
  </si>
  <si>
    <t>Slow Vital Capacity</t>
  </si>
  <si>
    <t>The maximum volume of air that can be exhaled after slow maximum inhalation.</t>
  </si>
  <si>
    <t>SVCAM1</t>
  </si>
  <si>
    <t>Soluble Vasc Cell Adhesion Molecule 1</t>
  </si>
  <si>
    <t>A measurement of the soluble vascular cell adhesion molecule 1 in a biological specimen.</t>
  </si>
  <si>
    <t>Soluble Vascular Cell Adhesion Molecule 1</t>
  </si>
  <si>
    <t>SVCPP</t>
  </si>
  <si>
    <t>Percent Predicted Slow Vital Capacity</t>
  </si>
  <si>
    <t>The maximum volume of air that can be exhaled after slow maximum inhalation as a proportion of the predicted normal value.</t>
  </si>
  <si>
    <t>SVR</t>
  </si>
  <si>
    <t>Systemic Vascular Resistance</t>
  </si>
  <si>
    <t>Systemic Vascular Resistance; Total Peripheral Resistance</t>
  </si>
  <si>
    <t>The resistance to blood flow through the systemic vasculature.</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</si>
  <si>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</si>
  <si>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</si>
  <si>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</si>
  <si>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</si>
  <si>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</si>
  <si>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</si>
  <si>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</si>
  <si>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</si>
  <si>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</si>
  <si>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</si>
  <si>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</si>
  <si>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</si>
  <si>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SXPRTFN</t>
  </si>
  <si>
    <t>Number of Female Sexual Partners</t>
  </si>
  <si>
    <t>Total Number of Female Sexual Partners</t>
  </si>
  <si>
    <t>The number of females with whom one has engaged in sexual activity within a specified time interval.</t>
  </si>
  <si>
    <t>SXPRTMN</t>
  </si>
  <si>
    <t>Number of Male Sexual Partners</t>
  </si>
  <si>
    <t>Total Number of Male Sexual Partners</t>
  </si>
  <si>
    <t>The number of males with whom one has engaged in sexual activity within a specified time interval.</t>
  </si>
  <si>
    <t>SXPRTNFN</t>
  </si>
  <si>
    <t>Number of New Female Sexual Partners</t>
  </si>
  <si>
    <t>The number of new female sexual partners within a specified time interval.</t>
  </si>
  <si>
    <t>SXPRTNMN</t>
  </si>
  <si>
    <t>Number of New Male Sexual Partners</t>
  </si>
  <si>
    <t>The number of new male sexual partners within a specified time interval.</t>
  </si>
  <si>
    <t>SXPRTNON</t>
  </si>
  <si>
    <t>Number of New Oral Sexual Partners</t>
  </si>
  <si>
    <t>The number of new individuals with whom one has engaged in oral sex within a specified time interval.</t>
  </si>
  <si>
    <t>SXPRTON</t>
  </si>
  <si>
    <t>Number of Oral Sexual Partners</t>
  </si>
  <si>
    <t>Total Number of Oral Sexual Partners</t>
  </si>
  <si>
    <t>The number of individuals with whom one has engaged in oral sexual activity within a specified time interval.</t>
  </si>
  <si>
    <t>SYMPINDC</t>
  </si>
  <si>
    <t>Symptom Indicator</t>
  </si>
  <si>
    <t>An indication as to whether the subject had symptoms related to the clinical event.</t>
  </si>
  <si>
    <t>SYMPTOM</t>
  </si>
  <si>
    <t>Symptom</t>
  </si>
  <si>
    <t>A physical or mental experience or observation reported by a patient that may indicate a disease.</t>
  </si>
  <si>
    <t>SYMSTDTC</t>
  </si>
  <si>
    <t>Symptom Onset Date</t>
  </si>
  <si>
    <t>The date time of the onset of symptoms of the clinical event.</t>
  </si>
  <si>
    <t>SYNVCY</t>
  </si>
  <si>
    <t>Synoviocytes</t>
  </si>
  <si>
    <t>Synoviocytes; Total Synoviocytes</t>
  </si>
  <si>
    <t>A measurement of the total synoviocytes in a biological specimen.</t>
  </si>
  <si>
    <t>Synoviocytes Cell Count</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</si>
  <si>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</si>
  <si>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</si>
  <si>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</si>
  <si>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</si>
  <si>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</si>
  <si>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SYSBP</t>
  </si>
  <si>
    <t>Systolic Blood Pressure</t>
  </si>
  <si>
    <t>The maximum blood pressure in the systemic arterial circulation during the cardiac cycle.</t>
  </si>
  <si>
    <t>SYSPRS_E</t>
  </si>
  <si>
    <t>Systolic Pressure, Estimated</t>
  </si>
  <si>
    <t>A quantitative estimate of the pressure in a given cardiovascular structure during ventricular systole.</t>
  </si>
  <si>
    <t>Estimated Systolic Blood Pressure</t>
  </si>
  <si>
    <t>T_AXIS</t>
  </si>
  <si>
    <t>T Wave Axis</t>
  </si>
  <si>
    <t>A numerical representation of the electrocardiographic vector assessed at maximum deviation of the T wave from the isoelectric baseline, usually reported for the frontal plane.</t>
  </si>
  <si>
    <t>T1</t>
  </si>
  <si>
    <t>Longitudinal Relaxation Time</t>
  </si>
  <si>
    <t>Longitudinal Relaxation Time; Spin-Lattice Relaxation Time; T1 Relaxation Time; T1 Time</t>
  </si>
  <si>
    <t>The time constant representing the decay of longitudinal magnetization.</t>
  </si>
  <si>
    <t>T2</t>
  </si>
  <si>
    <t>Transverse Relaxation Time</t>
  </si>
  <si>
    <t>Spin-Spin Relaxation; T2 Relaxation Time; T2 Time; Transverse Relaxation Time</t>
  </si>
  <si>
    <t>The time constant representing the decay of transverse magnetization.</t>
  </si>
  <si>
    <t>Transverse Spin Relaxation Time</t>
  </si>
  <si>
    <t>T3</t>
  </si>
  <si>
    <t>Triiodothyronine</t>
  </si>
  <si>
    <t>Total T3; Triiodothyronine</t>
  </si>
  <si>
    <t>A measurement of the total (free and bound) triiodothyronine in a biological specimen.</t>
  </si>
  <si>
    <t>Triiodothyronine Measurement</t>
  </si>
  <si>
    <t>T3FR</t>
  </si>
  <si>
    <t>Triiodothyronine, Free</t>
  </si>
  <si>
    <t>Free T3; Triiodothyronine, Free</t>
  </si>
  <si>
    <t>A measurement of the free triiodothyronine in a biological specimen.</t>
  </si>
  <si>
    <t>Free Triiodothyronine Measurement</t>
  </si>
  <si>
    <t>T3HCT</t>
  </si>
  <si>
    <t>Trans-3-Hydroxycotinine</t>
  </si>
  <si>
    <t>Hydroxycotinine; Trans-3-Hydroxycotinine</t>
  </si>
  <si>
    <t>A measurement of the trans-3-hydroxycotinine in a specimen.</t>
  </si>
  <si>
    <t>Trans-3-Hydroxycotinine Measurement</t>
  </si>
  <si>
    <t>T3HCTGLC</t>
  </si>
  <si>
    <t>Trans-3-Hydroxycotinine Glucuronide</t>
  </si>
  <si>
    <t>3HC-Gluc; Trans-3-Hydroxycotinine Glucuronide</t>
  </si>
  <si>
    <t>A measurement of the trans-3-hydroxycotinine glucuronide in a specimen.</t>
  </si>
  <si>
    <t>Trans-3-Hydroxycotinine Glucuronide Measurement</t>
  </si>
  <si>
    <t>T3HXCT</t>
  </si>
  <si>
    <t>Trans-3 Hydroxycotinine</t>
  </si>
  <si>
    <t>3-HC; 3HC; Trans-3 Hydroxycotinine</t>
  </si>
  <si>
    <t>A measurement of the total trans-3'- hydroxycotinine in a specimen.</t>
  </si>
  <si>
    <t>Trans-3 Hydroxycotinine Measurement</t>
  </si>
  <si>
    <t>T3HXCTFR</t>
  </si>
  <si>
    <t>Trans-3'- Hydroxycotinine, Free</t>
  </si>
  <si>
    <t>Free 3-HC; Free 3HC; Trans-3'- Hydroxycotinine, Free</t>
  </si>
  <si>
    <t>A measurement of the free (unbound) trans-3'- hydroxycotinine in a specimen.</t>
  </si>
  <si>
    <t>Free Trans-3'-Hydroxycotinine Measurement</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</si>
  <si>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</si>
  <si>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</si>
  <si>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</si>
  <si>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</si>
  <si>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</si>
  <si>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T3UP</t>
  </si>
  <si>
    <t>Triiodothyronine Uptake</t>
  </si>
  <si>
    <t>T3RU; T3U; Triiodothyronine Uptake</t>
  </si>
  <si>
    <t>A measurement of the binding of triiodothyronine to thyroxine binding globulin protein in a biological specimen.</t>
  </si>
  <si>
    <t>Triiodothyronine Uptake Measurement</t>
  </si>
  <si>
    <t>T4</t>
  </si>
  <si>
    <t>Thyroxine</t>
  </si>
  <si>
    <t>Thyroxine; Total T4</t>
  </si>
  <si>
    <t>A measurement of the total (free and bound) thyroxine in a biological specimen.</t>
  </si>
  <si>
    <t>Total Thyroxine Measurement</t>
  </si>
  <si>
    <t>T4FR</t>
  </si>
  <si>
    <t>Thyroxine, Free</t>
  </si>
  <si>
    <t>Free T4; Thyroxine, Free</t>
  </si>
  <si>
    <t>A measurement of the free thyroxine in a biological specimen.</t>
  </si>
  <si>
    <t>Free Thyroxine Measurement</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</si>
  <si>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</si>
  <si>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</si>
  <si>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</si>
  <si>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</si>
  <si>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T4FRIND</t>
  </si>
  <si>
    <t>Thyroxine, Free, Indirect</t>
  </si>
  <si>
    <t>An indirect measurement of the free thyroxine in a biological specimen.</t>
  </si>
  <si>
    <t>Indirect Free Thyroxine Measurement</t>
  </si>
  <si>
    <t>TAC</t>
  </si>
  <si>
    <t>Total Antioxidant Capacity</t>
  </si>
  <si>
    <t>Total Anti-Oxidant Capacity; Total Antioxidant Capacity</t>
  </si>
  <si>
    <t>A measurement of the amount and/or activity of antioxidants in a specimen.</t>
  </si>
  <si>
    <t>Total Antioxidant Capacity Measurement</t>
  </si>
  <si>
    <t>TAP1</t>
  </si>
  <si>
    <t>Peptide Transporter TAP1</t>
  </si>
  <si>
    <t>Antigen Peptide Transporter 1; Peptide Transporter TAP1</t>
  </si>
  <si>
    <t>A measurement of the peptide transporter TAP1 in a biological specimen.</t>
  </si>
  <si>
    <t>Peptide Transporter TAP1 Measurement</t>
  </si>
  <si>
    <t>TAT</t>
  </si>
  <si>
    <t>Thrombin/Antithrombin</t>
  </si>
  <si>
    <t>Thrombin/Antithrombin; Thrombin/Antithrombin III</t>
  </si>
  <si>
    <t>A relative measurement (ratio or percentage) of the thrombin to antithrombin present in a sample.</t>
  </si>
  <si>
    <t>Thrombin to Antithrombin Ratio Measurement</t>
  </si>
  <si>
    <t>TATC</t>
  </si>
  <si>
    <t>Thrombin Antithrombin Complex</t>
  </si>
  <si>
    <t>TAT; Thrombin Antithrombin Complex; Thrombin Antithrombin Complex Antigen</t>
  </si>
  <si>
    <t>A measurement of the thrombin-antithrombin complexes in a biological specimen.</t>
  </si>
  <si>
    <t>Thrombin Antithrombin Complex Measurement</t>
  </si>
  <si>
    <t>TAU181P</t>
  </si>
  <si>
    <t>Phosphorylated Tau Protein 181</t>
  </si>
  <si>
    <t>Phosphorylated Tau 181; Phosphorylated Tau Protein 181; pTau181</t>
  </si>
  <si>
    <t>A measurement of the phosphorylated Tau protein 181 in a biological specimen.</t>
  </si>
  <si>
    <t>Phosphorylated Tau Protein 181 Measurement</t>
  </si>
  <si>
    <t>TAU212P</t>
  </si>
  <si>
    <t>Phosphorylated Tau Protein 212</t>
  </si>
  <si>
    <t>Phosphorylated Tau 212; Phosphorylated Tau Protein 212; pTau212</t>
  </si>
  <si>
    <t>A measurement of the phosphorylated Tau protein 212 in a biological specimen.</t>
  </si>
  <si>
    <t>Phosphorylated Tau Protein 212 Measurement</t>
  </si>
  <si>
    <t>TAU217P</t>
  </si>
  <si>
    <t>Phosphorylated Tau Protein 217</t>
  </si>
  <si>
    <t>Phosphorylated Tau 217; Phosphorylated Tau Protein 217; pTau217</t>
  </si>
  <si>
    <t>A measurement of the phosphorylated Tau protein 217 in a biological specimen.</t>
  </si>
  <si>
    <t>Phosphorylated Tau Protein 217 Measurement</t>
  </si>
  <si>
    <t>TAU231P</t>
  </si>
  <si>
    <t>Phosphorylated Tau Protein 231</t>
  </si>
  <si>
    <t>Phosphorylated Tau 231; Phosphorylated Tau Protein 231; pTau231</t>
  </si>
  <si>
    <t>A measurement of the phosphorylated Tau protein 231 in a biological specimen.</t>
  </si>
  <si>
    <t>Phosphorylated Tau Protein 231 Measurement</t>
  </si>
  <si>
    <t>TAURCRT</t>
  </si>
  <si>
    <t>Taurine/Creatinine</t>
  </si>
  <si>
    <t>A relative measurement (ratio) of the taurine to the creatinine in a biological specimen.</t>
  </si>
  <si>
    <t>Taurine to Creatinine Ratio Measurement</t>
  </si>
  <si>
    <t>TAURINE</t>
  </si>
  <si>
    <t>Taurine</t>
  </si>
  <si>
    <t>Tauric Acid; Taurine</t>
  </si>
  <si>
    <t>A measurement of the taurine in a biological specimen.</t>
  </si>
  <si>
    <t>Taurine Measurement</t>
  </si>
  <si>
    <t>TBFLMASS</t>
  </si>
  <si>
    <t>Tobacco Filler Mass</t>
  </si>
  <si>
    <t>The mass of tobacco filler in a tobacco product.</t>
  </si>
  <si>
    <t>TBG</t>
  </si>
  <si>
    <t>Thyroxine Binding Globulin</t>
  </si>
  <si>
    <t>A measurement of the thyroxine binding globulin protein in a biological specimen.</t>
  </si>
  <si>
    <t>Thyroxine Binding Globulin Protein Measurement</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</si>
  <si>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</si>
  <si>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</si>
  <si>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</si>
  <si>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</si>
  <si>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</si>
  <si>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TBP</t>
  </si>
  <si>
    <t>TATA Box Binding Protein</t>
  </si>
  <si>
    <t>TATA Box Binding Protein; TATA-Binding Protein</t>
  </si>
  <si>
    <t>A measurement of the TATA-box binding protein in a biological specimen.</t>
  </si>
  <si>
    <t>TATA Box Binding Protein Measurement</t>
  </si>
  <si>
    <t>TBSNTMN</t>
  </si>
  <si>
    <t>Tobacco-Specific Nitrosamines</t>
  </si>
  <si>
    <t>A measurement of the tobacco-specific nitrosamines in a specimen.</t>
  </si>
  <si>
    <t>Tobacco-Specific Nitrosamines Measurement</t>
  </si>
  <si>
    <t>TBW</t>
  </si>
  <si>
    <t>Total Body Water</t>
  </si>
  <si>
    <t>A measurement of the quantity of water within the body, including both the intracellular and extracellular compartments.</t>
  </si>
  <si>
    <t>Total Body Water Measurement</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</si>
  <si>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</si>
  <si>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</si>
  <si>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</si>
  <si>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</si>
  <si>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</si>
  <si>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TCCMGH</t>
  </si>
  <si>
    <t>TLym Cytx Cen Mem GH</t>
  </si>
  <si>
    <t>T-Lymphocytes Cytotoxic Central Memory Gut-Homing; TLym Cytx Cen Mem GH</t>
  </si>
  <si>
    <t>A measurement of the gut-homing cytotoxic central memory T-lymphocytes in a biological specimen.</t>
  </si>
  <si>
    <t>Gut-Homing Cytotoxic Central Memory T-Lymphocyte Count</t>
  </si>
  <si>
    <t>TCCMGHS</t>
  </si>
  <si>
    <t>TLym Cytx Cen Mem GH Sub</t>
  </si>
  <si>
    <t>T-Lymphocytes Cytotoxic Central Memory Gut-Homing Sub-Population; TLym Cytx Cen Mem GH Sub</t>
  </si>
  <si>
    <t>A measurement of a sub-population of gut-homing cytotoxic central memory T-lymphocytes in a biological specimen.</t>
  </si>
  <si>
    <t>Gut-Homing Cytotoxic Central Memory T-Lymphocyte Subpopulation Count</t>
  </si>
  <si>
    <t>TCCMGHSP</t>
  </si>
  <si>
    <t>TLym Cytx Cen Mem GH Sub/TLymCCMGH</t>
  </si>
  <si>
    <t>T-Lymphocytes Cytotoxic Central Memory Gut-Homing Sub-Population/T-Lymphocytes Cytotoxic Central Memory Gut-Homing; TLym Cytx Cen Mem GH Sub/TLym Cytx Cen Mem GH; TLym Cytx Cen Mem GH Sub/TLymCCMGH</t>
  </si>
  <si>
    <t>A relative measurement (ratio or percentage) of a sub-population of gut-homing cytotoxic central memory T-lymphocytes to total gut-homing cytotoxic central memory T-lymphocytes in a biological specimen.</t>
  </si>
  <si>
    <t>Gut-Homing Cytotoxic Central Memory T-Lymphocyte Subpopulation to Gut-Homing Cytotoxic Central Memory T-Lymphocyte Ratio Measurement</t>
  </si>
  <si>
    <t>TCCMGHTC</t>
  </si>
  <si>
    <t>TLym Cytx Cen Mem GH/TLymC</t>
  </si>
  <si>
    <t>T-Lymphocytes Cytotoxic Central Memory Gut-Homing/T-Lymphocytes Cytotoxic; TLym Cytx Cen Mem GH/TLym Cytx; TLym Cytx Cen Mem GH/TLymC</t>
  </si>
  <si>
    <t>A relative measurement (ratio or percentage) of the gut-homing cytotoxic central memory T-lymphocytes to total cytotoxic T-lymphocytes in a biological specimen.</t>
  </si>
  <si>
    <t>Gut-Homing Cytotoxic Central Memory T-Lymphocyte to Cytotoxic T-Lymphocyte Ratio Measurement</t>
  </si>
  <si>
    <t>TCCMSH</t>
  </si>
  <si>
    <t>TLym Cytx Cen Mem SH</t>
  </si>
  <si>
    <t>T-Lymphocytes Cytotoxic Central Memory Skin-Homing; TLym Cytx Cen Mem SH</t>
  </si>
  <si>
    <t>A measurement of the skin-homing cytotoxic central memory T-lymphocytes in a biological specimen.</t>
  </si>
  <si>
    <t>Skin-Homing Cytotoxic Central Memory T-Lymphocyte Count</t>
  </si>
  <si>
    <t>TCCMSHS</t>
  </si>
  <si>
    <t>TLym Cytx Cen Mem SH Sub</t>
  </si>
  <si>
    <t>T-Lymphocytes Cytotoxic Central Memory Skin-Homing Sub-Population; TLym Cytx Cen Mem SH Sub</t>
  </si>
  <si>
    <t>A measurement of a sub-population of skin-homing cytotoxic central memory T-lymphocytes in a biological specimen.</t>
  </si>
  <si>
    <t>Skin-Homing Cytotoxic Central Memory T-Lymphocyte Subpopulation Count</t>
  </si>
  <si>
    <t>TCCMSHSP</t>
  </si>
  <si>
    <t>TLym Cytx Cen Mem SH Sub/TLymCCMSH</t>
  </si>
  <si>
    <t>T-Lymphocytes Cytotoxic Central Memory Skin-Homing Sub-Population/T-Lymphocytes Cytotoxic Central Memory Skin-Homing; TLym Cytx Cen Mem SH Sub/TLym Cytx Cen Mem SH; TLym Cytx Cen Mem SH Sub/TLymCCMSH</t>
  </si>
  <si>
    <t>A relative measurement (ratio or percentage) of a sub-population of skin-homing cytotoxic central memory T-lymphocytes to total skin-homing cytotoxic central memory T-lymphocytes in a biological specimen.</t>
  </si>
  <si>
    <t>Skin-Homing Cytotoxic Central Memory T-Lymphocyte Subpopulation to Skin-Homing Cytotoxic Central Memory T-Lymphocyte Ratio Measurement</t>
  </si>
  <si>
    <t>TCCMSHTC</t>
  </si>
  <si>
    <t>TLym Cytx Cen Mem SH/TLymC</t>
  </si>
  <si>
    <t>T-Lymphocytes Cytotoxic Central Memory Skin-Homing/T-Lymphocytes Cytotoxic; TLym Cytx Cen Mem SH/TLym Cytx; TLym Cytx Cen Mem SH/TLymC</t>
  </si>
  <si>
    <t>A relative measurement (ratio or percentage) of the skin-homing cytotoxic central memory T-lymphocytes to total cytotoxic T-lymphocytes in a biological specimen.</t>
  </si>
  <si>
    <t>Skin-Homing Cytotoxic Central Memory T-Lymphocyte to Cytotoxic T-Lymphocyte Ratio Measurement</t>
  </si>
  <si>
    <t>TCDCA</t>
  </si>
  <si>
    <t>Taurochenodeoxycholate</t>
  </si>
  <si>
    <t>Taurochenodeoxycholate; Taurochenodeoxycholic Acid</t>
  </si>
  <si>
    <t>A measurement of the taurochenodeoxycholate in a biological specimen.</t>
  </si>
  <si>
    <t>Taurochenodeoxycholate Measurement</t>
  </si>
  <si>
    <t>TCEMGH</t>
  </si>
  <si>
    <t>TLym Cytx Eff Mem GH</t>
  </si>
  <si>
    <t>T-Lymphocytes Cytotoxic Effector Memory Gut-Homing; TLym Cytx Eff Mem GH</t>
  </si>
  <si>
    <t>A measurement of the gut-homing cytotoxic effector memory T-lymphocytes in a biological specimen.</t>
  </si>
  <si>
    <t>Gut-Homing Cytotoxic Effector Memory T-Lymphocyte Count</t>
  </si>
  <si>
    <t>TCEMGHS</t>
  </si>
  <si>
    <t>TLym Cytx Eff Mem GH Sub</t>
  </si>
  <si>
    <t>T-Lymphocytes Cytotoxic Effector Memory Gut-Homing Sub-Population; TLym Cytx Eff Mem GH Sub</t>
  </si>
  <si>
    <t>A measurement of a sub-population of gut-homing cytotoxic effector memory T-lymphocytes in a biological specimen.</t>
  </si>
  <si>
    <t>Gut-Homing Cytotoxic Effector Memory T-Lymphocyte Subpopulation Count</t>
  </si>
  <si>
    <t>TCEMGHSP</t>
  </si>
  <si>
    <t>TLym Cytx Eff Mem GH Sub/TLymCEMGH</t>
  </si>
  <si>
    <t>T-Lymphocytes Cytotoxic Effector Memory Gut-Homing Sub-Population/T-Lymphocytes Cytotoxic Effector Memory Gut-Homing; TLym Cytx Eff Mem GH Sub/TLym Cytx Eff Mem GH; TLym Cytx Eff Mem GH Sub/TLymCEMGH</t>
  </si>
  <si>
    <t>A relative measurement (ratio or percentage) of a sub-population of gut-homing cytotoxic effector memory T-lymphocytes to total gut-homing cytotoxic effector memory T-lymphocytes in a biological specimen.</t>
  </si>
  <si>
    <t>Gut-Homing Cytotoxic Effector Memory T-Lymphocyte Subpopulation to Gut-Homing Cytotoxic Effector Memory T-Lymphocyte Ratio Measurement</t>
  </si>
  <si>
    <t>TCEMGHTC</t>
  </si>
  <si>
    <t>TLym Cytx Eff Mem GH/TLymC</t>
  </si>
  <si>
    <t>T-Lymphocytes Cytotoxic Effector Memory Gut-Homing/T-Lymphocytes Cytotoxic; TLym Cytx Eff Mem GH/TLym Cytx; TLym Cytx Eff Mem GH/TLymC</t>
  </si>
  <si>
    <t>A relative measurement (ratio or percentage) of the gut-homing cytotoxic effector memory T-lymphocytes to total cytotoxic T-lymphocytes in a biological specimen.</t>
  </si>
  <si>
    <t>Gut-Homing Cytotoxic Effector Memory T-Lymphocyte to Cytotoxic T-Lymphocyte Ratio Measurement</t>
  </si>
  <si>
    <t>TCEMSH</t>
  </si>
  <si>
    <t>TLym Cytx Eff Mem SH</t>
  </si>
  <si>
    <t>T-Lymphocytes Cytotoxic Effector Memory Skin-Homing; TLym Cytx Eff Mem SH</t>
  </si>
  <si>
    <t>A measurement of the skin-homing cytotoxic effector memory T-lymphocytes in a biological specimen.</t>
  </si>
  <si>
    <t>Skin-Homing Cytotoxic Effector Memory T-Lymphocyte Count</t>
  </si>
  <si>
    <t>TCEMSHS</t>
  </si>
  <si>
    <t>TLym Cytx Eff Mem SH Sub</t>
  </si>
  <si>
    <t>T-Lymphocytes Cytotoxic Effector Memory Skin-Homing Sub-Population; TLym Cytx Eff Mem SH Sub</t>
  </si>
  <si>
    <t>A measurement of a sub-population of skin-homing cytotoxic effector memory T-lymphocytes in a biological specimen.</t>
  </si>
  <si>
    <t>Skin-Homing Cytotoxic Effector Memory T-Lymphocyte Subpopulation Count</t>
  </si>
  <si>
    <t>TCEMSHSP</t>
  </si>
  <si>
    <t>TLym Cytx Eff Mem SH Sub/TLymCEMSH</t>
  </si>
  <si>
    <t>T-Lymphocytes Cytotoxic Effector Memory Skin-Homing Sub-Population/T-Lymphocytes Cytotoxic Effector Memory Skin-Homing; TLym Cytx Eff Mem SH Sub/TLymCEMSH; TLym Cytx Eff Mem Sub/TLym Cytx Eff Mem SH</t>
  </si>
  <si>
    <t>A relative measurement (ratio or percentage) of a sub-population of skin-homing cytotoxic effector memory T-lymphocytes to total skin-homing cytotoxic effector memory T-lymphocytes in a biological specimen.</t>
  </si>
  <si>
    <t>Skin-Homing Cytotoxic Effector Memory T-Lymphocyte Subpopulation to Skin-Homing Cytotoxic Effector Memory T-Lymphocyte Ratio Measurement</t>
  </si>
  <si>
    <t>TCEMSHTC</t>
  </si>
  <si>
    <t>TLym Cytx Eff Mem SH/TLymC</t>
  </si>
  <si>
    <t>T-Lymphocytes Cytotoxic Effector Memory Skin-Homing/T-Lymphocytes Cytotoxic; TLym Cytx Eff Mem SH/TLym Cytx; TLym Cytx Eff Mem SH/TLymC</t>
  </si>
  <si>
    <t>A relative measurement (ratio or percentage) of the skin-homing cytotoxic effector memory T-lymphocytes to total cytotoxic T-lymphocytes in a biological specimen.</t>
  </si>
  <si>
    <t>Skin-Homing Cytotoxic Effector Memory T-Lymphocyte to Cytotoxic T-Lymphocyte Ratio Measurement</t>
  </si>
  <si>
    <t>TCEP</t>
  </si>
  <si>
    <t>TLym Cytx Exh Pre</t>
  </si>
  <si>
    <t>CD8 TPEX; T-Lymphocytes Cytotoxic Exhausted Precursor; TLym Cytx Exh Pre</t>
  </si>
  <si>
    <t>A measurement of the cytotoxic exhausted precursor T-lymphocytes in a biological specimen.</t>
  </si>
  <si>
    <t>Cytotoxic Exhausted Precursor T-Lymphocyte Count</t>
  </si>
  <si>
    <t>TCEPS</t>
  </si>
  <si>
    <t>TLym Cytx Exh Pre Sub</t>
  </si>
  <si>
    <t>CD8 TPEX Sub-Population; T-Lymphocytes Cytotoxic Exhausted Precursor Sub-Population; TLym Cytx Exh Pre Sub</t>
  </si>
  <si>
    <t>A measurement of a sub-population of cytotoxic exhausted precursor T-lymphocytes in a biological specimen.</t>
  </si>
  <si>
    <t>Cytotoxic Exhausted Precursor T-Lymphocyte Subpopulation Count</t>
  </si>
  <si>
    <t>TCEPSP</t>
  </si>
  <si>
    <t>TLym Cytx Exh Pre Sub/TLymCExhPre</t>
  </si>
  <si>
    <t>T-Lymphocytes Cytotoxic Exhausted Precursor Sub-Population/T-Lymphocytes Cytotoxic Exhausted Precursor; TLym Cytx Exh Pre Sub/TLymCExhPre</t>
  </si>
  <si>
    <t>A relative measurement (ratio or percentage) of a sub-population of cytotoxic exhausted precursor T-lymphocytes to the total cytotoxic exhausted precursor T-lymphocytes in a biological specimen.</t>
  </si>
  <si>
    <t>Cytotoxic Exhausted Precursor T-Lymphocyte Subpopulation to Cytotoxic Exhausted Precursor T-Lymphocyte Ratio Measurement</t>
  </si>
  <si>
    <t>TCEPTLC</t>
  </si>
  <si>
    <t>TLym Cytx Exh Pre/TLym Cytx</t>
  </si>
  <si>
    <t>T-Lymphocytes Cytotoxic Exhausted Precursor/T-Lymphocytes Cytotoxic; TLym Cytx Exh Pre/TLym Cytx</t>
  </si>
  <si>
    <t>A relative measurement (ratio or percentage) of cytotoxic exhausted precursor T-lymphocytes to cytotoxic T-lymphocytes in a biological specimen.</t>
  </si>
  <si>
    <t>Cytotoxic Exhausted Precursor T-Lymphocyte to Cytotoxic T-Lymphocyte Ratio Measurement</t>
  </si>
  <si>
    <t>TCF7X</t>
  </si>
  <si>
    <t>TCF7 Expression</t>
  </si>
  <si>
    <t>T Cell Factor 1 Expression; T Cell Factor 7 Expression; TCF-1 Expression; TCF-7 Expression; TCF1 Expression; TCF7 Expression</t>
  </si>
  <si>
    <t>A measurement of cellular TCF7 expression in a biological specimen.</t>
  </si>
  <si>
    <t>Transcription Factor 7 Expression Measurement</t>
  </si>
  <si>
    <t>TCHT</t>
  </si>
  <si>
    <t>Taurocholate</t>
  </si>
  <si>
    <t>Taurocholate; Taurocholic Acid</t>
  </si>
  <si>
    <t>A measurement of the taurocholate in a biological specimen.</t>
  </si>
  <si>
    <t>Taurocholate Measurement</t>
  </si>
  <si>
    <t>TCMGH</t>
  </si>
  <si>
    <t>TLym Cytx Mem GH</t>
  </si>
  <si>
    <t>T-Lymphocytes Cytotoxic Memory Gut-Homing; TLym Cytx Mem GH</t>
  </si>
  <si>
    <t>A measurement of the gut-homing cytotoxic memory T-lymphocytes in a biological specimen.</t>
  </si>
  <si>
    <t>Gut-Homing Cytotoxic Memory T-Lymphocyte Count</t>
  </si>
  <si>
    <t>TCMGHS</t>
  </si>
  <si>
    <t>TLym Cytx Mem GH Sub</t>
  </si>
  <si>
    <t>T-Lymphocytes Cytotoxic Memory Gut-Homing Sub-Population; TLym Cytx Mem GH Sub</t>
  </si>
  <si>
    <t>A measurement of a sub-population of gut-homing cytotoxic memory T-lymphocytes in a biological specimen.</t>
  </si>
  <si>
    <t>Gut-Homing Cytotoxic Memory T-Lymphocyte Subpopulation Count</t>
  </si>
  <si>
    <t>TCMGHSP</t>
  </si>
  <si>
    <t>TLym Cytx Mem GH Sub/TLymCMGH</t>
  </si>
  <si>
    <t>T-Lymphocytes Cytotoxic Memory Gut-Homing Sub-Population/T-Lymphocytes Cytotoxic Memory Gut-Homing; TLym Cytx Mem GH Sub/TLym Cytx Mem GH; TLym Cytx Mem GH Sub/TLymCMGH</t>
  </si>
  <si>
    <t>A relative measurement (ratio or percentage) of a sub-population of gut-homing cytotoxic memory T-lymphocytes to total gut-homing cytotoxic memory T-lymphocytes in a biological specimen.</t>
  </si>
  <si>
    <t>Gut-Homing Cytotoxic Memory T-Lymphocyte Subpopulation to Gut-Homing Cytotoxic Memory T-Lymphocyte Ratio Measurement</t>
  </si>
  <si>
    <t>TCMGHSTC</t>
  </si>
  <si>
    <t>TLym Cytx Mem GH Sub/TLymC</t>
  </si>
  <si>
    <t>T-Lymphocytes Cytotoxic Memory Gut-Homing Sub-Population/T-Lymphocytes Cytotoxic; TLym Cytx Mem GH Sub/TLym Cytx; TLym Cytx Mem GH Sub/TLymC</t>
  </si>
  <si>
    <t>A relative measurement (ratio or percentage) of a sub-population of gut-homing cytotoxic memory T-lymphocytes to total cytotoxic T-lymphocytes in a biological specimen.</t>
  </si>
  <si>
    <t>Gut-Homing Cytotoxic Memory T-Lymphocyte Subpopulation to Cytotoxic T-Lymphocyte Ratio Measurement</t>
  </si>
  <si>
    <t>TCMGHTC</t>
  </si>
  <si>
    <t>TLym Cytx Mem GH/TLymC</t>
  </si>
  <si>
    <t>T-Lymphocytes Cytotoxic Memory Gut-Homing/T-Lymphocytes Cytotoxic; TLym Cytx Mem GH/TLym Cytx; TLym Cytx Mem GH/TLymC</t>
  </si>
  <si>
    <t>A relative measurement (ratio or percentage) of the gut-homing cytotoxic memory T-lymphocytes to total cytotoxic T-lymphocytes in a biological specimen.</t>
  </si>
  <si>
    <t>Gut-Homing Cytotoxic Memory T-Lymphocyte to Cytotoxic T-Lymphocyte Ratio Measurement</t>
  </si>
  <si>
    <t>TCMGHTCM</t>
  </si>
  <si>
    <t>TLym Cytx Mem GH/TLymCM</t>
  </si>
  <si>
    <t>T-Lymphocytes Cytotoxic Memory Gut-Homing/T-Lymphocytes Cytotoxic Memory; TLym Cytx Mem GH/TLym Cytx Mem; TLym Cytx Mem GH/TLymCM</t>
  </si>
  <si>
    <t>A relative measurement (ratio or percentage) of the gut-homing cytotoxic memory T-lymphocytes to total cytotoxic memory T-lymphocytes in a biological specimen.</t>
  </si>
  <si>
    <t>Gut-Homing Cytotoxic Memory T-Lymphocyte to Cytotoxic Memory T-Lymphocyte Ratio Measurement</t>
  </si>
  <si>
    <t>TCMSH</t>
  </si>
  <si>
    <t>TLym Cytx Mem SH</t>
  </si>
  <si>
    <t>T-Lymphocytes Cytotoxic Memory Skin-Homing; TLym Cytx Mem SH</t>
  </si>
  <si>
    <t>A measurement of the skin-homing cytotoxic memory T-lymphocytes in a biological specimen.</t>
  </si>
  <si>
    <t>Skin-Homing Cytotoxic Memory T-Lymphocyte Count</t>
  </si>
  <si>
    <t>TCMSHS</t>
  </si>
  <si>
    <t>TLym Cytx Mem SH Sub</t>
  </si>
  <si>
    <t>T-Lymphocytes Cytotoxic Memory Skin-Homing Sub-Population; TLym Cytx Mem SH Sub</t>
  </si>
  <si>
    <t>A measurement of a sub-population of skin-homing cytotoxic memory T-lymphocytes in a biological specimen.</t>
  </si>
  <si>
    <t>Skin-Homing Cytotoxic Memory T-Lymphocyte Subpopulation Count</t>
  </si>
  <si>
    <t>TCMSHSP</t>
  </si>
  <si>
    <t>TLym Cytx Mem SH Sub/TLymCMSH</t>
  </si>
  <si>
    <t>T-Lymphocytes Cytotoxic Memory Skin-Homing Sub-Population/T-Lymphocytes Cytotoxic Memory Skin-Homing; TLym Cytx Mem SH Sub/TLym Cytx Mem SH; TLym Cytx Mem SH Sub/TLymCMSH</t>
  </si>
  <si>
    <t>A relative measurement (ratio or percentage) of a sub-population of skin-homing cytotoxic memory T-lymphocytes to total skin-homing cytotoxic memory T-lymphocytes in a biological specimen.</t>
  </si>
  <si>
    <t>Skin-Homing Cytotoxic Memory T-Lymphocyte Subpopulation to Skin-Homing Cytotoxic Memory T-Lymphocyte Ratio Measurement</t>
  </si>
  <si>
    <t>TCMSHSTC</t>
  </si>
  <si>
    <t>TLym Cytx Mem SH Sub/TLymC</t>
  </si>
  <si>
    <t>T-Lymphocytes Cytotoxic Memory Skin-Homing Sub-Population/T-Lymphocytes Cytotoxic; TLym Cytx Mem SH Sub/TLym Cytx; TLym Cytx Mem SH Sub/TLymC</t>
  </si>
  <si>
    <t>A relative measurement (ratio or percentage) of a sub-population of skin-homing cytotoxic memory T-lymphocytes to total cytotoxic T-lymphocytes in a biological specimen.</t>
  </si>
  <si>
    <t>Skin-Homing Cytotoxic Memory T-Lymphocyte Subpopulation to Cytotoxic T-Lymphocyte Ratio Measurement</t>
  </si>
  <si>
    <t>TCMSHTC</t>
  </si>
  <si>
    <t>TLym Cytx Mem SH/TLymC</t>
  </si>
  <si>
    <t>T-Lymphocytes Cytotoxic Memory Skin-Homing/T-Lymphocytes Cytotoxic; TLym Cytx Mem SH/TLym Cytx; TLym Cytx Mem SH/TLymC</t>
  </si>
  <si>
    <t>A relative measurement (ratio or percentage) of the skin-homing cytotoxic memory T-lymphocytes to total cytotoxic T-lymphocytes in a biological specimen.</t>
  </si>
  <si>
    <t>Skin-Homing Cytotoxic Memory T-Lymphocyte to Cytotoxic T-Lymphocyte Ratio Measurement</t>
  </si>
  <si>
    <t>TCMSHTCM</t>
  </si>
  <si>
    <t>TLym Cytx Mem SH/TLymCM</t>
  </si>
  <si>
    <t>T-Lymphocytes Cytotoxic Membrane Skin-Homing/T-Lymphocytes Cytotoxic Memory; TLym Cytx Mem SH/TLym Cytx Mem; TLym Cytx Mem SH/TLymCM</t>
  </si>
  <si>
    <t>A relative measurement (ratio or percentage) of the skin-homing cytotoxic memory T-lymphocytes to total cytotoxic memory T-lymphocytes in a biological specimen.</t>
  </si>
  <si>
    <t>Skin-Homing Cytotoxic Memory T-Lymphocyte to Cytotoxic Memory T-Lymphocyte Ratio Measurement</t>
  </si>
  <si>
    <t>TCSCOIND</t>
  </si>
  <si>
    <t>Tobacco Cessation Counseling Indicator</t>
  </si>
  <si>
    <t>An indication as to whether the individual has received tobacco cessation counseling.</t>
  </si>
  <si>
    <t>TCSTCS</t>
  </si>
  <si>
    <t>TLym Cytx Sub/TLym Cytx Sub</t>
  </si>
  <si>
    <t>T-Lymphocytes Cytotoxic Sub-Population/T-Lymphocytes Cytotoxic Sub-Population; TLym Cytx Sub/TLym Cytx Sub</t>
  </si>
  <si>
    <t>A relative measurement (ratio or percentage) of a sub-population of cytotoxic T-lymphocytes to a sub-population of cytotoxic T-lymphocytes in a biological specimen.</t>
  </si>
  <si>
    <t>Cytotoxic T-Lymphocyte Subpopulation to Cytotoxic T-Lymphocyte Subpopulation Ratio Measurement</t>
  </si>
  <si>
    <t>TCSTS</t>
  </si>
  <si>
    <t>TLym Cytx Sub/TLym Sub</t>
  </si>
  <si>
    <t>T-Lymphocytes Cytotoxic Sub-Population/T-Lymphocytes Sub-Population; TLym Cytx Sub/TLym Sub</t>
  </si>
  <si>
    <t>A relative measurement (ratio or percentage) of a sub-population of cytotoxic T-lymphocytes to a sub-population of T-lymphocytes in a biological specimen.</t>
  </si>
  <si>
    <t>Cytotoxic T-Lymphocyte Subpopulation to T-Lymphocyte Subpopulation Ratio Measurement</t>
  </si>
  <si>
    <t>TCTDE</t>
  </si>
  <si>
    <t>TLym Cytx Term Diff Exh</t>
  </si>
  <si>
    <t>T-Lymphocytes Cytotoxic Terminally Differentiated Exhausted; TLym Cytx Term Diff Exh</t>
  </si>
  <si>
    <t>A measurement of the cytotoxic terminally differentiated exhausted T-lymphocytes in a biological specimen.</t>
  </si>
  <si>
    <t>Cytotoxic Terminally Differentiated Exhausted T-Lymphocyte Count</t>
  </si>
  <si>
    <t>TCTDES</t>
  </si>
  <si>
    <t>TLym Cytx Term Diff Exh Sub</t>
  </si>
  <si>
    <t>T-Lymphocytes Cytotoxic Terminally Differentiated Exhausted Sub-Population; TLym Cytx Term Diff Exh Sub</t>
  </si>
  <si>
    <t>A measurement of a sub-population of cytotoxic terminally differentiated exhausted T-lymphocytes in a biological specimen.</t>
  </si>
  <si>
    <t>Cytotoxic Terminally Differentiated Exhausted T-Lymphocyte Subpopulation Count</t>
  </si>
  <si>
    <t>TCTDESP</t>
  </si>
  <si>
    <t>TLym Cytx Term Diff Exh Sub/TLymCTDExh</t>
  </si>
  <si>
    <t>T-Lymphocytes Cytotoxic Terminally Differentiated Exhausted Sub-Population/T-Lymphocytes Cytotoxic Terminally Differentiated Exhausted; TLym Cytx Term Diff Exh Sub/TLymCTDExh</t>
  </si>
  <si>
    <t>A relative measurement (ratio or percentage) of a sub-population of cytotoxic terminally differentiated exhausted T-lymphocytes to the total cytotoxic terminally differentiated exhausted T-lymphocytes in a biological specimen.</t>
  </si>
  <si>
    <t>Cytotoxic Terminally Differentiated Exhausted T-Lymphocyte Subpopulation to Cytotoxic Terminally Differentiated Exhausted T-Lymphocyte Ratio Measurement</t>
  </si>
  <si>
    <t>TCTDETLC</t>
  </si>
  <si>
    <t>TLym Cytx Term Diff Exh/TLym Cytx</t>
  </si>
  <si>
    <t>T-Lymphocytes Cytotoxic Terminally Differentiated Exhausted/T-Lymphocytes Cytotoxic; TLym Cytx Term Diff Exh/TLym Cytx</t>
  </si>
  <si>
    <t>A relative measurement (ratio or percentage) of cytotoxic terminally differentiated exhausted T-lymphocytes to the total cytotoxic T-lymphocytes in a biological specimen.</t>
  </si>
  <si>
    <t>Cytotoxic Terminally Differentiated Exhausted T-Lymphocyte to Cytotoxic T-Lymphocyte Ratio Measurement</t>
  </si>
  <si>
    <t>TCTMGH</t>
  </si>
  <si>
    <t>TLym Cytx Term Mem GH</t>
  </si>
  <si>
    <t>T-Lymphocytes Cytotoxic Terminal Memory Gut-Homing; TLym Cytx Term Mem GH</t>
  </si>
  <si>
    <t>A measurement of the gut-homing cytotoxic terminal memory T-lymphocytes in a biological specimen.</t>
  </si>
  <si>
    <t>Gut-Homing Cytotoxic Terminal Memory T-Lymphocyte Count</t>
  </si>
  <si>
    <t>TCTMGHS</t>
  </si>
  <si>
    <t>TLym Cytx Term Mem GH Sub</t>
  </si>
  <si>
    <t>T-Lymphocytes Cytotoxic Terminal Memory Gut-Homing Sub-Population; TLym Cytx Term Mem GH Sub</t>
  </si>
  <si>
    <t>A measurement of a sub-population of gut-homing cytotoxic terminal memory T-lymphocytes in a biological specimen.</t>
  </si>
  <si>
    <t>Gut-Homing Cytotoxic Terminal Memory T-Lymphocyte Subpopulation Count</t>
  </si>
  <si>
    <t>TCTMGHSP</t>
  </si>
  <si>
    <t>TLym Cytx Term Mem GH Sub/TLymCTMGH</t>
  </si>
  <si>
    <t>T-Lymphocytes Cytotoxic Terminal Memory Gut-Homing Sub-Population/T-Lymphocytes Cytotoxic Terminal Memory Gut-Homing; TLym Cytx Term Mem GH Sub/TLym Cytx Term Mem GH; TLym Cytx Term Mem GH Sub/TLymCTMGH</t>
  </si>
  <si>
    <t>A relative measurement (ratio or percentage) of a sub-population of gut-homing cytotoxic terminal memory T-lymphocytes to total gut-homing cytotoxic terminal memory T-lymphocytes in a biological specimen.</t>
  </si>
  <si>
    <t>Gut-Homing Cytotoxic Terminal Memory T-Lymphocyte Subpopulation to Gut-Homing Cytotoxic Terminal Memory T-Lymphocyte Ratio Measurement</t>
  </si>
  <si>
    <t>TCTMGHTC</t>
  </si>
  <si>
    <t>TLym Cytx Term Mem GH/TLymC</t>
  </si>
  <si>
    <t>T-Lymphocytes Cytotoxic Terminal Memory Gut-Homing/T-Lymphocytes Cytotoxic; TLym Cytx Term Mem GH/TLym Cytx; TLym Cytx Term Mem GH/TLymC</t>
  </si>
  <si>
    <t>A relative measurement (ratio or percentage) of the gut-homing cytotoxic terminal memory T-lymphocytes to total cytotoxic T-lymphocytes in a biological specimen.</t>
  </si>
  <si>
    <t>Gut-Homing Cytotoxic Terminal Memory T-Lymphocyte to Cytotoxic T-Lymphocyte Ratio Measurement</t>
  </si>
  <si>
    <t>TCTMSH</t>
  </si>
  <si>
    <t>TLym Cytx Term Mem SH</t>
  </si>
  <si>
    <t>T-Lymphocytes Cytotoxic Terminal Memory Skin-Homing; TLym Cytx Term Mem SH</t>
  </si>
  <si>
    <t>A measurement of the skin-homing cytotoxic terminal memory T-lymphocytes in a biological specimen.</t>
  </si>
  <si>
    <t>Skin-Homing Cytotoxic Terminal Memory T-Lymphocyte Count</t>
  </si>
  <si>
    <t>TCTMSHS</t>
  </si>
  <si>
    <t>TLym Cytx Term Mem SH Sub</t>
  </si>
  <si>
    <t>T-Lymphocytes Cytotoxic Terminal Memory Skin-Homing Sub-Population; TLym Cytx Term Mem SH Sub</t>
  </si>
  <si>
    <t>A measurement of the gut-homing helper memory T-lymphocytes in a biological specimen.</t>
  </si>
  <si>
    <t>Skin-Homing Cytotoxic Terminal Memory T-Lymphocyte Subpopulation Count</t>
  </si>
  <si>
    <t>TCTMSHSP</t>
  </si>
  <si>
    <t>TLym Cytx Term Mem SH Sub/TLymCTMSH</t>
  </si>
  <si>
    <t>T-Lymphocytes Cytotoxic Terminal Memory Skin-Homing Sub-Population/T-Lymphocytes Cytotoxic Terminal Memory Skin-Homing; TLym Cytx Term Mem SH Sub/TLym Cytx Term Mem SH; TLym Cytx Term Mem SH Sub/TLymCTMSH</t>
  </si>
  <si>
    <t>A relative measurement (ratio or percentage) of a sub-population of skin-homing cytotoxic terminal memory T-lymphocytes to total skin-homing cytotoxic terminal memory T-lymphocytes in a biological specimen.</t>
  </si>
  <si>
    <t>Skin-Homing Cytotoxic Terminal Memory T-Lymphocyte Subpopulation to Skin-Homing Cytotoxic Terminal Memory T-Lymphocyte Ratio Measurement</t>
  </si>
  <si>
    <t>TCTMSHTC</t>
  </si>
  <si>
    <t>TLym Cytx Term Mem SH/TLymC</t>
  </si>
  <si>
    <t>T-Lymphocytes Cytotoxic Terminal Memory Skin-Homing/T-Lymphocytes Cytotoxic; TLym Cytx Term Mem SH/TLym Cytx; TLym Cytx Term Mem SH/TLymC</t>
  </si>
  <si>
    <t>A relative measurement (ratio or percentage) of the skin-homing cytotoxic terminal memory T-lymphocytes to total cytotoxic T-lymphocytes in a biological specimen.</t>
  </si>
  <si>
    <t>Skin-Homing Cytotoxic Terminal Memory T-Lymphocyte to Cytotoxic T-Lymphocyte Ratio Measurement</t>
  </si>
  <si>
    <t>TDENIER</t>
  </si>
  <si>
    <t>Total Denier</t>
  </si>
  <si>
    <t>The linear mass density of fibers.</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</si>
  <si>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</si>
  <si>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</si>
  <si>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</si>
  <si>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</si>
  <si>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</si>
  <si>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TEARDCY</t>
  </si>
  <si>
    <t>Dacryocytes</t>
  </si>
  <si>
    <t>Dacryocytes; Tear Shaped Erythrocytes; Teardrop Cells</t>
  </si>
  <si>
    <t>A measurement of dacryocytes in a biological specimen.</t>
  </si>
  <si>
    <t>Dacryocyte Analysis</t>
  </si>
  <si>
    <t>TEARSCR</t>
  </si>
  <si>
    <t>Tear Secretion</t>
  </si>
  <si>
    <t>A measurement of the amount of tear production in a subject.</t>
  </si>
  <si>
    <t>Tear Secretion Amount</t>
  </si>
  <si>
    <t>TEARSCRR</t>
  </si>
  <si>
    <t>Tear Secretion Rate</t>
  </si>
  <si>
    <t>A measurement of the amount of tears being secreted over a defined amount of time (e.g. 5 minutes).</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</si>
  <si>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</si>
  <si>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</si>
  <si>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</si>
  <si>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</si>
  <si>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</si>
  <si>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</si>
  <si>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t>
  </si>
  <si>
    <t>Body Temperature; Temperature</t>
  </si>
  <si>
    <t>A measurement of the temperature of the body.</t>
  </si>
  <si>
    <t>Body Temperature</t>
  </si>
  <si>
    <t>TEMPCB</t>
  </si>
  <si>
    <t>Core Body Temperature</t>
  </si>
  <si>
    <t>A measurement of the temperature within the deep tissues of the body.</t>
  </si>
  <si>
    <t>TEMPPB</t>
  </si>
  <si>
    <t>Peripheral Body Temperature</t>
  </si>
  <si>
    <t>A measurement of the temperature of the body at or near its surface.</t>
  </si>
  <si>
    <t>TESTOS</t>
  </si>
  <si>
    <t>Testosterone</t>
  </si>
  <si>
    <t>Testosterone; Total Testosterone</t>
  </si>
  <si>
    <t>A measurement of the total (free and bound) testosterone in a biological specimen.</t>
  </si>
  <si>
    <t>Total Testosterone Measurement</t>
  </si>
  <si>
    <t>TESTOSBA</t>
  </si>
  <si>
    <t>Bioavailable Testosterone</t>
  </si>
  <si>
    <t>A measurement of bioavailable testosterone in a biological specimen.</t>
  </si>
  <si>
    <t>Bioavailable Testosterone Measurement</t>
  </si>
  <si>
    <t>TESTOSFR</t>
  </si>
  <si>
    <t>Testosterone, Free</t>
  </si>
  <si>
    <t>A measurement of the free testosterone in a biological specimen.</t>
  </si>
  <si>
    <t>Free Testosterone Measurement</t>
  </si>
  <si>
    <t>TESTOSWB</t>
  </si>
  <si>
    <t>Testosterone, Weakly Bound</t>
  </si>
  <si>
    <t>A measurement of the weakly bound testosterone (testosterone bound to albumin) in a biological specimen.</t>
  </si>
  <si>
    <t>Weakly Bound Testosterone Measurement</t>
  </si>
  <si>
    <t>TFERRIN</t>
  </si>
  <si>
    <t>Transferrin</t>
  </si>
  <si>
    <t>Beta-1 Metal-Binding Globulin; Serotransferrin; Siderophilin; Transferrin</t>
  </si>
  <si>
    <t>A measurement of the total transferrin in a biological specimen.</t>
  </si>
  <si>
    <t>Transferrin Measurement</t>
  </si>
  <si>
    <t>TFF3</t>
  </si>
  <si>
    <t>Trefoil Factor 3</t>
  </si>
  <si>
    <t>A measurement of the trefoil factor 3 in a biological specimen.</t>
  </si>
  <si>
    <t>Trefoil Factor 3 Measurement</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</si>
  <si>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</si>
  <si>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</si>
  <si>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</si>
  <si>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</si>
  <si>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</si>
  <si>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TFR1</t>
  </si>
  <si>
    <t>Transferrin Receptor Protein 1</t>
  </si>
  <si>
    <t>P90; Soluble CD71; TfR1; Transferrin Receptor Protein 1</t>
  </si>
  <si>
    <t>A measurement of the transferrin receptor protein 1 in a biological specimen.</t>
  </si>
  <si>
    <t>Transferrin Receptor Protein 1 Measurement</t>
  </si>
  <si>
    <t>TFRRNSAT</t>
  </si>
  <si>
    <t>Transferrin Saturation</t>
  </si>
  <si>
    <t>Iron Binding Capacity Saturation; Iron Saturation; Iron to TIBC; Transferrin Saturation</t>
  </si>
  <si>
    <t>A measurement of the iron bound to transferrin in a biological specimen.</t>
  </si>
  <si>
    <t>Transferrin Saturation Measurement</t>
  </si>
  <si>
    <t>TGB</t>
  </si>
  <si>
    <t>Target Bound</t>
  </si>
  <si>
    <t>A measurement of the bound target in a biological specimen, prior to background subtraction.</t>
  </si>
  <si>
    <t>Target Bound Measurement</t>
  </si>
  <si>
    <t>TGBBK</t>
  </si>
  <si>
    <t>Target Bound, Background</t>
  </si>
  <si>
    <t>A measurement of the background associated with the bound target measurement in a biological specimen.</t>
  </si>
  <si>
    <t>Target Bound, Background Measurement</t>
  </si>
  <si>
    <t>TGBDBBK</t>
  </si>
  <si>
    <t>Target Bound, Delta Bound Background</t>
  </si>
  <si>
    <t>A measurement of the difference between bound target and background target in a biological specimen.</t>
  </si>
  <si>
    <t>Target, Bound Delta Bound Background Measurement</t>
  </si>
  <si>
    <t>TGF</t>
  </si>
  <si>
    <t>Target Free</t>
  </si>
  <si>
    <t>A measurement of the free target in a biological specimen, prior to background subtraction.</t>
  </si>
  <si>
    <t>Target Free Measurement</t>
  </si>
  <si>
    <t>TGFA</t>
  </si>
  <si>
    <t>Transforming Growth Factor Alpha</t>
  </si>
  <si>
    <t>Protransforming Growth Factor Alpha; TGF-Alpha; Transforming Growth Factor Alpha</t>
  </si>
  <si>
    <t>A measurement of the transforming growth factor alpha in a biological specimen.</t>
  </si>
  <si>
    <t>Transforming Growth Factor Alpha Measurement</t>
  </si>
  <si>
    <t>TGFB</t>
  </si>
  <si>
    <t>Transforming Growth Factor Beta</t>
  </si>
  <si>
    <t>A measurement of the total transforming growth factor beta in a biological specimen.</t>
  </si>
  <si>
    <t>Transforming Growth Factor Beta Measurement</t>
  </si>
  <si>
    <t>TGFB1</t>
  </si>
  <si>
    <t>Transforming Growth Factor Beta 1</t>
  </si>
  <si>
    <t>A measurement of the transforming growth factor beta 1 in a biological specimen.</t>
  </si>
  <si>
    <t>Transforming Growth Factor Beta 1 Measurement</t>
  </si>
  <si>
    <t>TGFB2</t>
  </si>
  <si>
    <t>Transforming Growth Factor Beta 2</t>
  </si>
  <si>
    <t>G-TSF; LDS4; TGF-beta2; Transforming Growth Factor Beta 2</t>
  </si>
  <si>
    <t>A measurement of the transforming growth factor beta 2 in a biological specimen.</t>
  </si>
  <si>
    <t>Transforming Growth Factor Beta 2 Measurement</t>
  </si>
  <si>
    <t>TGFB3</t>
  </si>
  <si>
    <t>Transforming Growth Factor Beta 3</t>
  </si>
  <si>
    <t>ARVD; ARVD1; LDS5; RNHF; TGF-beta3; Transforming Growth Factor Beta 3</t>
  </si>
  <si>
    <t>A measurement of the transforming growth factor beta 3 in a biological specimen.</t>
  </si>
  <si>
    <t>Transforming Growth Factor Beta 3 Measurement</t>
  </si>
  <si>
    <t>TGFBK</t>
  </si>
  <si>
    <t>Target Free, Background</t>
  </si>
  <si>
    <t>A measurement of the background associated with the free target measurement in a biological specimen.</t>
  </si>
  <si>
    <t>Target Free, Background Measurement</t>
  </si>
  <si>
    <t>TGFDFBK</t>
  </si>
  <si>
    <t>Target Free, Delta Free Background</t>
  </si>
  <si>
    <t>A measurement of the difference between free target and free background target in a biological specimen.</t>
  </si>
  <si>
    <t>Target, Free Delta Free Background Measurement</t>
  </si>
  <si>
    <t>TGLOB</t>
  </si>
  <si>
    <t>Thyroglobulin</t>
  </si>
  <si>
    <t>TG; Thyroglobulin</t>
  </si>
  <si>
    <t>A measurement of the thyroglobulin in a biological specimen.</t>
  </si>
  <si>
    <t>Thyroglobulin Measurement</t>
  </si>
  <si>
    <t>TGLOBRR</t>
  </si>
  <si>
    <t>Thyroglobulin Recovery Rate</t>
  </si>
  <si>
    <t>A measurement of the thyroglobulin recovery rate in a biological specimen obtained by measuring the thyroglobulin concentration before and after a known amount of thyroglobulin has been added to the specimen.</t>
  </si>
  <si>
    <t>TGOCC</t>
  </si>
  <si>
    <t>Target Occupancy</t>
  </si>
  <si>
    <t>Percent Occupancy; Percent Saturation; Target Occupancy</t>
  </si>
  <si>
    <t>A relative measurement (ratio or percentage) of the specifically bound target to total target in a biological specimen.</t>
  </si>
  <si>
    <t>Target Occupancy Ratio Measurement</t>
  </si>
  <si>
    <t>TGODNA</t>
  </si>
  <si>
    <t>Toxoplasma gondii DNA</t>
  </si>
  <si>
    <t>A measurement of the Toxoplasma gondii DNA in a biological specimen.</t>
  </si>
  <si>
    <t>Toxoplasma gondii DNA Measurement</t>
  </si>
  <si>
    <t>TGT</t>
  </si>
  <si>
    <t>Target Total</t>
  </si>
  <si>
    <t>A measurement of the total target in a biological specimen, prior to background subtraction.</t>
  </si>
  <si>
    <t>Target Total Measurement</t>
  </si>
  <si>
    <t>TGTBK</t>
  </si>
  <si>
    <t>Target Total, Background</t>
  </si>
  <si>
    <t>A measurement of the background associated with the total target measurement in a biological specimen.</t>
  </si>
  <si>
    <t>Target Total, Background Measurement</t>
  </si>
  <si>
    <t>TGTDTBK</t>
  </si>
  <si>
    <t>Target Total, Delta Total Background</t>
  </si>
  <si>
    <t>A measurement of the difference between total target and target total background in a biological specimen.</t>
  </si>
  <si>
    <t>Target, Total Delta Total Background Measurement</t>
  </si>
  <si>
    <t>TGV</t>
  </si>
  <si>
    <t>Thoracic Gas Volume</t>
  </si>
  <si>
    <t>The absolute volume of air contained in the thoracic cavity at any given point in time and at any level of alveolar pressure.</t>
  </si>
  <si>
    <t>TH171SP</t>
  </si>
  <si>
    <t>TLym Help 17.1 Sub/TLymH17.1</t>
  </si>
  <si>
    <t>T-Lymphocytes Helper 17.1 Sub-Population/T-Lymphocytes Helper 17.1; TLym Help 17.1 Sub/TLymH17.1</t>
  </si>
  <si>
    <t>A relative measurement (ratio or percentage) of a sub-population of helper 17.1 T-lymphocytes to total helper 17.1 T-lymphocytes in a biological specimen.</t>
  </si>
  <si>
    <t>Helper 17.1 T-Lymphocyte Subpopulation to Helper 17.1 T-Lymphocyte Ratio Measurement</t>
  </si>
  <si>
    <t>TH171STH</t>
  </si>
  <si>
    <t>TLym Help 17.1 Sub/TLym Help</t>
  </si>
  <si>
    <t>T-Lymphocytes Helper 17.1 Sub-Population/T-Lymphocytes Helper; TLym Help 17.1 Sub/TLym Help</t>
  </si>
  <si>
    <t>A relative measurement (ratio or percentage) of a sub-population of helper 17.1 T-lymphocytes to total helper T-lymphocytes in a biological specimen.</t>
  </si>
  <si>
    <t>Helper 17.1 T-Lymphocyte Subpopulation to Helper T-Lymphocyte Ratio Measurement</t>
  </si>
  <si>
    <t>TH171TH</t>
  </si>
  <si>
    <t>TLym Help 17.1/TLym Help</t>
  </si>
  <si>
    <t>T-Lymphocytes Helper 17.1/T-Lymphocytes Helper; TLym Help 17.1/TLym Help</t>
  </si>
  <si>
    <t>A relative measurement (ratio or percentage) of the helper 17.1 T-lymphocytes to total helper T-lymphocytes in a biological specimen.</t>
  </si>
  <si>
    <t>Helper 17.1 T-Lymphocyte to Helper T-Lymphocyte Ratio Measurement</t>
  </si>
  <si>
    <t>TH17SP</t>
  </si>
  <si>
    <t>TLym Help 17 Sub/TLymH17</t>
  </si>
  <si>
    <t>T-Lymphocytes Helper 17 Sub-Population/T-Lymphocytes Helper 17; TLym Help 17 Sub/TLymH17</t>
  </si>
  <si>
    <t>A relative measurement (ratio or percentage) of a sub-population of helper 17 T-lymphocytes to total helper 17 T-lymphocytes in a biological specimen.</t>
  </si>
  <si>
    <t>Helper 17 T-Lymphocyte Subpopulation to Helper 17 T-Lymphocyte Ratio Measurement</t>
  </si>
  <si>
    <t>TH17STH</t>
  </si>
  <si>
    <t>TLym Help 17 Sub/TLym Help</t>
  </si>
  <si>
    <t>T-Lymphocytes Helper 17 Sub-Population/T-Lymphocytes Helper; TLym Help 17 Sub/TLym Help</t>
  </si>
  <si>
    <t>A relative measurement (ratio or percentage) of a sub-population of helper 17 T-lymphocytes to total helper T-lymphocytes in a biological specimen.</t>
  </si>
  <si>
    <t>Helper 17 T-Lymphocyte Subpopulation to Helper T-Lymphocyte Ratio Measurement</t>
  </si>
  <si>
    <t>TH17TH</t>
  </si>
  <si>
    <t>TLym Help 17/TLym Help</t>
  </si>
  <si>
    <t>T-Lymphocytes Helper 17/T-Lymphocytes Helper; TLym Help 17/TLym Help</t>
  </si>
  <si>
    <t>A relative measurement (ratio or percentage) of the helper 17 T-lymphocytes to total helper T-lymphocytes in a biological specimen.</t>
  </si>
  <si>
    <t>Helper 17 T-Lymphocyte to Helper T-Lymphocyte Ratio Measurement</t>
  </si>
  <si>
    <t>TH1SP</t>
  </si>
  <si>
    <t>TLym Help 1 Sub/TLymH1</t>
  </si>
  <si>
    <t>T-Lymphocytes Helper 1 Sub-Population/T-Lymphocytes Helper 1; TLym Help 1 Sub/TLymH1</t>
  </si>
  <si>
    <t>A relative measurement (ratio or percentage) of a sub-population of helper 1 T-lymphocytes to total helper 1 T-lymphocytes in a biological specimen.</t>
  </si>
  <si>
    <t>Helper 1 T-Lymphocyte Subpopulation to Helper 1 T-Lymphocyte Ratio Measurement</t>
  </si>
  <si>
    <t>TH1STH</t>
  </si>
  <si>
    <t>TLym Help 1 Sub/TLym Help</t>
  </si>
  <si>
    <t>T-Lymphocytes Helper 1 Sub-Population/T-Lymphocytes Helper; TLym Help 1 Sub/TLym Helper</t>
  </si>
  <si>
    <t>A relative measurement (ratio or percentage) of a sub-population of helper 1 T-lymphocytes to total helper T-lymphocytes in a biological specimen.</t>
  </si>
  <si>
    <t>Helper 1 T-Lymphocyte Subpopulation to Helper T-Lymphocyte Ratio Measurement</t>
  </si>
  <si>
    <t>TH1TH</t>
  </si>
  <si>
    <t>TLym Help 1/TLym Help</t>
  </si>
  <si>
    <t>T-Lymphocytes Helper 1/T-Lymphocytes Helper; TLym Help 1/TLym Help</t>
  </si>
  <si>
    <t>A relative measurement (ratio or percentage) of the helper 1 T-lymphocytes to total helper T-lymphocytes in a biological specimen.</t>
  </si>
  <si>
    <t>Helper 1 T-Lymphocyte to Helper T-Lymphocyte Ratio Measurement</t>
  </si>
  <si>
    <t>TH22SP</t>
  </si>
  <si>
    <t>TLym Help 22 Sub/TLymH22</t>
  </si>
  <si>
    <t>T-Lymphocytes Helper 22 Sub-Population/T-Lymphocytes Helper 22; TLym Help 22 Sub/TLymH22</t>
  </si>
  <si>
    <t>A relative measurement (ratio or percentage) of a sub-population of helper 22 T-lymphocytes to total helper 22 T-lymphocytes in a biological specimen.</t>
  </si>
  <si>
    <t>Helper 22 T-Lymphocyte Subpopulation to Helper 22 T-Lymphocyte Ratio Measurement</t>
  </si>
  <si>
    <t>TH22STH</t>
  </si>
  <si>
    <t>TLym Help 22 Sub/TLym Help</t>
  </si>
  <si>
    <t>T-Lymphocytes Helper 22 Sub-Population/T-Lymphocytes Helper; TLym Help 22 Sub/TLym Help</t>
  </si>
  <si>
    <t>A relative measurement (ratio or percentage) of a sub-population of helper 22 T-lymphocytes to total helper T-lymphocytes in a biological specimen.</t>
  </si>
  <si>
    <t>Helper 22 T-Lymphocyte Subpopulation to Helper T-Lymphocyte Ratio Measurement</t>
  </si>
  <si>
    <t>TH22TH</t>
  </si>
  <si>
    <t>TLym Help 22/TLym Help</t>
  </si>
  <si>
    <t>T-Lymphocytes Helper 22/T-Lymphocytes Helper; TLym Help 22/TLym Help</t>
  </si>
  <si>
    <t>A relative measurement (ratio or percentage) of the helper 22 T-lymphocytes to total helper T-lymphocytes in a biological specimen.</t>
  </si>
  <si>
    <t>Helper 22 T-Lymphocyte to Helper T-Lymphocyte Ratio Measurement</t>
  </si>
  <si>
    <t>TH2SP</t>
  </si>
  <si>
    <t>TLym Help 2 Sub/TLymH2</t>
  </si>
  <si>
    <t>T-Lymphocytes Helper 2 Sub-Population/T-Lymphocytes Helper 2; TLym Help 2 Sub/TLymH2</t>
  </si>
  <si>
    <t>A relative measurement (ratio or percentage) of a sub-population of helper 2 T-lymphocytes to total helper 2 T-lymphocytes in a biological specimen.</t>
  </si>
  <si>
    <t>Helper 2 T-Lymphocyte Subpopulation to Helper 2 T-Lymphocyte Ratio Measurement</t>
  </si>
  <si>
    <t>TH2STH</t>
  </si>
  <si>
    <t>TLym Help 2 Sub/TLym Help</t>
  </si>
  <si>
    <t>T-Lymphocytes Helper 2 Sub-Population/T-Lymphocytes Helper; TLym Help 2 Sub/TLym Help</t>
  </si>
  <si>
    <t>A relative measurement (ratio or percentage) of a sub-population of helper 2 T-lymphocytes to total helper T-lymphocytes in a biological specimen.</t>
  </si>
  <si>
    <t>Helper 2 T-Lymphocyte Subpopulation to Helper T-Lymphocyte Ratio Measurement</t>
  </si>
  <si>
    <t>TH2TH</t>
  </si>
  <si>
    <t>TLym Help 2/TLym Help</t>
  </si>
  <si>
    <t>T-Lymphocytes Helper 2/T-Lymphocytes Helper; TLym Help 2/TLym Help</t>
  </si>
  <si>
    <t>A relative measurement (ratio or percentage) of the helper 2 T-lymphocytes to total helper T-lymphocytes in a biological specimen.</t>
  </si>
  <si>
    <t>Helper 2 T-Lymphocyte to Helper T-Lymphocyte Ratio Measurement</t>
  </si>
  <si>
    <t>TH9SP</t>
  </si>
  <si>
    <t>TLym Help 9 Sub/TLymH9</t>
  </si>
  <si>
    <t>T-Lymphocytes Helper 9 Sub-Population/T-Lymphocytes Helper 9; TLym Help 9 Sub/TLymH9</t>
  </si>
  <si>
    <t>A relative measurement (ratio or percentage) of a sub-population of helper 9 T-lymphocytes to total helper 9 T-lymphocytes in a biological specimen.</t>
  </si>
  <si>
    <t>Helper 9 T-Lymphocyte Subpopulation to Helper 9 T-Lymphocyte Ratio Measurement</t>
  </si>
  <si>
    <t>TH9STH</t>
  </si>
  <si>
    <t>TLym Help 9 Sub/TLym Help</t>
  </si>
  <si>
    <t>T-Lymphocytes Helper 9 Sub-Population/T-Lymphocytes Helper; TLym Help 9 Sub/TLym Help</t>
  </si>
  <si>
    <t>A relative measurement (ratio or percentage) of a sub-population of helper 9 T-lymphocytes to total helper T-lymphocytes in a biological specimen.</t>
  </si>
  <si>
    <t>Helper 9 T-Lymphocyte Subpopulation to Helper T-Lymphocyte Ratio Measurement</t>
  </si>
  <si>
    <t>TH9TH</t>
  </si>
  <si>
    <t>TLym Help 9/TLym Help</t>
  </si>
  <si>
    <t>T-Lymphocytes Helper 9/T-Lymphocytes Helper; TLym Help 9/TLym Help</t>
  </si>
  <si>
    <t>A relative measurement (ratio or percentage) of the helper 9 T-lymphocytes to total helper T-lymphocytes in a biological specimen.</t>
  </si>
  <si>
    <t>Helper 9 T-Lymphocyte to Helper T-Lymphocyte Ratio Measurement</t>
  </si>
  <si>
    <t>THBD</t>
  </si>
  <si>
    <t>Thrombomodulin</t>
  </si>
  <si>
    <t>BDCA3; Thrombomodulin</t>
  </si>
  <si>
    <t>A measurement of the thrombomodulin in a biological specimen.</t>
  </si>
  <si>
    <t>Thrombomodulin Measurement</t>
  </si>
  <si>
    <t>THC</t>
  </si>
  <si>
    <t>Tetrahydrocannabinol</t>
  </si>
  <si>
    <t>Delta-9-Tetrahydrocannabinol; Tetrahydrocannabinol; THC</t>
  </si>
  <si>
    <t>A measurement of the tetrahydrocannabinol in a biological specimen.</t>
  </si>
  <si>
    <t>Tetrahydrocannabinol Measurement</t>
  </si>
  <si>
    <t>THCCOOH</t>
  </si>
  <si>
    <t>11-Nor-Delta9-THC-9-Carboxylic Acid</t>
  </si>
  <si>
    <t>11-Nor-Delta9-THC-9-Carboxylic Acid; THC-COOH</t>
  </si>
  <si>
    <t>A measurement of 11-nor-delta-9-tetrahydrocannabinol-9-carboxylic acid present in a biological specimen.</t>
  </si>
  <si>
    <t>11-Nor-Delta9-THC-9-Carboxylic Acid Measurement</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</si>
  <si>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</si>
  <si>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</si>
  <si>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</si>
  <si>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</si>
  <si>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</si>
  <si>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</si>
  <si>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</si>
  <si>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</si>
  <si>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</si>
  <si>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</si>
  <si>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THCMGH</t>
  </si>
  <si>
    <t>TLym Help Cen Mem GH</t>
  </si>
  <si>
    <t>T-Lymphocytes Helper Central Memory Gut-Homing; TLym Help Cen Mem GH</t>
  </si>
  <si>
    <t>A measurement of the gut-homing helper central memory T-lymphocytes in a biological specimen.</t>
  </si>
  <si>
    <t>Gut-Homing Helper Central Memory T-Lymphocyte Count</t>
  </si>
  <si>
    <t>THCMGHP</t>
  </si>
  <si>
    <t>TLym Help Cen Mem GH Sub/TLymHCMGH</t>
  </si>
  <si>
    <t>T-Lymphocytes Helper Central Memory Gut-Homing Sub-Population/T-Lymphocytes Helper Central Memory Gut-Homing; TLym Help Cen Mem GH Sub/TLym Help Cen Mem GH; TLym Help Cen Mem GH Sub/TLymHCMGH</t>
  </si>
  <si>
    <t>A relative measurement (ratio or percentage) of a sub-population of gut-homing helper central memory T-lymphocytes to total gut-homing helper central memory T-lymphocytes in a biological specimen.</t>
  </si>
  <si>
    <t>Gut-Homing Helper Central Memory T-Lymphocyte Subpopulation to Gut-Homing Helper Central Memory T-Lymphocyte Ratio Measurement</t>
  </si>
  <si>
    <t>THCMGHS</t>
  </si>
  <si>
    <t>TLym Help Cen Mem GH Sub</t>
  </si>
  <si>
    <t>T-Lymphocytes Help Central Memory Gut-Homing Sub-Population; TLym Help Cen Mem GH Sub</t>
  </si>
  <si>
    <t>A measurement of a sub-population of gut-homing helper central memory T-lymphocytes in a biological specimen.</t>
  </si>
  <si>
    <t>Gut-Homing Helper Central Memory T-Lymphocyte Subpopulation Count</t>
  </si>
  <si>
    <t>THCMGHTH</t>
  </si>
  <si>
    <t>TLym Help Cen Mem GH/TLymH</t>
  </si>
  <si>
    <t>T-Lymphocytes Helper Central Memory Gut-Homing/T-Lymphocytes Helper; TLym Help Cen Mem GH/TLym Help; TLym Help Cen Mem GH/TLymH</t>
  </si>
  <si>
    <t>A relative measurement (ratio or percentage) of the gut-homing helper central memory T-lymphocytes to total helper T-lymphocytes in a biological specimen.</t>
  </si>
  <si>
    <t>Gut-Homing Helper Central Memory T-Lymphocyte to Helper T-Lymphocyte Ratio Measurement</t>
  </si>
  <si>
    <t>THCMSH</t>
  </si>
  <si>
    <t>TLym Help Cen Mem SH</t>
  </si>
  <si>
    <t>T-Lymphocytes Helper Central Memory Skin-Homing; TLym Help Cen Mem SH</t>
  </si>
  <si>
    <t>A measurement of the skin-homing helper central memory T-lymphocytes in a biological specimen.</t>
  </si>
  <si>
    <t>Skin-Homing Helper Central Memory T-Lymphocyte Count</t>
  </si>
  <si>
    <t>THCMSHS</t>
  </si>
  <si>
    <t>TLym Help Cen Mem SH Sub</t>
  </si>
  <si>
    <t>T-Lymphocytes Helper Central Memory Skin-Homing Sub-Population; TLym Help Cen Mem SH Sub</t>
  </si>
  <si>
    <t>A measurement of a sub-population of skin-homing helper central memory T-lymphocytes in a biological specimen.</t>
  </si>
  <si>
    <t>Skin-Homing Helper Central Memory T-Lymphocyte Subpopulation Count</t>
  </si>
  <si>
    <t>THCMSHSP</t>
  </si>
  <si>
    <t>TLym Help Cen Mem SH Sub/TLymHCMSH</t>
  </si>
  <si>
    <t>T-Lymphocytes Helper Central Memory Skin-Homing Sub-Population/T-Lymphocytes Helper Central Memory Skin-Homing; TLym Help Cen Mem SH Sub/TLym Help Cen Mem SH; TLym Help Cen Mem SH Sub/TLymHCMSH</t>
  </si>
  <si>
    <t>A relative measurement (ratio or percentage) of a sub-population of skin-homing helper central memory T-lymphocytes to total skin-homing helper central memory T-lymphocytes in a biological specimen.</t>
  </si>
  <si>
    <t>Skin-Homing Helper Central Memory T-Lymphocyte Subpopulation to Skin-Homing Helper Central Memory T-Lymphocyte Ratio Measurement</t>
  </si>
  <si>
    <t>THCMSHTH</t>
  </si>
  <si>
    <t>TLym Help Cen Mem SH/TLymH</t>
  </si>
  <si>
    <t>T-Lymphocytes Helper Central Memory Skin-Homing/T-Lymphocytes Helper; TLym Help Cen Mem SH/TLym Help; TLym Help Cen Mem SH/TLymH</t>
  </si>
  <si>
    <t>A relative measurement (ratio or percentage) of the skin-homing helper central memory T-lymphocytes to total helper T-lymphocytes in a biological specimen.</t>
  </si>
  <si>
    <t>Skin-Homing Helper Central Memory T-Lymphocyte to Helper T-Lymphocyte Ratio Measurement</t>
  </si>
  <si>
    <t>THDCSL5A</t>
  </si>
  <si>
    <t>5-Alpha Tetrahydrocortisol</t>
  </si>
  <si>
    <t>A measurement of the 5-alpha tetrahydrocortisol in a biological specimen.</t>
  </si>
  <si>
    <t>5-Alpha Tetrahydrocortisol Measurement</t>
  </si>
  <si>
    <t>THEBAINE</t>
  </si>
  <si>
    <t>Thebaine</t>
  </si>
  <si>
    <t>A measurement of the thebaine in a biological specimen.</t>
  </si>
  <si>
    <t>Thebaine Measurement</t>
  </si>
  <si>
    <t>THEMGH</t>
  </si>
  <si>
    <t>TLym Help Eff Mem GH</t>
  </si>
  <si>
    <t>T-Lymphocytes Helper Effector Memory Gut-Homing; TLym Help Eff Mem GH</t>
  </si>
  <si>
    <t>A measurement of the gut-homing helper effector memory T-lymphocytes in a biological specimen.</t>
  </si>
  <si>
    <t>Gut-Homing Helper Effector Memory T-Lymphocyte Count</t>
  </si>
  <si>
    <t>THEMGHS</t>
  </si>
  <si>
    <t>TLym Help Eff Mem GH Sub</t>
  </si>
  <si>
    <t>T-Lymphocytes Helper Effector Memory Gut-Homing Sub-Population; TLym Help Eff Mem GH Sub</t>
  </si>
  <si>
    <t>A measurement of a sub-population of gut-homing helper effector memory T-lymphocytes in a biological specimen.</t>
  </si>
  <si>
    <t>Gut-Homing Helper Effector Memory T-Lymphocyte Subpopulation Count</t>
  </si>
  <si>
    <t>THEMGHSP</t>
  </si>
  <si>
    <t>TLym Help Eff Mem GH Sub/TLymHEMGH</t>
  </si>
  <si>
    <t>T-Lymphocytes Helper Effector Memory Gut-Homing Sub-Population/T-Lymphocytes Helper Effector Memory Gut-Homing; TLym Help Eff Mem GH Sub/TLym Help Eff Mem GH; TLym Help Eff Mem GH Sub/TLymHEMGH</t>
  </si>
  <si>
    <t>A relative measurement (ratio or percentage) of a sub-population of gut-homing helper effector memory T-lymphocytes to total gut-homing helper effector memory T-lymphocytes in a biological specimen.</t>
  </si>
  <si>
    <t>Gut-Homing Helper Effector Memory T-Lymphocyte Subpopulation to Gut-Homing Helper Effector Memory T-Lymphocyte Ratio Measurement</t>
  </si>
  <si>
    <t>THEMGHTH</t>
  </si>
  <si>
    <t>TLym Help Eff Mem GH/TLymH</t>
  </si>
  <si>
    <t>T-Lymphocytes Helper Effector Memory Gut-Homing/T-Lymphocytes Helper; TLym Help Eff Mem GH/TLym Help; TLym Help Eff Mem GH/TLymH</t>
  </si>
  <si>
    <t>A relative measurement (ratio or percentage) of the gut-homing helper effector memory T-lymphocytes to total helper T-lymphocytes in a biological specimen.</t>
  </si>
  <si>
    <t>Gut-Homing Helper Effector Memory T-Lymphocyte to Helper T-Lymphocyte Ratio Measurement</t>
  </si>
  <si>
    <t>THEMSH</t>
  </si>
  <si>
    <t>TLym Help Eff Mem SH</t>
  </si>
  <si>
    <t>T-Lymphocytes Helper Effector Memory Skin-Homing; TLym Help Eff Mem SH</t>
  </si>
  <si>
    <t>A measurement of the skin-homing helper effector memory T-lymphocytes in a biological specimen.</t>
  </si>
  <si>
    <t>Skin-Homing Helper Effector Memory T-Lymphocyte Count</t>
  </si>
  <si>
    <t>THEMSHS</t>
  </si>
  <si>
    <t>TLym Help Eff Mem SH Sub</t>
  </si>
  <si>
    <t>T-Lymphocytes Helper Effector Memory Skin-Homing Sub-Population; TLym Help Eff Mem SH Sub</t>
  </si>
  <si>
    <t>A measurement of a sub-population of skin-homing helper effector memory T-lymphocytes in a biological specimen.</t>
  </si>
  <si>
    <t>Skin-Homing Helper Effector Memory T-Lymphocyte Subpopulation Count</t>
  </si>
  <si>
    <t>THEMSHSP</t>
  </si>
  <si>
    <t>TLym Help Eff Mem SH Sub/TLymHEMSH</t>
  </si>
  <si>
    <t>T-Lymphocytes Helper Effector Memory Skin-Homing Sub-Population/T-Lymphocytes Helper Effector Memory Skin-Homing; TLym Help Eff Mem SH Sub/TLym Help Eff Mem SH; TLym Help Eff Mem SH Sub/TLymHEMSH</t>
  </si>
  <si>
    <t>A relative measurement (ratio or percentage) of a sub-population of skin-homing helper effector memory T-lymphocytes to total skin-homing helper effector memory T-lymphocytes in a biological specimen.</t>
  </si>
  <si>
    <t>Skin-Homing Helper Effector Memory T-Lymphocyte Subpopulation to Skin-Homing Helper Effector Memory T-Lymphocyte Ratio Measurement</t>
  </si>
  <si>
    <t>THEMSHTH</t>
  </si>
  <si>
    <t>TLym Help Eff Mem SH/TLymH</t>
  </si>
  <si>
    <t>T-Lymphocytes Helper Effector Memory Skin-Homing/T-Lymphocytes Helper; TLym Help Eff Mem SH/TLym Help; TLym Help Eff Mem SH/TLymH</t>
  </si>
  <si>
    <t>A relative measurement (ratio or percentage) of the skin-homing helper effector memory T-lymphocytes to total helper T-lymphocytes in a biological specimen.</t>
  </si>
  <si>
    <t>Skin-Homing Helper Effector Memory T-Lymphocyte to Helper T-Lymphocyte Ratio Measurement</t>
  </si>
  <si>
    <t>THEOPHYL</t>
  </si>
  <si>
    <t>Theophylline</t>
  </si>
  <si>
    <t>A measurement of the Theophylline present in a biological specimen.</t>
  </si>
  <si>
    <t>Theophylline Measurement</t>
  </si>
  <si>
    <t>THFSTHS</t>
  </si>
  <si>
    <t>TLym Help Foll Sub/TLym Help Sub</t>
  </si>
  <si>
    <t>T-Lymphocytes Helper Follicular Sub-Population/T-Lymphocytes Helper Sub-Population; TLym Help Foll Sub/TLym Help Sub</t>
  </si>
  <si>
    <t>A relative measurement (ratio or percentage) of a sub-population of helper follicular T-lymphocytes to a sub-population of helper T-lymphocytes in a biological specimen.</t>
  </si>
  <si>
    <t>Follicular Helper T-Lymphocyte Subpopulation to Helper T-Lymphocyte Subpopulation Ratio Measurement</t>
  </si>
  <si>
    <t>THFSTMS</t>
  </si>
  <si>
    <t>TLym Help Foll Sub/TLym Mem Sub</t>
  </si>
  <si>
    <t>T-Lymphocytes Helper Follicular Sub-Population/T-Lymphocytes Memory Sub-Population; TLym Help Foll Sub/TLym Mem Sub</t>
  </si>
  <si>
    <t>A relative measurement (ratio or percentage) of a sub-population of helper follicular T-lymphocytes to a sub-population of memory T-lymphocytes in a biological specimen.</t>
  </si>
  <si>
    <t>Follicular Helper T-Lymphocyte Subpopulation to Memory T-Lymphocyte Subpopulation Ratio Measurement</t>
  </si>
  <si>
    <t>THGSTNON</t>
  </si>
  <si>
    <t>Tetrahydrogestrinone</t>
  </si>
  <si>
    <t>A measurement of the tetrahydrogestrinone in a biological specimen.</t>
  </si>
  <si>
    <t>Tetrahydrogestrinone Measurement</t>
  </si>
  <si>
    <t>THICK</t>
  </si>
  <si>
    <t>Thickness</t>
  </si>
  <si>
    <t>The dimension between two surfaces of an object, usually the smallest dimension as opposed to the width or the length.</t>
  </si>
  <si>
    <t>THICKMAX</t>
  </si>
  <si>
    <t>Thickness, Maximum</t>
  </si>
  <si>
    <t>The maximum number in a group of values that represent the thickness of an object.</t>
  </si>
  <si>
    <t>Maximum Thickness</t>
  </si>
  <si>
    <t>THICKMIN</t>
  </si>
  <si>
    <t>Thickness, Minimum</t>
  </si>
  <si>
    <t>The minimum number in a group of values that represent the thickness of an object.</t>
  </si>
  <si>
    <t>Minimum Thickness</t>
  </si>
  <si>
    <t>THICKMN</t>
  </si>
  <si>
    <t>Thickness, Mean</t>
  </si>
  <si>
    <t>The mean number in a group of values that represent the thickness of an object.</t>
  </si>
  <si>
    <t>Mean Thickness</t>
  </si>
  <si>
    <t>THICKNSS</t>
  </si>
  <si>
    <t>THICKSD</t>
  </si>
  <si>
    <t>Thickness, Standard Deviation</t>
  </si>
  <si>
    <t>The standard deviation in a group of values that represent the thickness of an object.</t>
  </si>
  <si>
    <t>Standard Deviation of Thickness</t>
  </si>
  <si>
    <t>THIOPNTL</t>
  </si>
  <si>
    <t>Thiopental</t>
  </si>
  <si>
    <t>A measurement of the thiopental in a biological specimen.</t>
  </si>
  <si>
    <t>Thiopental Measurement</t>
  </si>
  <si>
    <t>THIORDZN</t>
  </si>
  <si>
    <t>Thioridazine</t>
  </si>
  <si>
    <t>A measurement of the thioridazine in a biological specimen.</t>
  </si>
  <si>
    <t>Thioridazine Measurement</t>
  </si>
  <si>
    <t>THIOTHXN</t>
  </si>
  <si>
    <t>Thiothixene</t>
  </si>
  <si>
    <t>A measurement of the thiothixene in a biological specimen.</t>
  </si>
  <si>
    <t>Thiothixene Measurement</t>
  </si>
  <si>
    <t>THLARAGE</t>
  </si>
  <si>
    <t>Thelarche Age</t>
  </si>
  <si>
    <t>The age at onset of breast development.</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</si>
  <si>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</si>
  <si>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</si>
  <si>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</si>
  <si>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</si>
  <si>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</si>
  <si>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THMGH</t>
  </si>
  <si>
    <t>TLym Help Mem GH</t>
  </si>
  <si>
    <t>T-Lymphocytes Helper Memory Gut-Homing; TLym Help Mem GH</t>
  </si>
  <si>
    <t>Gut-Homing Helper Memory T-Lymphocyte Count</t>
  </si>
  <si>
    <t>THMGHS</t>
  </si>
  <si>
    <t>TLym Help Mem GH Sub</t>
  </si>
  <si>
    <t>T-Lymphocytes Helper Memory Gut-Homing Sub-Population; TLym Help Mem GH Sub</t>
  </si>
  <si>
    <t>A measurement of a sub-population of gut-homing helper memory T-lymphocytes in a biological specimen.</t>
  </si>
  <si>
    <t>Gut-Homing Helper Memory T-Lymphocyte Subpopulation Count</t>
  </si>
  <si>
    <t>THMGHSP</t>
  </si>
  <si>
    <t>TLym Help Mem GH Sub/TLymHMGH</t>
  </si>
  <si>
    <t>T-Lymphocytes Helper Memory Gut-Homing Sub-Population/T-Lymphocytes Helper Memory Gut-Homing; TLym Help Mem GH Sub/TLym Help Mem GH; TLym Help Mem GH Sub/TLymHMGH</t>
  </si>
  <si>
    <t>A relative measurement (ratio or percentage) of a sub-population of gut-homing helper memory T-lymphocytes to total gut-homing helper memory T-lymphocytes in a biological specimen.</t>
  </si>
  <si>
    <t>Gut-Homing Helper Memory T-Lymphocyte Subpopulation to Gut-Homing Helper Memory T-Lymphocyte Ratio Measurement</t>
  </si>
  <si>
    <t>THMGHSTH</t>
  </si>
  <si>
    <t>TLym Help Mem GH Sub/TLymH</t>
  </si>
  <si>
    <t>T-Lymphocytes Helper Memory Gut-Homing Sub-Population/T-Lymphocytes Helper; TLym Help Mem GH Sub/TLym Help; TLym Help Mem GH Sub/TLymH</t>
  </si>
  <si>
    <t>A relative measurement (ratio or percentage) of a sub-population of gut-homing helper memory T-lymphocytes to total helper T-lymphocytes in a biological specimen.</t>
  </si>
  <si>
    <t>Gut-Homing Helper Memory T-Lymphocyte Subpopulation to Helper T-Lymphocyte Ratio Measurement</t>
  </si>
  <si>
    <t>THMGHTH</t>
  </si>
  <si>
    <t>TLym Help Mem GH/TLymH</t>
  </si>
  <si>
    <t>T-Lymphocytes Helper Memory Gut-Homing/T-Lymphocytes Helper; TLym Help Mem GH/TLym Help; TLym Help Mem GH/TLymH</t>
  </si>
  <si>
    <t>A relative measurement (ratio or percentage) of the gut-homing helper memory T-lymphocytes to total helper T-lymphocytes in a biological specimen.</t>
  </si>
  <si>
    <t>Gut-Homing Helper Memory T-Lymphocyte to Helper T-Lymphocyte Ratio Measurement</t>
  </si>
  <si>
    <t>THMGHTHM</t>
  </si>
  <si>
    <t>TLym Help Mem GH/TLymHM</t>
  </si>
  <si>
    <t>T-Lymphocytes Helper Memory Gut-Homing/T-Lymphocytes Helper Memory Gut-Homing/T-Lymphocytes Helper Memory; TLym Help Mem GH/TLym Help Mem; TLym Help Mem GH/TLymHM</t>
  </si>
  <si>
    <t>A relative measurement (ratio or percentage) of the gut-homing helper memory T-lymphocytes to total helper memory T-lymphocytes in a biological specimen.</t>
  </si>
  <si>
    <t>Gut-Homing Helper Memory T-Lymphocyte to Helper Memory T-Lymphocyte Ratio Measurement</t>
  </si>
  <si>
    <t>THMSH</t>
  </si>
  <si>
    <t>TLym Help Mem SH</t>
  </si>
  <si>
    <t>T-Lymphocytes Helper Memory Skin-Homing; TLym Help Mem SH</t>
  </si>
  <si>
    <t>A measurement of the skin-homing helper memory T-lymphocytes in a biological specimen.</t>
  </si>
  <si>
    <t>Skin-Homing Helper Memory T-Lymphocyte Count</t>
  </si>
  <si>
    <t>THMSHS</t>
  </si>
  <si>
    <t>TLym Help Mem SH Sub</t>
  </si>
  <si>
    <t>T-Lymphocytes Helper Memory Skin-Homing Sub-Population; TLym Help Mem SH Sub</t>
  </si>
  <si>
    <t>A measurement of a sub-population of skin-homing helper memory T-lymphocytes in a biological specimen.</t>
  </si>
  <si>
    <t>Skin-Homing Helper Memory T-Lymphocyte Subpopulation</t>
  </si>
  <si>
    <t>THMSHSP</t>
  </si>
  <si>
    <t>TLym Help Mem SH Sub/TLymHMSH</t>
  </si>
  <si>
    <t>T-Lymphocytes Helper Memory Skin-Homing Sub-Population/T-Lymphocytes Helper Memory Skin-Homing; TLym Help Mem SH Sub/TLym Help Mem SH; TLym Help Mem SH Sub/TLymHMSH</t>
  </si>
  <si>
    <t>A relative measurement (ratio or percentage) of a sub-population of skin-homing helper memory T-lymphocytes to total skin-homing helper memory T-lymphocytes in a biological specimen.</t>
  </si>
  <si>
    <t>Skin-Homing Helper Memory T-Lymphocyte Subpopulation to Skin-Homing Helper Memory T-Lymphocyte Ratio Measurement</t>
  </si>
  <si>
    <t>THMSHSTH</t>
  </si>
  <si>
    <t>TLym Help Mem SH Sub/TLymH</t>
  </si>
  <si>
    <t>T-Lymphocytes Helper Memory Skin-Homing Sub-Population/T-Lymphocytes Helper; TLym Help Mem SH Sub/TLym Help; TLym Help Mem SH Sub/TLymH</t>
  </si>
  <si>
    <t>A relative measurement (ratio or percentage) of a sub-population of skin-homing helper memory T-lymphocytes to total helper T-lymphocytes in a biological specimen.</t>
  </si>
  <si>
    <t>Skin-Homing Helper Memory T-Lymphocyte Subpopulation to Helper T-Lymphocyte Ratio Measurement</t>
  </si>
  <si>
    <t>THMSHTH</t>
  </si>
  <si>
    <t>TLym Help Mem SH/TLymH</t>
  </si>
  <si>
    <t>T-Lymphocytes Helper Memory Skin-Homing/T-Lymphocytes Helper; TLym Help Mem SH/TLym Help; TLym Help Mem SH/TLymH</t>
  </si>
  <si>
    <t>A relative measurement (ratio or percentage) of the skin-homing helper memory T-lymphocytes to total helper T-lymphocytes in a biological specimen.</t>
  </si>
  <si>
    <t>Skin-Homing Helper Memory T-Lymphocyte to Helper T-Lymphocyte Ratio Measurement</t>
  </si>
  <si>
    <t>THMSHTHM</t>
  </si>
  <si>
    <t>TLym Help Mem SH/TLymHM</t>
  </si>
  <si>
    <t>T-Lymphocytes Helper Memory Skin-Homing/T-Lymphocytes Helper Memory; TLym Help Mem SH/TLym Help Mem; TLym Help Mem SH/TLymHM</t>
  </si>
  <si>
    <t>A relative measurement (ratio or percentage) of the skin-homing helper memory T-lymphocytes to total helper memory T-lymphocytes in a biological specimen.</t>
  </si>
  <si>
    <t>Skin-Homing Helper Memory T-Lymphocyte to Helper Memory T-Lymphocyte Ratio Measurement</t>
  </si>
  <si>
    <t>THMYLL</t>
  </si>
  <si>
    <t>Thiamylal</t>
  </si>
  <si>
    <t>A measurement of the thiamylal in a biological specimen.</t>
  </si>
  <si>
    <t>Thiamylal Measurement</t>
  </si>
  <si>
    <t>THR</t>
  </si>
  <si>
    <t>Threonine</t>
  </si>
  <si>
    <t>A measurement of the threonine in a biological specimen.</t>
  </si>
  <si>
    <t>Threonine Measurement</t>
  </si>
  <si>
    <t>THRCREAT</t>
  </si>
  <si>
    <t>Threonine/Creatinine</t>
  </si>
  <si>
    <t>A relative measurement (ratio) of the threonine to the creatinine in a biological specimen.</t>
  </si>
  <si>
    <t>Threonine to Creatinine Ratio Measurement</t>
  </si>
  <si>
    <t>THRESP</t>
  </si>
  <si>
    <t>TLym Help Reg Eff Sub/TLymHRE</t>
  </si>
  <si>
    <t>T-Lymphocytes Helper Regulatory Effector Sub-Population/T-Lymphocytes Helper Regulatory Effector; TLym Help Reg Eff Sub/TLym Help Reg Eff; TLym Help Reg Eff Sub/TLymHRE</t>
  </si>
  <si>
    <t>A relative measurement (ratio or percentage) of a sub-population of helper regulatory effector T-lymphocytes to total helper regulatory effector T-lymphocytes in a biological specimen.</t>
  </si>
  <si>
    <t>Regulatory Effector Helper T-Lymphocyte Subpopulation to Regulatory Effector Helper T-Lymphocyte Ratio Measurement</t>
  </si>
  <si>
    <t>THRLE</t>
  </si>
  <si>
    <t>TLym Help Reg/Leuk</t>
  </si>
  <si>
    <t>T-Lymphocytes Helper Regulatory/Leukocytes; TLym Help Reg/Leuk</t>
  </si>
  <si>
    <t>A relative measurement (ratio or percentage) of the helper regulatory T-lymphocytes to leukocytes in a biological specimen.</t>
  </si>
  <si>
    <t>Regulatory Helper T-Lymphocyte to Leukocyte Ratio Measurement</t>
  </si>
  <si>
    <t>THRLY</t>
  </si>
  <si>
    <t>TLym Help Reg/TLym</t>
  </si>
  <si>
    <t>T-Lymphocytes Helper Regulatory/T-Lymphocytes; TLym Help Reg/TLym</t>
  </si>
  <si>
    <t>A relative measurement (ratio or percentage) of the helper regulatory T-lymphocytes to total T-lymphocytes in a biological specimen.</t>
  </si>
  <si>
    <t>Regulatory Helper T-Lymphocyte to T-Lymphocyte Ratio Measurement</t>
  </si>
  <si>
    <t>THRMPTN</t>
  </si>
  <si>
    <t>Thrombopoietin</t>
  </si>
  <si>
    <t>A measurement of the thrombopoietin hormone in a biological specimen.</t>
  </si>
  <si>
    <t>Thrombopoietin Measurement</t>
  </si>
  <si>
    <t>THRNSTHR</t>
  </si>
  <si>
    <t>TLym Help Reg Naive Sub/TLymHR</t>
  </si>
  <si>
    <t>T-Lymphocytes Helper Regulatory Naive Sub-Population/T-Lymphocytes Helper Regulatory; TLym Help Reg Naive Sub/TLymHR</t>
  </si>
  <si>
    <t>A relative measurement (ratio or percentage) of a sub-population of helper regulatory naive T-lymphocytes to total helper regulatory T-lymphocytes in a biological specimen.</t>
  </si>
  <si>
    <t>Naive Helper Regulatory T-Lymphocyte Subpopulation to Helper Regulatory T-Lymphocyte Ratio Measurement</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</si>
  <si>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</si>
  <si>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</si>
  <si>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</si>
  <si>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</si>
  <si>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</si>
  <si>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THRSHCYC</t>
  </si>
  <si>
    <t>Threshold Cycle</t>
  </si>
  <si>
    <t>Cp Number; Crossing point Number; Ct; Ct Number; Cycle Threshold; Cycle Threshold #; Cycle Threshold Number; Elbow Value; Take-off Point Number; Threshold Cycle; Threshold Cycle Number; TOP Number</t>
  </si>
  <si>
    <t>The cycle number where the fluorescence of the target is detected above the background signal or a pre-set threshold. This value may be used for the computation of the concentration of a target in a polymerase chain reaction (PCR).</t>
  </si>
  <si>
    <t>THSCMSTH</t>
  </si>
  <si>
    <t>TLym Help SC Mem Sub/TLym Help</t>
  </si>
  <si>
    <t>T Lymphocytes Helper Stem Cell Memory Sub-Population/T-Lymphocytes Helper; TLym Help SC Mem Sub/TLym Help</t>
  </si>
  <si>
    <t>A relative measurement (ratio or percentage) of a sub-population of helper stem cell memory T-lymphocytes to total helper T-lymphocytes in a biological specimen.</t>
  </si>
  <si>
    <t>Stem Cell Memory Helper T-Lymphocyte Subpopulation to Helper T-Lymphocyte Ratio Measurement</t>
  </si>
  <si>
    <t>THSCMTHN</t>
  </si>
  <si>
    <t>TLym Help SC Mem/TLymHN</t>
  </si>
  <si>
    <t>T-Lymphocytes Helper Stem Cell Memory/T-Lymphocytes Helper Naive; TLym Help SC Mem/TLymHN</t>
  </si>
  <si>
    <t>A relative measurement (ratio or percentage) of the helper stem cell memory T-lymphocytes to total helper naive T-lymphocytes in a biological specimen.</t>
  </si>
  <si>
    <t>Stem Cell Memory Helper T-Lymphocyte Subpopulation to Naive Helper T-Lymphocyte Ratio Measurement</t>
  </si>
  <si>
    <t>THSTHS</t>
  </si>
  <si>
    <t>TLym Help Sub/TLym Help Sub</t>
  </si>
  <si>
    <t>T-Lymphocytes Helper Sub-Population/T-Lymphocytes Helper Sub-Population; TLym Help Sub/TLym Help Sub</t>
  </si>
  <si>
    <t>A relative measurement (ratio or percentage) of a sub-population of helper T-Lymphocytes to a sub-population of helper T-lymphocytes in a biological specimen.</t>
  </si>
  <si>
    <t>Helper T-Lymphocyte Subpopulation to Helper T-Lymphocyte Subpopulation Ratio Measurement</t>
  </si>
  <si>
    <t>THSTS</t>
  </si>
  <si>
    <t>TLym Help Sub/TLym Sub</t>
  </si>
  <si>
    <t>T-Lymphocytes Helper Sub-Population/T-Lymphocytes Sub-Population; TLym Help Sub/TLym Sub</t>
  </si>
  <si>
    <t>A relative measurement (ratio or percentage) of a sub-population of helper T-Lymphocytes to a sub-population of T-lymphocytes in a biological specimen.</t>
  </si>
  <si>
    <t>Helper T-Lymphocyte Subpopulation to T-Lymphocyte Subpopulation Ratio Measurement</t>
  </si>
  <si>
    <t>THTMGH</t>
  </si>
  <si>
    <t>TLym Help Term Mem GH</t>
  </si>
  <si>
    <t>T-Lymphocytes Helper Terminal Memory Gut-Homing; TLym Help Term Mem GH</t>
  </si>
  <si>
    <t>A measurement of the gut-homing helper terminal memory T-lymphocytes in a biological specimen.</t>
  </si>
  <si>
    <t>Gut-Homing Helper Terminal Memory T-Lymphocyte Count</t>
  </si>
  <si>
    <t>THTMGHS</t>
  </si>
  <si>
    <t>TLym Help Term Mem GH Sub</t>
  </si>
  <si>
    <t>T-Lymphocytes Helper Terminal Memory Gut-Homing Sub-Population; TLym Help Term Mem GH Sub</t>
  </si>
  <si>
    <t>A measurement of a sub-population of gut-homing helper terminal memory T-lymphocytes in a biological specimen.</t>
  </si>
  <si>
    <t>Gut-Homing Helper Terminal Memory T-Lymphocyte Subpopulation Count</t>
  </si>
  <si>
    <t>THTMGHSP</t>
  </si>
  <si>
    <t>TLym Help Term Mem GH Sub/TLymHTMGH</t>
  </si>
  <si>
    <t>T-Lymphocytes Helper Terminal Memory Gut-Homing Sub-Population/T-Lymphocytes Helper Terminal Memory Gut-Homing; TLym Help Term Mem GH Sub/TLym Help Term Mem GH; TLym Help Term Mem GH Sub/TLymHTMGH</t>
  </si>
  <si>
    <t>A relative measurement (ratio or percentage) of a sub-population of gut-homing helper terminal memory T-lymphocytes to total gut-homing helper terminal memory T-lymphocytes in a biological specimen.</t>
  </si>
  <si>
    <t>Gut-Homing Helper Terminal Memory T-Lymphocyte Subpopulation to Gut-Homing Helper Terminal Memory T-Lymphocyte Ratio Measurement</t>
  </si>
  <si>
    <t>THTMGHTH</t>
  </si>
  <si>
    <t>TLym Help Term Mem GH/TLymH</t>
  </si>
  <si>
    <t>T-Lymphocytes Helper Terminal Memory Gut-Homing/T-Lymphocytes Helper; TLym Help Term Mem GH/TLym Help; TLym Help Term Mem GH/TLymH</t>
  </si>
  <si>
    <t>A relative measurement (ratio or percentage) of the gut-homing helper terminal memory T-lymphocytes to total helper T-lymphocytes in a biological specimen.</t>
  </si>
  <si>
    <t>Gut-Homing Helper Terminal Memory T-Lymphocyte to Helper T-Lymphocyte Ratio Measurement</t>
  </si>
  <si>
    <t>THTMSH</t>
  </si>
  <si>
    <t>TLym Help Term Mem SH</t>
  </si>
  <si>
    <t>T-Lymphocytes Helper Terminal Memory Skin-Homing; TLym Help Term Mem SH</t>
  </si>
  <si>
    <t>A measurement of the skin-homing helper terminal memory T-lymphocytes in a biological specimen.</t>
  </si>
  <si>
    <t>Skin-Homing Helper Terminal Memory T-Lymphocyte Count</t>
  </si>
  <si>
    <t>THTMSHS</t>
  </si>
  <si>
    <t>TLym Help Term Mem SH Sub</t>
  </si>
  <si>
    <t>T-Lymphocytes Helper Terminal Memory Skin-Homing Sub-Population; TLym Help Term Mem SH Sub</t>
  </si>
  <si>
    <t>A measurement of a sub-population of skin-homing helper terminal memory T-lymphocytes in a biological specimen.</t>
  </si>
  <si>
    <t>Skin-Homing Helper Terminal Memory T-Lymphocyte Subpopulation Count</t>
  </si>
  <si>
    <t>THTMSHSP</t>
  </si>
  <si>
    <t>TLym Help Term Mem SH Sub/TLymHTMSH</t>
  </si>
  <si>
    <t>T-Lymphocytes Helper Terminal Memory Skin-Homing Sub-Population/T-Lymphocytes Helper Terminal Memory Skin-Homing; TLym Help Term Mem SH Sub/TLym Help Term Mem SH; TLym Help Term Mem SH Sub/TLymHTMSH</t>
  </si>
  <si>
    <t>A relative measurement (ratio or percentage) of a sub-population of skin-homing helper terminal memory T-lymphocytes to total skin-homing helper terminal memory T-lymphocytes in a biological specimen.</t>
  </si>
  <si>
    <t>Skin-Homing Helper Terminal Memory T-Lymphocyte Subpopulation to Skin-Homing Helper Terminal Memory T-Lymphocyte Ratio Measurement</t>
  </si>
  <si>
    <t>THTMSHTH</t>
  </si>
  <si>
    <t>TLym Help Term Mem SH/TLymH</t>
  </si>
  <si>
    <t>T-Lymphocytes Helper Terminal Memory Skin-Homing/T-Lymphocytes Helper; TLym Help Term Mem SH/TLym Help; TLym Help Term Mem SH/TLymH</t>
  </si>
  <si>
    <t>A relative measurement (ratio or percentage) of the skin-homing helper terminal memory T-lymphocytes to total helper T-lymphocytes in a biological specimen.</t>
  </si>
  <si>
    <t>Skin-Homing Helper Terminal Memory T-Lymphocyte to Helper T-Lymphocyte Ratio Measurement</t>
  </si>
  <si>
    <t>THYPXD</t>
  </si>
  <si>
    <t>Thyroperoxidase</t>
  </si>
  <si>
    <t>Thyroid Peroxidase; Thyroperoxidase</t>
  </si>
  <si>
    <t>A measurement of the thyroperoxidase in a biological specimen.</t>
  </si>
  <si>
    <t>Thyroperoxidase Measurement</t>
  </si>
  <si>
    <t>TIBIAL</t>
  </si>
  <si>
    <t>Tibial Length</t>
  </si>
  <si>
    <t>A measurement of the length of the tibia.</t>
  </si>
  <si>
    <t>TIGITX</t>
  </si>
  <si>
    <t>TIGIT Expression</t>
  </si>
  <si>
    <t>T-Cell Immunoreceptor with Ig and ITIM Domains Expression; TIGIT Expression</t>
  </si>
  <si>
    <t>A measurement of cellular TIGIT expression in a biological specimen.</t>
  </si>
  <si>
    <t>TIGIT Expression Measurement</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</si>
  <si>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</si>
  <si>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</si>
  <si>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</si>
  <si>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</si>
  <si>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</si>
  <si>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</si>
  <si>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</si>
  <si>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</si>
  <si>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</si>
  <si>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</si>
  <si>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</si>
  <si>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</si>
  <si>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</si>
  <si>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</si>
  <si>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</si>
  <si>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</si>
  <si>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</si>
  <si>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</si>
  <si>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</si>
  <si>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</si>
  <si>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</si>
  <si>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</si>
  <si>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</si>
  <si>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</si>
  <si>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</si>
  <si>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TIND</t>
  </si>
  <si>
    <t>Target Indicator</t>
  </si>
  <si>
    <t>An indication as to whether a target tumor, lesion, or site of disease is present.</t>
  </si>
  <si>
    <t>TISSPNUM</t>
  </si>
  <si>
    <t>Number of Tissue Samples in Specimen</t>
  </si>
  <si>
    <t>The total number of tissue samples within the specimen.</t>
  </si>
  <si>
    <t>TK</t>
  </si>
  <si>
    <t>Thymidine Kinase</t>
  </si>
  <si>
    <t>A measurement of the total thymidine kinase in a biological specimen.</t>
  </si>
  <si>
    <t>Thymidine Kinase Measurement</t>
  </si>
  <si>
    <t>TK1</t>
  </si>
  <si>
    <t>Thymidine Kinase 1</t>
  </si>
  <si>
    <t>Thymidine Kinase 1; Thymidine Kinase, Cytosolic</t>
  </si>
  <si>
    <t>A measurement of the thymidine kinase 1 in a biological specimen.</t>
  </si>
  <si>
    <t>Thymidine Kinase 1 Measurement</t>
  </si>
  <si>
    <t>TK2</t>
  </si>
  <si>
    <t>Thymidine Kinase 2</t>
  </si>
  <si>
    <t>Thymidine Kinase 2; Thymidine Kinase, Mitochondrial</t>
  </si>
  <si>
    <t>A measurement of the thymidine kinase 2 in a biological specimen.</t>
  </si>
  <si>
    <t>Thymidine Kinase 2 Measurement</t>
  </si>
  <si>
    <t>TKG</t>
  </si>
  <si>
    <t>T-Kininogen</t>
  </si>
  <si>
    <t>A measurement of the total T-kininogen in a biological specimen.</t>
  </si>
  <si>
    <t>T-Kininogen Measurement</t>
  </si>
  <si>
    <t>TLAB</t>
  </si>
  <si>
    <t>TLym AB</t>
  </si>
  <si>
    <t>T-Lymphocytes Alpha-Beta; T-Lymphocytes TCR Alpha-Beta; TCR Alpha-Beta T-Cells; TLym AB</t>
  </si>
  <si>
    <t>A measurement of the alpha-beta T-lymphocytes in a biological specimen.</t>
  </si>
  <si>
    <t>Alpha-Beta T-Lymphocyte Count</t>
  </si>
  <si>
    <t>TLABS</t>
  </si>
  <si>
    <t>TLym AB Sub</t>
  </si>
  <si>
    <t>T-Lymphocytes Alpha-Beta; T-Lymphocytes TCR Alpha-Beta; TLym AB Sub</t>
  </si>
  <si>
    <t>A measurement of a sub-population of alpha-beta T-lymphocytes in a biological specimen.</t>
  </si>
  <si>
    <t>Alpha-Beta T-Lymphocyte Subpopulation Count</t>
  </si>
  <si>
    <t>TLABSP</t>
  </si>
  <si>
    <t>TLym AB Sub/TLym AB</t>
  </si>
  <si>
    <t>T-Lymphocytes Alpha-Beta Sub-Population/T-Lymphocytes Alpha-Beta; T-Lymphocytes TCR Alpha-Beta Sub-Population/T-Lymphocytes TCR Alpha-Beta; TCR Alpha-Beta T-Cells Sub/TCR Alpha-Beta T-Cells; TLym AB Sub/TLym AB</t>
  </si>
  <si>
    <t>A relative measurement (ratio or percentage) of a sub-population of alpha-beta T-lymphocytes to total alpha-beta T-lymphocytes in a biological specimen.</t>
  </si>
  <si>
    <t>Alpha-Beta T-Lymphocyte Subpopulation to Alpha-Beta T-Lymphocyte Ratio Measurement</t>
  </si>
  <si>
    <t>TLABTLY</t>
  </si>
  <si>
    <t>TLym AB/TLym</t>
  </si>
  <si>
    <t>T-Lymphocytes Alpha-Beta/T-Lymphocytes; T-Lymphocytes TCR Alpha-Beta/T-Lymphocytes; TCR Alpha-Beta T-Cells/T-Lymphocytes; TLym AB/TLym</t>
  </si>
  <si>
    <t>A relative measurement (ratio or percentage) of the alpha-beta T-lymphocytes to total T-lymphocytes in a biological specimen.</t>
  </si>
  <si>
    <t>Alpha-Beta T-Lymphocyte to T-Lymphocyte Ratio Measurement</t>
  </si>
  <si>
    <t>TLC</t>
  </si>
  <si>
    <t>Total Lung Capacity</t>
  </si>
  <si>
    <t>The total volume of air in the lungs after maximum inhalation.</t>
  </si>
  <si>
    <t>TLym Cytx</t>
  </si>
  <si>
    <t>Cytotoxic T Cells; Cytotoxic T-Lymphocytes; TLym Cytx</t>
  </si>
  <si>
    <t>A measurement of the cytotoxic T-lymphocytes in a biological specimen.</t>
  </si>
  <si>
    <t>Cytotoxic T-Lymphocyte Count</t>
  </si>
  <si>
    <t>TLCAB</t>
  </si>
  <si>
    <t>TLym Cytx AB</t>
  </si>
  <si>
    <t>T-Lymphocytes Cytotoxic Alpha-Beta; T-Lymphocytes Cytotoxic TCR Alpha-Beta; TLym Cytx AB</t>
  </si>
  <si>
    <t>A measurement of the cytotoxic alpha-beta T-lymphocytes in a biological specimen.</t>
  </si>
  <si>
    <t>Cytotoxic Alpha-Beta T-Lymphocyte Count</t>
  </si>
  <si>
    <t>TLCABS</t>
  </si>
  <si>
    <t>TLym Cytx AB Sub</t>
  </si>
  <si>
    <t>T-Lymphocytes Cytotoxic Alpha-Beta Sub-Population; T-Lymphocytes Cytotoxic TCR Alpha-Beta Sub-Population; TLym Cytx AB Sub</t>
  </si>
  <si>
    <t>A measurement of a sub-population of cytotoxic alpha-beta T-lymphocytes in a biological specimen.</t>
  </si>
  <si>
    <t>Alpha-Beta Cytotoxic T-Lymphocyte Subpopulation Count</t>
  </si>
  <si>
    <t>TLCCE</t>
  </si>
  <si>
    <t>TLym Cytx/Total Cells</t>
  </si>
  <si>
    <t>T Cells, Cytotoxic/Total Cells; T-Lym, CTX/Total Cells; T-Lymphocytes, Cytotoxic/Total Cells; TLym Cytx/Total Cells</t>
  </si>
  <si>
    <t>A relative measurement (ratio or percentage) of the cytotoxic T-lymphocytes to total cells in a biological specimen.</t>
  </si>
  <si>
    <t>Cytotoxic T-Lymphocytes to Total Cells Ratio Measurement</t>
  </si>
  <si>
    <t>TLCCM</t>
  </si>
  <si>
    <t>TLym Cytx Cen Mem</t>
  </si>
  <si>
    <t>T-Lymphocytes Cytotoxic Central Memory; TLym Cytx Cen Mem</t>
  </si>
  <si>
    <t>A measurement of the cytotoxic central memory T-lymphocytes in a biological specimen.</t>
  </si>
  <si>
    <t>Central Memory Cytotoxic T-Lymphocyte Count</t>
  </si>
  <si>
    <t>TLCCMS</t>
  </si>
  <si>
    <t>TLym Cytx Cen Mem Sub</t>
  </si>
  <si>
    <t>T-Lymphocytes Cytotoxic Central Memory Sub-Population; TLym Cytx Cen Mem Sub</t>
  </si>
  <si>
    <t>A measurement of a sub-population of cytotoxic central memory T-lymphocytes in a biological specimen.</t>
  </si>
  <si>
    <t>Central Memory Cytotoxic T-Lymphocyte Subpopulation Count</t>
  </si>
  <si>
    <t>TLCCMSP</t>
  </si>
  <si>
    <t>TLym Cytx Cen Mem Sub/TLymCCM</t>
  </si>
  <si>
    <t>T-Lymphocytes Cytotoxic Central Memory Sub-Population/T-Lymphocytes Cytotoxic Central Memory; TLym Cytx Cen Mem Sub/TLymCCM</t>
  </si>
  <si>
    <t>A relative measurement (ratio or percentage) of a sub-population of central memory cytotoxic T-lymphocytes to total central memory cytotoxic T-lymphocytes in a biological specimen.</t>
  </si>
  <si>
    <t>Central Memory Cytotoxic T-Lymphocyte Subpopulation to Central Memory Cytotoxic T-Lymphocyte Ratio Measurement</t>
  </si>
  <si>
    <t>TLCCMSTC</t>
  </si>
  <si>
    <t>TLym Cytx Cen Mem Sub/TLymC</t>
  </si>
  <si>
    <t>T-Lymphocytes Cytotoxic Central Memory Sub-Population/T-Lymphocytes Cytotoxic; TLym Cytx Cen Mem Sub/TLymC</t>
  </si>
  <si>
    <t>A relative measurement (ratio or percentage) of a sub-population of central memory cytotoxic T-lymphocytes to total cytotoxic T-lymphocytes in a biological specimen.</t>
  </si>
  <si>
    <t>Central Memory Cytotoxic T-Lymphocyte Sub-Population to Cytotoxic T-Lymphocyte Ratio Measurement</t>
  </si>
  <si>
    <t>TLCCMTLC</t>
  </si>
  <si>
    <t>TLym Cytx Cen Mem/TLym Cytx</t>
  </si>
  <si>
    <t>T-Lymphocytes Cytotoxic Central Memory/T-Lymphocytes Cytotoxic; TLym Cytx Cen Mem/TLym Cytx</t>
  </si>
  <si>
    <t>A relative measurement (ratio or percentage) of the cytotoxic central memory T-lymphocytes to total cytotoxic T-lymphocytes in a biological specimen.</t>
  </si>
  <si>
    <t>Central Memory Cytotoxic T-Lymphocyte to Cytotoxic T-Lymphocyte Ratio Measurement</t>
  </si>
  <si>
    <t>TLCE</t>
  </si>
  <si>
    <t>TLym Cytx Eff</t>
  </si>
  <si>
    <t>T-Lymphocytes Cytotoxic Effector; TLym Cytx Eff</t>
  </si>
  <si>
    <t>A measurement of the cytotoxic effector T-lymphocytes in a biological specimen.</t>
  </si>
  <si>
    <t>Effector Cytotoxic T-Lymphocyte Count</t>
  </si>
  <si>
    <t>TLCEM</t>
  </si>
  <si>
    <t>TLym Cytx Eff Mem</t>
  </si>
  <si>
    <t>T-Lymphocytes Cytotoxic Effector Memory; TLym Cytx Eff Mem</t>
  </si>
  <si>
    <t>A measurement of the cytotoxic effector memory T-lymphocytes in a biological specimen.</t>
  </si>
  <si>
    <t>Effector Memory Cytotoxic T-Lymphocyte Count</t>
  </si>
  <si>
    <t>TLCEMS</t>
  </si>
  <si>
    <t>TLym Cytx Eff Mem Sub</t>
  </si>
  <si>
    <t>T-Lymphocytes Cytotoxic Effector Memory Sub-Population; TLym Cytx Eff Mem Sub</t>
  </si>
  <si>
    <t>A measurement of a sub-population of cytotoxic effector memory T-lymphocytes in a biological specimen.</t>
  </si>
  <si>
    <t>Effector Memory Cytotoxic T-Lymphocyte Subpopulation Count</t>
  </si>
  <si>
    <t>TLCEMSP</t>
  </si>
  <si>
    <t>TLym Cytx Eff Mem Sub/TLymCEM</t>
  </si>
  <si>
    <t>T-Lymphocytes Cytotoxic Effector Memory Sub-Population/T-Lymphocytes Cytotoxic Effector Memory; TLym Cytx Eff Mem Sub/TLymCEM</t>
  </si>
  <si>
    <t>A relative measurement (ratio or percentage) of a sub-population of effector memory cytotoxic T-lymphocytes to total effector memory cytotoxic T-lymphocytes in a biological specimen.</t>
  </si>
  <si>
    <t>Effector Memory Cytotoxic T-Lymphocyte Subpopulation to Effector Memory Cytotoxic T-Lymphocyte Ratio Measurement</t>
  </si>
  <si>
    <t>TLCEMSTC</t>
  </si>
  <si>
    <t>TLym Cytx Eff Mem Sub/TLymC</t>
  </si>
  <si>
    <t>T-Lymphocytes Cytotoxic Effector Memory Sub-Population/T-Lymphocytes Cytotoxic; TLym Cytx Eff Mem Sub/TLymC</t>
  </si>
  <si>
    <t>A relative measurement (ratio or percentage) of a sub-population of effector memory cytotoxic T-lymphocytes to total cytotoxic T-lymphocytes in a biological specimen.</t>
  </si>
  <si>
    <t>Effector Memory Cytotoxic T-Lymphocyte Subpopulation to Cytotoxic T-Lymphocyte Ratio Measurement</t>
  </si>
  <si>
    <t>TLCEMTLC</t>
  </si>
  <si>
    <t>TLym Cytx Eff Mem/TLym Cytx</t>
  </si>
  <si>
    <t>T-Lymphocytes Cytotoxic Effector Memory/T-Lymphocytes Cytotoxic; TLym Cytx Eff Mem/TLym Cytx</t>
  </si>
  <si>
    <t>A relative measurement (ratio or percentage) of the cytotoxic effector memory T-lymphocytes to total cytotoxic T-lymphocytes in a biological specimen.</t>
  </si>
  <si>
    <t>Effector Memory Cytotoxic T-Lymphocyte to Cytotoxic T-Lymphocyte Ratio Measurement</t>
  </si>
  <si>
    <t>TLCES</t>
  </si>
  <si>
    <t>TLym Cytx Eff Sub</t>
  </si>
  <si>
    <t>T-Lymphocytes Cytotoxic Effector Sub-Population; TLym Cytx Eff Sub</t>
  </si>
  <si>
    <t>A measurement of a sub-population of cytotoxic effector T-lymphocytes in a biological specimen.</t>
  </si>
  <si>
    <t>Effector Cytotoxic T-Lymphocyte Subpopulation Count</t>
  </si>
  <si>
    <t>TLCGD</t>
  </si>
  <si>
    <t>TLym Cytx GD</t>
  </si>
  <si>
    <t>T-Lymphocytes Cytotoxic Gamma-Delta; T-Lymphocytes Cytotoxic TCR Gamma-Delta; TLym Cytx GD</t>
  </si>
  <si>
    <t>A measurement of the cytotoxic gamma-delta T-lymphocytes in a biological specimen.</t>
  </si>
  <si>
    <t>Cytotoxic Gamma-Delta T-Lymphocyte Count</t>
  </si>
  <si>
    <t>TLCGDS</t>
  </si>
  <si>
    <t>TLym Cytx GD Sub</t>
  </si>
  <si>
    <t>T-Lymphocytes Cytotoxic Gamma-Delta Sub-Population; T-Lymphocytes Cytotoxic TCR Gamma-Delta Sub-Population; TLym Cytx GD Sub</t>
  </si>
  <si>
    <t>A measurement of a sub-population of cytotoxic gamma-delta T-lymphocytes in a biological specimen.</t>
  </si>
  <si>
    <t>Cytotoxic Gamma-Delta T-Lymphocyte Subpopulation Count</t>
  </si>
  <si>
    <t>TLCHT</t>
  </si>
  <si>
    <t>Taurolithocholate</t>
  </si>
  <si>
    <t>Taurolithocholate; Taurolithocholic Acid</t>
  </si>
  <si>
    <t>A measurement of the taurolithocholate in a biological specimen.</t>
  </si>
  <si>
    <t>Taurolithocholate Measurement</t>
  </si>
  <si>
    <t>TLCLE</t>
  </si>
  <si>
    <t>TLym Cytx/Leuk</t>
  </si>
  <si>
    <t>T Cells, Cytotoxic/Leukocytes; T-Lymphocytes, Cytotoxic/Leukocytes; TLym Cytx/Leuk</t>
  </si>
  <si>
    <t>A relative measurement (ratio or percentage) of the cytotoxic T-lymphocytes to leukocytes in a biological specimen.</t>
  </si>
  <si>
    <t>Cytotoxic T-Lymphocytes to Leukocytes Ratio Measurement</t>
  </si>
  <si>
    <t>TLCLY</t>
  </si>
  <si>
    <t>TLym Cytx/Lym</t>
  </si>
  <si>
    <t>T-Lymphocytes Cytotoxic/Lymphocytes; TLym Cytx/Lym</t>
  </si>
  <si>
    <t>A relative measurement (ratio or percentage) of the cytotoxic T-lymphocytes to total lymphocytes in a biological specimen.</t>
  </si>
  <si>
    <t>Cytotoxic T-Lymphocytes to Lymphocytes Ratio Measurement</t>
  </si>
  <si>
    <t>TLCM</t>
  </si>
  <si>
    <t>TLym Cytx Mem</t>
  </si>
  <si>
    <t>T-Lymphocytes Cytotoxic Memory; TLym Cytx Mem</t>
  </si>
  <si>
    <t>A measurement of memory cytotoxic T-lymphocytes in a biological specimen.</t>
  </si>
  <si>
    <t>Memory Cytotoxic T-Lymphocyte Count</t>
  </si>
  <si>
    <t>TLCMS</t>
  </si>
  <si>
    <t>TLym Cytx Mem Sub</t>
  </si>
  <si>
    <t>T-Lymphocytes Cytotoxic Memory Sub-Population; TLym Cytx Mem Sub</t>
  </si>
  <si>
    <t>A measurement of a sub-population of memory cytotoxic T-lymphocytes in a biological specimen.</t>
  </si>
  <si>
    <t>Memory Cytotoxic T-Lymphocyte Subpopulation Count</t>
  </si>
  <si>
    <t>TLCMSP</t>
  </si>
  <si>
    <t>TLym Cytx Mem Sub/TLymCM</t>
  </si>
  <si>
    <t>T-Lymphocytes Cytotoxic Memory Sub-Population/T-Lymphocytes Cytotoxic Memory; TLym Cytx Mem Sub/TLymCM</t>
  </si>
  <si>
    <t>A relative measurement (ratio or percentage) of a sub-population of memory cytotoxic T-lymphocytes to total memory cytotoxic T-lymphocytes in a biological specimen.</t>
  </si>
  <si>
    <t>Memory Cytotoxic T-Lymphocyte Subpopulation to Memory Cytotoxic T-Lymphocyte Ratio Measurement</t>
  </si>
  <si>
    <t>TLCMSTC</t>
  </si>
  <si>
    <t>TLym Cytx Mem Sub/TLymC</t>
  </si>
  <si>
    <t>T-Lymphocytes Cytotoxic Memory Sub-Population/T-Lymphocytes Cytotoxic; TLym Cytx Mem Sub/TLymC</t>
  </si>
  <si>
    <t>A relative measurement (ratio or percentage) of a sub-population of memory cytotoxic T-lymphocytes to total cytotoxic T-lymphocytes in a biological specimen.</t>
  </si>
  <si>
    <t>Memory Cytotoxic T-Lymphocyte Subpopulation to Cytotoxic T-Lymphocyte Ratio Measurement</t>
  </si>
  <si>
    <t>TLCMTLC</t>
  </si>
  <si>
    <t>TLym Cytx Mem/TLym Cytx</t>
  </si>
  <si>
    <t>T-Lymphocytes Cytotoxic Memory/T-Lymphocytes Cytotoxic; TLym Cytx Mem/TLym Cytx</t>
  </si>
  <si>
    <t>A relative measurement (ratio or percentage) of memory cytotoxic T-lymphocytes to total cytotoxic T-lymphocytes in a biological specimen.</t>
  </si>
  <si>
    <t>Memory Cytotoxic T-Lymphocyte to Cytotoxic T-Lymphocyte Ratio Measurement</t>
  </si>
  <si>
    <t>TLCN</t>
  </si>
  <si>
    <t>TLym Cytx Naive</t>
  </si>
  <si>
    <t>T-Lymphocytes Cytotoxic Naive; TLym Cytx Naive</t>
  </si>
  <si>
    <t>A measurement of the cytotoxic naive T-lymphocytes in a biological specimen.</t>
  </si>
  <si>
    <t>Naive Cytotoxic T-Lymphocyte Count</t>
  </si>
  <si>
    <t>TLCNM</t>
  </si>
  <si>
    <t>TLym Cen Mem</t>
  </si>
  <si>
    <t>T-Lymphocytes Central Memory; TLym Cen Mem</t>
  </si>
  <si>
    <t>A measurement of the central memory T-lymphocytes in a biological specimen.</t>
  </si>
  <si>
    <t>Central Memory T-Lymphocyte Count</t>
  </si>
  <si>
    <t>TLCNS</t>
  </si>
  <si>
    <t>TLym Cytx Naive Sub</t>
  </si>
  <si>
    <t>T-Lymphocytes Cytotoxic Naive Sub-Population; TLym Cytx Naive Sub</t>
  </si>
  <si>
    <t>A measurement of a sub-population of cytotoxic naive T-lymphocytes in a biological specimen.</t>
  </si>
  <si>
    <t>Naive Cytotoxic T-Lymphocyte Subpopulation Count</t>
  </si>
  <si>
    <t>TLCNSP</t>
  </si>
  <si>
    <t>TLym Cytx Naive Sub/TLymCN</t>
  </si>
  <si>
    <t>T-Lymphocytes Cytotoxic Naive Sub-Population/T-Lymphocytes Cytotoxic Naive; TLym Cytx Naive Sub/TLymCN</t>
  </si>
  <si>
    <t>A relative measurement (ratio or percentage) of a sub-population of naive cytotoxic T-lymphocytes to total naive cytotoxic T-lymphocytes in a biological specimen.</t>
  </si>
  <si>
    <t>Naive Cytotoxic T-Lymphocyte Subpopulation to Naive Cytotoxic T-Lymphocyte Ratio Measurement</t>
  </si>
  <si>
    <t>TLCNSTC</t>
  </si>
  <si>
    <t>TLym Cytx Naive Sub/TLymC</t>
  </si>
  <si>
    <t>T-Lymphocytes Cytotoxic Naive Sub-Population/T-Lymphocytes Cytotoxic; TLym Cytx Naive Sub/TLymC</t>
  </si>
  <si>
    <t>A relative measurement (ratio or percentage) of a sub-population of naive cytotoxic T-lymphocytes to total cytotoxic T-lymphocytes in a biological specimen.</t>
  </si>
  <si>
    <t>Naive Cytotoxic T-Lymphocyte Subpopulation to Cytotoxic T-Lymphocyte Ratio Measurement</t>
  </si>
  <si>
    <t>TLCNTLC</t>
  </si>
  <si>
    <t>TLym Cytx Naive/TLym Cytx</t>
  </si>
  <si>
    <t>T-Lymphocytes Cytotoxic Naive/T-Lymphocytes Cytotoxic; TLym Cytx Naive/TLym Cytx</t>
  </si>
  <si>
    <t>A relative measurement (ratio or percentage) of the cytotoxic naive T-lymphocytes to total cytotoxic T-lymphocytes in a biological specimen.</t>
  </si>
  <si>
    <t>Naive Cytotoxic T-Lymphocyte to Cytotoxic T-Lymphocyte Ratio Measurement</t>
  </si>
  <si>
    <t>TLCPP</t>
  </si>
  <si>
    <t>Percent Predicted Total Lung Capacity</t>
  </si>
  <si>
    <t>The total volume of air in the lungs after maximum inhalation as a proportion of the predicted normal value.</t>
  </si>
  <si>
    <t>TLCR</t>
  </si>
  <si>
    <t>TLym Cytx Reg</t>
  </si>
  <si>
    <t>T-Lymphocytes Cytotoxic Regulatory; TLym Cytx Reg</t>
  </si>
  <si>
    <t>A measurement of the cytotoxic regulatory T-lymphocytes in a biological specimen.</t>
  </si>
  <si>
    <t>Regulatory Cytotoxic T-Lymphocyte Count</t>
  </si>
  <si>
    <t>TLCRS</t>
  </si>
  <si>
    <t>TLym Cytx Reg Sub</t>
  </si>
  <si>
    <t>T-Lymphocytes Cytotoxic Regulatory Sub-Population; TLym Cytx Reg Sub</t>
  </si>
  <si>
    <t>A measurement of a sub-population of cytotoxic regulatory T-lymphocytes in a biological specimen.</t>
  </si>
  <si>
    <t>Regulatory Cytotoxic T-Lymphocyte Subpopulation Count</t>
  </si>
  <si>
    <t>TLCRSP</t>
  </si>
  <si>
    <t>TLym Cytx Reg Sub/TLymCR</t>
  </si>
  <si>
    <t>T-Lymphocytes Cytotoxic Regulatory Sub-Population/T-Lymphocytes Cytotoxic Regulatory; TLym Cytx Reg Sub/TLymCR</t>
  </si>
  <si>
    <t>A relative measurement (ratio or percentage) of a sub-population of cytotoxic regulatory T-lymphocytes to total cytotoxic regulatory T-lymphocytes in a biological specimen.</t>
  </si>
  <si>
    <t>Regulatory Cytotoxic T-Lymphocyte Subpopulation to Regulatory Cytotoxic T-Lymphocyte Ratio Measurement</t>
  </si>
  <si>
    <t>TLCRSTLC</t>
  </si>
  <si>
    <t>TLym Cytx Reg Sub/TLym Cytx</t>
  </si>
  <si>
    <t>T-Lymphocytes Cytotoxic Regulatory Sub-Population/T-Lymphocytes Cytotoxic; TLym Cytx Reg Sub/TLym Cytx</t>
  </si>
  <si>
    <t>A relative measurement (ratio or percentage) of a sub-population of cytotoxic regulatory T-lymphocytes to total cytotoxic T-lymphocytes in a biological specimen.</t>
  </si>
  <si>
    <t>Regulatory Cytotoxic T-Lymphocyte Subpopulation to Cytotoxic T-Lymphocyte Ratio Measurement</t>
  </si>
  <si>
    <t>TLCRTLC</t>
  </si>
  <si>
    <t>TLym Cytx Reg/TLym Cytx</t>
  </si>
  <si>
    <t>T-Lymphocytes Cytotoxic Regulatory/T-Lymphocytes Cytotoxic; TLym Cytx Reg/TLym Cytx</t>
  </si>
  <si>
    <t>A relative measurement (ratio or percentage) of the cytotoxic regulatory T-lymphocytes to total cytotoxic T-lymphocytes in a biological specimen.</t>
  </si>
  <si>
    <t>Regulatory Cytotoxic T-Lymphocyte to Cytotoxic T-Lymphocyte Ratio Measurement</t>
  </si>
  <si>
    <t>TLCS</t>
  </si>
  <si>
    <t>TLym Cytx Sub</t>
  </si>
  <si>
    <t>Cytotoxic T-Lymphocytes Sub-Population; TLym Cytx Sub</t>
  </si>
  <si>
    <t>A measurement of the subpopulation of cytotoxic T-lymphocytes in a biological specimen.</t>
  </si>
  <si>
    <t>Cytotoxic T-Lymphocyte Subpopulation Count</t>
  </si>
  <si>
    <t>TLCSCM</t>
  </si>
  <si>
    <t>TLym Cytx SC Mem</t>
  </si>
  <si>
    <t>Cytotoxic Stem Cell Memory T-Lymphocytes; T-Lymphocytes Cytotoxic Stem Cell Memory; TLym Cytx SC Mem; TLymCSCM</t>
  </si>
  <si>
    <t>A measurement of the cytotoxic stem cell memory T-lymphocytes in a biological specimen.</t>
  </si>
  <si>
    <t>Stem Cell Memory Cytotoxic T-Lymphocyte Count</t>
  </si>
  <si>
    <t>TLCSCMS</t>
  </si>
  <si>
    <t>TLym Cytx SC Mem Sub</t>
  </si>
  <si>
    <t>T-Lymphocytes Cytotoxic SC Memory Sub-Population; TLym Cytx SC Mem Sub</t>
  </si>
  <si>
    <t>A measurement of a sub-population of cytotoxic stem cell memory T-lymphocytes in a biological specimen.</t>
  </si>
  <si>
    <t>Stem Cell Memory Cytotoxic T-Lymphocyte Subpopulation Count</t>
  </si>
  <si>
    <t>TLCSCMSP</t>
  </si>
  <si>
    <t>TLym Cytx SC Mem Sub/TLymCSCM</t>
  </si>
  <si>
    <t>T-Lymphocytes Cytotoxic Stem Cell Memory Sub-Population/T-Lymphocytes Cytotoxic Stem Cell Memory; TLym Cytx SC Mem Sub/TLymCSCM</t>
  </si>
  <si>
    <t>A relative measurement (ratio or percentage) of a sub-population of cytotoxic stem cell memory T-lymphocytes to total cytotoxic stem cell memory T-lymphocytes in a biological specimen.</t>
  </si>
  <si>
    <t>Stem Cell Memory Cytotoxic T-Lymphocyte Subpopulation to Stem Cell Memory Cytotoxic T-Lymphocyte Ratio Measurement</t>
  </si>
  <si>
    <t>TLCSTLC</t>
  </si>
  <si>
    <t>TLym Cytx Sub/TLym Cytx</t>
  </si>
  <si>
    <t>Cytotoxic T-Lymphocytes Sub-Population/Cytotoxic T-Lymphocytes; TLym Cytx Sub/TLym Cytx</t>
  </si>
  <si>
    <t>A relative measurement (ratio or percentage) of the cytotoxic T-lymphocyte subpopulation to total cytotoxic T-lymphocytes in a biological specimen.</t>
  </si>
  <si>
    <t>Cytotoxic T-Lymphocyte Subpopulation to Total Cytotoxic T-Lymphocytes Ratio Measurement</t>
  </si>
  <si>
    <t>TLCSTLY</t>
  </si>
  <si>
    <t>TLym Cytx Sub/TLym</t>
  </si>
  <si>
    <t>T-Lymphocytes Cytotoxic Sub-Population/T-Lymphocytes; TLym Cytx Sub/TLym</t>
  </si>
  <si>
    <t>A relative measurement (ratio or percentage) of a sub-population of cytotoxic T-lymphocytes to total T-lymphocytes in a biological specimen.</t>
  </si>
  <si>
    <t>Cytotoxic T-Lymphocyte Subpopulation to T-Lymphocyte Ratio Measurement</t>
  </si>
  <si>
    <t>TLCTM</t>
  </si>
  <si>
    <t>TLym Cytx Term Mem</t>
  </si>
  <si>
    <t>T-Lymphocytes Cytotoxic Terminal Memory; TLym Cytx Term Mem</t>
  </si>
  <si>
    <t>A measurement of the cytotoxic terminal memory T-lymphocytes in a biological specimen.</t>
  </si>
  <si>
    <t>Terminal Memory Cytotoxic T-Lymphocyte Count</t>
  </si>
  <si>
    <t>TLCTMS</t>
  </si>
  <si>
    <t>TLym Cytx Term Mem Sub</t>
  </si>
  <si>
    <t>T-Lymphocytes Cytotoxic Terminal Memory Sub-Population; TLym Cytx Term Mem Sub</t>
  </si>
  <si>
    <t>A measurement of a sub-population of cytotoxic terminal memory T-lymphocytes in a biological specimen.</t>
  </si>
  <si>
    <t>Terminal Memory Cytotoxic T-Lymphocyte Subpopulation Count</t>
  </si>
  <si>
    <t>TLCTMSP</t>
  </si>
  <si>
    <t>TLym Cytx Term Mem Sub/TLymCTM</t>
  </si>
  <si>
    <t>T-Lymphocytes Cytotoxic Terminal Memory Sub-Population/T-Lymphocytes Cytotoxic Terminal Memory; TLym Cytx Term Mem Sub/TLymCTM</t>
  </si>
  <si>
    <t>A relative measurement (ratio or percentage) of a sub-population of terminal memory cytotoxic T-lymphocytes to the total terminal memory cytotoxic T-lymphocytes in a biological specimen.</t>
  </si>
  <si>
    <t>Terminal Memory Cytotoxic T-Lymphocyte Subpopulation to Terminal Memory Cytotoxic T-Lymphocyte Ratio Measurement</t>
  </si>
  <si>
    <t>TLCTMTLC</t>
  </si>
  <si>
    <t>TLym Cytx Term Mem/TLymC</t>
  </si>
  <si>
    <t>T-lymphocytes Cytotoxic Terminal Memory/T-lymphocytes Cytotoxic; TLym Cytx Term Mem/TLymC</t>
  </si>
  <si>
    <t>A relative measurement (ratio or percentage) of the terminal memory cytotoxic T-lymphocytes to total cytotoxic T-lymphocytes in a biological specimen.</t>
  </si>
  <si>
    <t>Terminal Memory Cytotoxic T-Lymphocyte to Cytotoxic T-Lymphocyte Ratio Measurement</t>
  </si>
  <si>
    <t>TLEM</t>
  </si>
  <si>
    <t>TLym Eff Mem</t>
  </si>
  <si>
    <t>T-Lymphocytes Effector Memory; TLym Eff Mem</t>
  </si>
  <si>
    <t>A measurement of the effector memory T-lymphocytes in a biological specimen.</t>
  </si>
  <si>
    <t>Effector Memory T-Lymphocyte Count</t>
  </si>
  <si>
    <t>TLEMS</t>
  </si>
  <si>
    <t>TLym Eff Mem Sub</t>
  </si>
  <si>
    <t>T-Lymphocytes Effector Memory Sub-Population; TLym Eff Mem Sub</t>
  </si>
  <si>
    <t>A measurement of a sub-population of effector memory T-lymphocytes in a biological specimen.</t>
  </si>
  <si>
    <t>Effector Memory T-Lymphocyte Subpopulation Count</t>
  </si>
  <si>
    <t>TLGD</t>
  </si>
  <si>
    <t>TLym GD</t>
  </si>
  <si>
    <t>T-Lymphocytes Gamma-Delta; T-Lymphocytes TCR Gamma-Delta; TCR Gamma-Delta T-Cells; TLym GD</t>
  </si>
  <si>
    <t>A measurement of the gamma-delta T-lymphocytes in a biological specimen.</t>
  </si>
  <si>
    <t>Gamma-Delta T-Lymphocyte Count</t>
  </si>
  <si>
    <t>TLGDLE</t>
  </si>
  <si>
    <t>TLym GD/Leuk</t>
  </si>
  <si>
    <t>T-Lymphocytes Gamma-Delta/Leukocytes; TCR Gamma-Delta T-Cells/Leukocytes; TLym GD/Leuk</t>
  </si>
  <si>
    <t>A relative measurement (ratio or percentage) of the gamma-delta T-lymphocytes to leukocytes in a biological specimen.</t>
  </si>
  <si>
    <t>Gamma-Delta T-Lymphocyte to Leukocyte Ratio Measurement</t>
  </si>
  <si>
    <t>TLGDLY</t>
  </si>
  <si>
    <t>TLym GD/Lym</t>
  </si>
  <si>
    <t>T-Lymphocytes Gamma-Delta/Lymphocytes; TCR Gamma-Delta T-Cells/Lymphocyte; TLym GD/Lym</t>
  </si>
  <si>
    <t>A relative measurement (ratio or percentage) of the gamma-delta T-lymphocytes to total lymphocytes in a biological specimen.</t>
  </si>
  <si>
    <t>Gamma-Delta T-Lymphocyte to Lymphocyte Ratio Measurement</t>
  </si>
  <si>
    <t>TLGDS</t>
  </si>
  <si>
    <t>TLym GD Sub</t>
  </si>
  <si>
    <t>T-Lymphocytes Gamma-Delta Sub-Population; T-Lymphocytes TCR Gamma-Delta Sub-Population; TLym GD Sub</t>
  </si>
  <si>
    <t>A measurement of a sub-population of gamma-delta T-lymphocytes in a biological specimen.</t>
  </si>
  <si>
    <t>Gamma-Delta T-Lymphocyte Subpopulation Count</t>
  </si>
  <si>
    <t>TLGDSP</t>
  </si>
  <si>
    <t>TLym GD Sub/TLym GD</t>
  </si>
  <si>
    <t>T-Lymphocytes Gamma-Delta Sub-Population/T-Lymphocytes Gamma-Delta; TCR Gamma-Delta T-Cells Sub/TCR Gamma-Delta T-Cells; TLym GD Sub/TLym GD</t>
  </si>
  <si>
    <t>A relative measurement (ratio or percentage) of a sub-population of gamma-delta T-lymphocytes to total gamma-delta T-lymphocytes in a biological specimen.</t>
  </si>
  <si>
    <t>Gamma-Delta T-Lymphocyte Subpopulation to Gamma-Delta T-Lymphocyte Ratio Measurement</t>
  </si>
  <si>
    <t>TLGDTLY</t>
  </si>
  <si>
    <t>TLym GD/TLym</t>
  </si>
  <si>
    <t>T-Lymphocytes Gamma-Delta/T-Lymphocytes; TCR Gamma-Delta T-Cells/T-Lymphocytes; TLym GD/TLym</t>
  </si>
  <si>
    <t>A relative measurement (ratio or percentage) of the gamma-delta T-lymphocytes to total T-lymphocytes in a biological specimen.</t>
  </si>
  <si>
    <t>Gamma-Delta T-Lymphocyte to T-Lymphocyte Ratio Measurement</t>
  </si>
  <si>
    <t>TLH1</t>
  </si>
  <si>
    <t>TLym Help 1</t>
  </si>
  <si>
    <t>T-Lymphocytes Helper 1; Th1; TLym Help 1</t>
  </si>
  <si>
    <t>A measurement of the helper 1 T-lymphocytes in a biological specimen.</t>
  </si>
  <si>
    <t>Helper 1 T-Lymphocyte Count</t>
  </si>
  <si>
    <t>TLH17</t>
  </si>
  <si>
    <t>TLym Help 17</t>
  </si>
  <si>
    <t>T-Lymphocytes Helper 17; Th17; TLym Help 17</t>
  </si>
  <si>
    <t>A measurement of the helper 17 T-lymphocytes in a biological specimen.</t>
  </si>
  <si>
    <t>Helper 17 T-Lymphocyte Count</t>
  </si>
  <si>
    <t>TLH17_1</t>
  </si>
  <si>
    <t>TLym Help 17.1</t>
  </si>
  <si>
    <t>T-Lymphocytes Helper 17.1; Th17.1; TLym Help 17.1</t>
  </si>
  <si>
    <t>A measurement of the helper 17.1 T-lymphocytes in a biological specimen.</t>
  </si>
  <si>
    <t>Helper 17.1 T-Lymphocyte Count</t>
  </si>
  <si>
    <t>TLH17_1S</t>
  </si>
  <si>
    <t>TLym Help 17.1 Sub</t>
  </si>
  <si>
    <t>T-Lymphocytes Helper 17.1 Sub-Population; Th17.1 Sub; TLym Help 17.1 Sub</t>
  </si>
  <si>
    <t>A measurement of a sub-population of helper 17.1 T-lymphocytes in a biological specimen.</t>
  </si>
  <si>
    <t>Helper 17.1 T-Lymphocyte Subpopulation Count</t>
  </si>
  <si>
    <t>TLH17S</t>
  </si>
  <si>
    <t>TLym Help 17 Sub</t>
  </si>
  <si>
    <t>T-Lymphocytes Helper 17 Sub-Population; Th17 Sub; TLym Help 17 Su</t>
  </si>
  <si>
    <t>A measurement of a sub-population of helper 17 T-lymphocytes in a biological specimen.</t>
  </si>
  <si>
    <t>Helper 17 T-Lymphocyte Subpopulation Count</t>
  </si>
  <si>
    <t>TLH1S</t>
  </si>
  <si>
    <t>TLym Help 1 Sub</t>
  </si>
  <si>
    <t>T-Lymphocytes Helper 1 Sub-Population; Th1 Sub; TLym Help 1 Sub</t>
  </si>
  <si>
    <t>A measurement of a sub-population of helper 1 T-lymphocytes in a biological specimen.</t>
  </si>
  <si>
    <t>Helper 1 T-Lymphocyte Subpopulation Count</t>
  </si>
  <si>
    <t>TLH2</t>
  </si>
  <si>
    <t>TLym Help 2</t>
  </si>
  <si>
    <t>T-Lymphocytes Helper 2; Th2; TLym Help 2</t>
  </si>
  <si>
    <t>A measurement of the helper 2 T-lymphocytes in a biological specimen.</t>
  </si>
  <si>
    <t>Helper 2 T-Lymphocyte Count</t>
  </si>
  <si>
    <t>TLH22</t>
  </si>
  <si>
    <t>TLym Help 22</t>
  </si>
  <si>
    <t>T-Lymphocytes Helper 22; Th22; TLym Help 22</t>
  </si>
  <si>
    <t>A measurement of the helper 22 T-lymphocytes in a biological specimen.</t>
  </si>
  <si>
    <t>Helper 22 T-Lymphocyte Count</t>
  </si>
  <si>
    <t>TLH22S</t>
  </si>
  <si>
    <t>TLym Help 22 Sub</t>
  </si>
  <si>
    <t>T-Lymphocytes Helper 22 Sub-Population; Th22 Sub; TLym Help 22 Sub</t>
  </si>
  <si>
    <t>A measurement of a sub-population of helper 22 T-lymphocytes in a biological specimen.</t>
  </si>
  <si>
    <t>Helper 22 T-Lymphocyte Subpopulation Count</t>
  </si>
  <si>
    <t>TLH2S</t>
  </si>
  <si>
    <t>TLym Help 2 Sub</t>
  </si>
  <si>
    <t>T-Lymphocytes Helper 2 Sub-Population; Th2 Sub; TLym Help 2 Sub</t>
  </si>
  <si>
    <t>A measurement of a sub-population of helper 2 T-lymphocytes in a biological specimen.</t>
  </si>
  <si>
    <t>Helper 2 T-Lymphocyte Subpopulation Count</t>
  </si>
  <si>
    <t>TLH9</t>
  </si>
  <si>
    <t>TLym Help 9</t>
  </si>
  <si>
    <t>T-Lymphocytes Helper 9; Th9; TLym Help 9</t>
  </si>
  <si>
    <t>A measurement of the helper 9 T-lymphocytes in a biological specimen.</t>
  </si>
  <si>
    <t>Helper 9 T-Lymphocyte Count</t>
  </si>
  <si>
    <t>TLH9S</t>
  </si>
  <si>
    <t>TLym Help 9 Sub</t>
  </si>
  <si>
    <t>T-Lymphocytes Helper 9 Sub-Population; Th9 Sub; TLym Help 9 Sub</t>
  </si>
  <si>
    <t>Helper 9 T-Lymphocyte Subpopulation Count</t>
  </si>
  <si>
    <t>TLHAB</t>
  </si>
  <si>
    <t>TLym Help AB</t>
  </si>
  <si>
    <t>T-Lymphocytes Helper Alpha-Beta; T-Lymphocytes Helper TCR Alpha-Beta; TLym Help AB</t>
  </si>
  <si>
    <t>A measurement of the helper alpha-beta T-lymphocytes in a biological specimen.</t>
  </si>
  <si>
    <t>Alpha-Beta Helper T-Lymphocyte Count</t>
  </si>
  <si>
    <t>TLHABS</t>
  </si>
  <si>
    <t>TLym Help AB Sub</t>
  </si>
  <si>
    <t>T-Lymphocytes Helper Alpha-Beta Sub-Population; T-Lymphocytes Helper TCR Alpha-Beta Sub-Population; TLym Help AB Sub</t>
  </si>
  <si>
    <t>A measurement of a sub-population of helper alpha-beta T-lymphocytes in a biological specimen.</t>
  </si>
  <si>
    <t>Alpha-Beta Helper T-Lymphocyte Subpopulation Count</t>
  </si>
  <si>
    <t>TLHCE</t>
  </si>
  <si>
    <t>TLym Help/Total Cells</t>
  </si>
  <si>
    <t>T Cells, Helper/Total Cells; T-Lym, Helper/Total Cells; T-Lymphocytes, Helper/Total Cells; TLym Help/Total Cells</t>
  </si>
  <si>
    <t>A relative measurement (ratio or percentage) of the helper T-lymphocytes to total cells in a biological specimen.</t>
  </si>
  <si>
    <t>Helper T-Lymphocytes to Total Cells Ratio Measurement</t>
  </si>
  <si>
    <t>TLHCM</t>
  </si>
  <si>
    <t>TLym Help Cen Mem</t>
  </si>
  <si>
    <t>T-Lymphocytes Helper Central Memory; TLym Help Cen Mem</t>
  </si>
  <si>
    <t>A measurement of the helper central memory T-lymphocytes in a biological specimen.</t>
  </si>
  <si>
    <t>Central Memory Helper T-Lymphocyte Count</t>
  </si>
  <si>
    <t>TLHCMS</t>
  </si>
  <si>
    <t>TLym Help Cen Mem Sub</t>
  </si>
  <si>
    <t>T-Lymphocytes Helper Central Memory Sub-Population; TLym Help Cen Mem Sub</t>
  </si>
  <si>
    <t>A measurement of a sub-population of helper central memory T-lymphocytes in a biological specimen.</t>
  </si>
  <si>
    <t>Central Memory Helper T-Lymphocyte Sub-Population Count</t>
  </si>
  <si>
    <t>TLHCMSP</t>
  </si>
  <si>
    <t>TLym Help Cen Mem Sub/TLymHCM</t>
  </si>
  <si>
    <t>T-Lymphocytes Helper Central Memory Sub-Population/T-Lymphocytes Helper Central Memory; TLym Help Cen Mem Sub/TLymHCM</t>
  </si>
  <si>
    <t>A relative measurement (ratio or percentage) of a sub-population of helper central memory T-lymphocytes to total helper central memory T-lymphocytes in a biological specimen.</t>
  </si>
  <si>
    <t>Central Memory Helper T-Lymphocyte Subpopulation to Central Memory Helper T-Lymphocyte Ratio Measurement</t>
  </si>
  <si>
    <t>TLHCMSTH</t>
  </si>
  <si>
    <t>TLym Help Cen Mem Sub/TLym Help</t>
  </si>
  <si>
    <t>T-Lymphocytes Helper Central Memory Sub-Population/T-Lymphocytes Helper; TLym Help Cen Mem Sub/TLym Help</t>
  </si>
  <si>
    <t>A relative measurement (ratio or percentage) of a sub-population of helper central memory T-lymphocytes to total helper T-lymphocytes in a biological specimen.</t>
  </si>
  <si>
    <t>Central Memory Helper T-Lymphocyte Subpopulation to Helper T-Lymphocyte Ratio Measurement</t>
  </si>
  <si>
    <t>TLHCMTH</t>
  </si>
  <si>
    <t>TLym Help Cen Mem/TLym Help</t>
  </si>
  <si>
    <t>T-Lymphocytes Helper Central Memory/T-Lymphocytes Helper; TLym Help Cen Mem/TLym Help</t>
  </si>
  <si>
    <t>A relative measurement (ratio or percentage) of the helper central memory T-lymphocytes to total helper T-lymphocytes in a biological specimen.</t>
  </si>
  <si>
    <t>Central Memory Helper T-Lymphocyte to Helper T-Lymphocyte Ratio Measurement</t>
  </si>
  <si>
    <t>TLHE</t>
  </si>
  <si>
    <t>TLym Help Eff</t>
  </si>
  <si>
    <t>T-Lymphocytes Helper Effector; TLym Help Eff</t>
  </si>
  <si>
    <t>A measurement of the helper effector T-lymphocytes in a biological specimen.</t>
  </si>
  <si>
    <t>Effector Helper T-Lymphocyte Count</t>
  </si>
  <si>
    <t>TLHEM</t>
  </si>
  <si>
    <t>TLym Help Eff Mem</t>
  </si>
  <si>
    <t>T-Lymphocytes Helper Effector Memory; TLym Help Eff Mem</t>
  </si>
  <si>
    <t>A measurement of the helper effector memory T-lymphocytes in a biological specimen.</t>
  </si>
  <si>
    <t>Effector Memory Helper T-Lymphocyte Count</t>
  </si>
  <si>
    <t>TLHEMS</t>
  </si>
  <si>
    <t>TLym Help Eff Mem Sub</t>
  </si>
  <si>
    <t>T-Lymphocytes Helper Effector Memory Sub-Population; TLym Help Eff Mem Sub</t>
  </si>
  <si>
    <t>A measurement of a sub-population of helper effector memory T-lymphocytes in a biological specimen.</t>
  </si>
  <si>
    <t>Effector Memory Helper T-Lymphocyte Subpopulation Count</t>
  </si>
  <si>
    <t>TLHEMSP</t>
  </si>
  <si>
    <t>TLym Help Eff Mem Sub/TLymHEM</t>
  </si>
  <si>
    <t>T-Lymphocytes Helper Effector Memory Sub-Population/T-Lymphocytes Helper Effector Memory; TLym Help Eff Mem Sub/TLymHEM</t>
  </si>
  <si>
    <t>A relative measurement (ratio or percentage) of a sub-population of helper effector memory T-lymphocytes to total helper effector memory T-lymphocytes in a biological specimen.</t>
  </si>
  <si>
    <t>Effector Memory Helper T-Lymphocyte Subpopulation to Effector Memory Helper T-Lymphocyte Ratio Measurement</t>
  </si>
  <si>
    <t>TLHEMSTH</t>
  </si>
  <si>
    <t>TLym Help Eff Mem Sub/TLym Help</t>
  </si>
  <si>
    <t>T-Lymphocytes Helper Effector Memory Sub-Population/T-Lymphocytes Helper; TLym Help Eff Mem Sub/TLym Help</t>
  </si>
  <si>
    <t>A relative measurement (ratio or percentage) of a sub-population of helper effector memory T-lymphocytes to total helper T-lymphocytes in a biological specimen.</t>
  </si>
  <si>
    <t>Effector Memory Helper T-Lymphocyte Subpopulation to Helper T-Lymphocyte Ratio Measurement</t>
  </si>
  <si>
    <t>TLHEMTH</t>
  </si>
  <si>
    <t>TLym Help Eff Mem/TLym Help</t>
  </si>
  <si>
    <t>T-Lymphocytes Helper Effector Memory/T-Lymphocytes Helper; TLym Help Eff Mem/TLym Help</t>
  </si>
  <si>
    <t>A relative measurement (ratio or percentage) of the helper effector memory T-lymphocytes to total helper T-lymphocytes in a biological specimen.</t>
  </si>
  <si>
    <t>Effector Memory Helper T-Lymphocyte to Helper T-Lymphocyte Ratio Measurement</t>
  </si>
  <si>
    <t>TLHES</t>
  </si>
  <si>
    <t>TLym Help Eff Sub</t>
  </si>
  <si>
    <t>T-Lymphocytes Helper Effector Sub-Population; TLym Help Eff Sub</t>
  </si>
  <si>
    <t>A measurement of a sub-population of helper effector T-lymphocytes in a biological specimen.</t>
  </si>
  <si>
    <t>Effector Helper T-Lymphocyte Subpopulation Count</t>
  </si>
  <si>
    <t>TLHF</t>
  </si>
  <si>
    <t>TLym Help Foll</t>
  </si>
  <si>
    <t>T-Lymphocytes Helper Follicular; TLym Help Foll</t>
  </si>
  <si>
    <t>A measurement of the helper follicular T-lymphocytes in a biological specimen.</t>
  </si>
  <si>
    <t>Follicular Helper T-Lymphocyte Count</t>
  </si>
  <si>
    <t>TLHFS</t>
  </si>
  <si>
    <t>TLym Help Foll Sub</t>
  </si>
  <si>
    <t>Follicular Helper T-Lymphocytes Sub-Population; T-Lymphocytes Helper Follicular Sub-Population; TLym Help Foll Sub</t>
  </si>
  <si>
    <t>A measurement of a sub-population of follicular helper T-lymphocytes in a biological specimen.</t>
  </si>
  <si>
    <t>Follicular Helper T-Lymphocyte Subpopulation Count</t>
  </si>
  <si>
    <t>TLHFSP</t>
  </si>
  <si>
    <t>TLym Help Foll Sub/TLymHF</t>
  </si>
  <si>
    <t>T-Lymphocytes Helper Foll Sub-Population/T-Lymphocytes Helper Follicular; TLym Help Foll Sub/TLymHF</t>
  </si>
  <si>
    <t>A relative measurement (ratio or percentage) of a sub-population of helper follicular T-lymphocytes to total helper follicular T-lymphocytes in a biological specimen.</t>
  </si>
  <si>
    <t>Follicular Helper T-Lymphocyte Subpopulation to Follicular Helper T-Lymphocyte Ratio Measurement</t>
  </si>
  <si>
    <t>TLHFSTH</t>
  </si>
  <si>
    <t>TLym Help Foll Sub/TLym Help</t>
  </si>
  <si>
    <t>T-Lymphocytes Helper Foll Sub-Population/T-Lymphocytes Helper; TLym Help Foll Sub/TLym Help</t>
  </si>
  <si>
    <t>A relative measurement (ratio or percentage) of a sub-population of helper follicular T-lymphocytes to total helper T-lymphocytes in a biological specimen.</t>
  </si>
  <si>
    <t>Follicular Helper T-Lymphocyte Subpopulation to Helper T-Lymphocyte Ratio Measurement</t>
  </si>
  <si>
    <t>TLHFTH</t>
  </si>
  <si>
    <t>TLym Help Foll/TLym Help</t>
  </si>
  <si>
    <t>T-Lymphocytes Helper Foll/T-Lymphocytes Helper; TLym Help Foll/TLym Help</t>
  </si>
  <si>
    <t>A relative measurement (ratio or percentage) of the helper follicular T-lymphocytes to total helper T-lymphocytes in a biological specimen.</t>
  </si>
  <si>
    <t>Follicular Helper T-Lymphocyte to Helper T-Lymphocyte Ratio Measurement</t>
  </si>
  <si>
    <t>TLHGD</t>
  </si>
  <si>
    <t>TLym Help GD</t>
  </si>
  <si>
    <t>T-Lymphocytes Helper Gamma-Delta; T-Lymphocytes Helper TCR Gamma-Delta; TLym Help GD</t>
  </si>
  <si>
    <t>A measurement of the helper gamma-delta T-lymphocytes in a biological specimen.</t>
  </si>
  <si>
    <t>Gamma-Delta Helper T-Lymphocyte Count</t>
  </si>
  <si>
    <t>TLHGDS</t>
  </si>
  <si>
    <t>TLym Help GD Sub</t>
  </si>
  <si>
    <t>T-Lymphocytes Helper Gamma-Delta Sub-Population; T-Lymphocytes Helper TCR Gamma-Delta Sub-Population; TLym Help GD Sub</t>
  </si>
  <si>
    <t>A measurement of a sub-population of helper gamma-delta T-lymphocytes in a biological specimen.</t>
  </si>
  <si>
    <t>Helper Gamma-Delta T-Lymphocyte Subpopulation Count</t>
  </si>
  <si>
    <t>TLHLE</t>
  </si>
  <si>
    <t>TLym Help/Leuk</t>
  </si>
  <si>
    <t>T Cells, Helper/Leukocytes; T-Lymphocytes, Helper/Leukocytes; TLym Help/Leuk</t>
  </si>
  <si>
    <t>A relative measurement (ratio or percentage) of the helper T-lymphocytes to leukocytes in a biological specimen.</t>
  </si>
  <si>
    <t>Helper T-Lymphocytes to Leukocytes Ratio Measurement</t>
  </si>
  <si>
    <t>TLHLY</t>
  </si>
  <si>
    <t>TLym Help/Lym</t>
  </si>
  <si>
    <t>T-Lymphocytes Helper/Lymphocytes; TLym Help/Lym</t>
  </si>
  <si>
    <t>A relative measurement (ratio or percentage) of the helper T-lymphocytes to total lymphocytes in a biological specimen.</t>
  </si>
  <si>
    <t>Helper T-Lymphocyte to Lymphocyte Ratio Measurement</t>
  </si>
  <si>
    <t>TLHM</t>
  </si>
  <si>
    <t>TLym Help Mem</t>
  </si>
  <si>
    <t>T-Lymphocytes Helper Memory; TLym Help Mem</t>
  </si>
  <si>
    <t>A measurement of the helper memory T-lymphocytes in a biological specimen.</t>
  </si>
  <si>
    <t>Memory Helper T-Lymphocyte Count</t>
  </si>
  <si>
    <t>TLHMS</t>
  </si>
  <si>
    <t>TLym Help Mem Sub</t>
  </si>
  <si>
    <t>T-Lymphocytes Helper Memory Sub-Population; TLym Help Mem Sub</t>
  </si>
  <si>
    <t>A measurement of a sub-population of helper memory T-lymphocytes in a biological specimen.</t>
  </si>
  <si>
    <t>Memory Helper T-Lymphocyte Subpopulation Count</t>
  </si>
  <si>
    <t>TLHMSP</t>
  </si>
  <si>
    <t>TLym Help Mem Sub/TLymHM</t>
  </si>
  <si>
    <t>T-Lymphocytes Helper Memory Sub-Population/T-Lymphocytes Helper Memory; TLym Help Mem Sub/TLymHM</t>
  </si>
  <si>
    <t>A relative measurement (ratio or percentage) of a sub-population of helper memory T-lymphocytes to total helper memory T-lymphocytes.</t>
  </si>
  <si>
    <t>Memory Helper T-Lymphocyte Subpopulation to Memory Helper T-Lymphocyte Ratio Measurement</t>
  </si>
  <si>
    <t>TLHMSTH</t>
  </si>
  <si>
    <t>TLym Help Mem Sub/TLym Help</t>
  </si>
  <si>
    <t>T-Lymphocytes Helper Memory Sub-Population/T-Lymphocytes Helper; TLym Help Mem Sub/TLym Help</t>
  </si>
  <si>
    <t>A relative measurement (ratio or percentage) of a sub-population of helper memory T-lymphocytes to total helper T-lymphocytes in a biological specimen.</t>
  </si>
  <si>
    <t>Memory Helper T-Lymphocyte Subpopulation to Helper T-Lymphocyte Ratio Measurement</t>
  </si>
  <si>
    <t>TLHMTH</t>
  </si>
  <si>
    <t>TLym Help Mem/TLym Help</t>
  </si>
  <si>
    <t>T-Lymphocytes Helper Memory/T-Lymphocytes Helper; TLym Help Mem/TLym Help</t>
  </si>
  <si>
    <t>A relative measurement (ratio or percentage) of the helper memory T-lymphocytes to total helper T-Lymphocytes in a biological specimen.</t>
  </si>
  <si>
    <t>Memory Helper T-Lymphocyte to Helper T-Lymphocyte Ratio Measurement</t>
  </si>
  <si>
    <t>TLHN</t>
  </si>
  <si>
    <t>TLym Help Naive</t>
  </si>
  <si>
    <t>T-Lymphocytes Helper Naive; TLym Help Naive</t>
  </si>
  <si>
    <t>A measurement of the helper naive T-lymphocytes in a biological specimen.</t>
  </si>
  <si>
    <t>Naive Helper T-Lymphocyte Count</t>
  </si>
  <si>
    <t>TLHNS</t>
  </si>
  <si>
    <t>TLym Help Naive Sub</t>
  </si>
  <si>
    <t>T-Lymphocytes Helper Naive Sub-Population; TLym Help Naive Sub</t>
  </si>
  <si>
    <t>A measurement of a sub-population of helper naive T-lymphocytes in a biological specimen.</t>
  </si>
  <si>
    <t>Naive Helper T-Lymphocyte Subpopulation Count</t>
  </si>
  <si>
    <t>TLHNSP</t>
  </si>
  <si>
    <t>TLym Help Naive Sub/TLymHN</t>
  </si>
  <si>
    <t>T-Lymphocytes Helper Naive Sub-Population/T-Lymphocytes Helper Naive; TLym Help Naive Sub/TLymHN</t>
  </si>
  <si>
    <t>A relative measurement (ratio or percentage) of a sub-population of helper naive T-lymphocytes to total helper naive T-lymphocytes in a biological specimen.</t>
  </si>
  <si>
    <t>Naive Helper T-Lymphocyte Subpopulation to Naive Helper T-Lymphocyte Ratio Measurement</t>
  </si>
  <si>
    <t>TLHNSTH</t>
  </si>
  <si>
    <t>TLym Help Naive Sub/TLym Help</t>
  </si>
  <si>
    <t>T-Lymphocytes Helper Naive Sub-Population/T-Lymphocytes Helper; TLym Help Naive Sub/TLym Help</t>
  </si>
  <si>
    <t>A relative measurement (ratio or percentage) of a sub-population of helper naive T-lymphocytes to total helper T-lymphocytes in a biological specimen.</t>
  </si>
  <si>
    <t>Naive Helper T-Lymphocyte Subpopulation to Helper T-Lymphocyte Ratio Measurement</t>
  </si>
  <si>
    <t>TLHNTH</t>
  </si>
  <si>
    <t>TLym Help Naive/TLym Help</t>
  </si>
  <si>
    <t>T-Lymphocytes Helper Naive/T-Lymphocytes Helper; TLym Help Naive/TLym Help</t>
  </si>
  <si>
    <t>A relative measurement (ratio or percentage) of the helper naive T-lymphocytes to total helper T-lymphocytes in a biological specimen.</t>
  </si>
  <si>
    <t>Naive Helper T-Lymphocyte to Helper T-Lymphocyte Ratio Measurement</t>
  </si>
  <si>
    <t>TLHP</t>
  </si>
  <si>
    <t>TLym Help Peripheral</t>
  </si>
  <si>
    <t>T-Lymphocytes Helper Peripheral; TLym Help Peripheral; Tph</t>
  </si>
  <si>
    <t>A measurement of the peripheral helper T-lymphocytes in a biological specimen.</t>
  </si>
  <si>
    <t>Peripheral Helper T-Lymphocyte Count</t>
  </si>
  <si>
    <t>TLHPS</t>
  </si>
  <si>
    <t>TLym Help Peripheral Sub</t>
  </si>
  <si>
    <t>T-Lymphocytes Helper Peripheral Sub-Population; TLym Help Peripheral Sub; Tph Sub</t>
  </si>
  <si>
    <t>A measurement of a sub-population of peripheral helper T-lymphocytes in a biological specimen.</t>
  </si>
  <si>
    <t>Peripheral Helper T-Lymphocyte Subpopulation Count</t>
  </si>
  <si>
    <t>TLHPSP</t>
  </si>
  <si>
    <t>TLym Help Peripheral Sub/TLymHP</t>
  </si>
  <si>
    <t>T-Lymphocytes Helper Peripheral Sub-Population/T-Lymphocytes Helper Peripheral; TLym Help Peripheral Sub/TLym Help Peripheral; TLym Help Peripheral Sub/TLymHP; Tph Sub/Tph</t>
  </si>
  <si>
    <t>A relative measurement (ratio or percentage) of a sub-population of peripheral helper T-lymphocytes to total peripheral helper T-lymphocytes in a biological specimen.</t>
  </si>
  <si>
    <t>Peripheral Helper T-Lymphocyte Subpopulation to Peripheral Helper T-Lymphocyte Ratio Measurement</t>
  </si>
  <si>
    <t>TLHPSTLH</t>
  </si>
  <si>
    <t>TLym Help Peripheral Sub/TLymH</t>
  </si>
  <si>
    <t>T-Lymphocytes Helper Peripheral Sub-Population/T-Lymphocytes Helper; TLym Help Peripheral Sub/TLym Help; TLym Help Peripheral Sub/TLymH; Tph Sub/TLym Help</t>
  </si>
  <si>
    <t>A relative measurement (ratio or percentage) of a sub-population of peripheral helper T-lymphocytes to total helper T-lymphocytes in a biological specimen.</t>
  </si>
  <si>
    <t>Peripheral Helper T-Lymphocyte Subpopulation to Helper T-Lymphocyte Ratio Measurement</t>
  </si>
  <si>
    <t>TLHPTLH</t>
  </si>
  <si>
    <t>TLym Help Peripheral/TLymH</t>
  </si>
  <si>
    <t>T-Lymphocytes Helper Peripheral/T-Lymphocytes Helper; TLym Help Peripheral/TLym Help; TLym Help Peripheral/TLymH; Tph/TLymH</t>
  </si>
  <si>
    <t>A relative measurement (ratio or percentage) of the peripheral helper T-lymphocytes to total helper T-lymphocytes in a biological specimen.</t>
  </si>
  <si>
    <t>Peripheral Helper T-Lymphocyte to Helper T-Lymphocyte Ratio Measurement</t>
  </si>
  <si>
    <t>TLHPTLHS</t>
  </si>
  <si>
    <t>TLym Help Peripheral/TLymHS</t>
  </si>
  <si>
    <t>T-Lymphocytes Helper Peripheral/T-Lymphocytes Helper Sub-Population; TLym Help Peripheral/TLym Help Sub; TLym Help Peripheral/TLymHS; Tph/TLym Help Sub</t>
  </si>
  <si>
    <t>A relative measurement (ratio) of helper peripheral T-lymphocytes to a sub-population of helper T-lymphocytes in a biological specimen.</t>
  </si>
  <si>
    <t>Helper Peripheral T-Lymphocyte to Helper T-Lymphocyte Subpopulation Ratio Measurement</t>
  </si>
  <si>
    <t>TLHRE</t>
  </si>
  <si>
    <t>TLym Help Reg Eff</t>
  </si>
  <si>
    <t>T-Lymphocytes Helper Regulatory Effector; TLym Help Reg Eff</t>
  </si>
  <si>
    <t>A measurement of the helper regulatory effector T-lymphocytes in a biological specimen.</t>
  </si>
  <si>
    <t>Regulatory Effector Helper T-Lymphocyte Count</t>
  </si>
  <si>
    <t>TLHRELE</t>
  </si>
  <si>
    <t>TLym Help Reg Eff/Leuk</t>
  </si>
  <si>
    <t>T-Lymphocytes Helper Regulatory Effector/Leukocytes; TLym Help Reg Eff/Leuk; TLym Help Reg Eff/Leukocytes</t>
  </si>
  <si>
    <t>A relative measurement (ratio or percentage) of the helper regulatory effector T-lymphocytes to total leukocytes in a biological specimen.</t>
  </si>
  <si>
    <t>Effector Helper Regulatory T-Lymphocyte to Leukocyte Ratio Measurement</t>
  </si>
  <si>
    <t>TLHRELY</t>
  </si>
  <si>
    <t>TLym Help Reg Eff/Lym</t>
  </si>
  <si>
    <t>T-Lymphocytes Helper Regulatory Effector/Lymphocytes; TLym Help Reg Eff/Lym; TLym Help Reg Eff/Lymphocytes</t>
  </si>
  <si>
    <t>A relative measurement (ratio or percentage) of the helper regulatory effector T-lymphocytes to total lymphocytes in a biological specimen.</t>
  </si>
  <si>
    <t>Effector Helper Regulatory T-Lymphocyte to Lymphocyte Ratio Measurement</t>
  </si>
  <si>
    <t>TLHRES</t>
  </si>
  <si>
    <t>TLym Help Reg Eff Sub</t>
  </si>
  <si>
    <t>T-Lymphocytes, Helper Regulatory Effector Sub-Population; TLym Help Reg Eff Sub</t>
  </si>
  <si>
    <t>A measurement of a sub-population of helper regulatory effector T-lymphocytes in a biological specimen.</t>
  </si>
  <si>
    <t>Regulatory Effector Helper T-Lymphocyte Subpopulation Count</t>
  </si>
  <si>
    <t>TLHRETHR</t>
  </si>
  <si>
    <t>TLym Help Reg Eff/TLymHR</t>
  </si>
  <si>
    <t>T-Lymphocytes Helper Regulatory Effector/T-Lymphocytes Helper Regulatory; TLym Help Reg Eff/TLymHR</t>
  </si>
  <si>
    <t>A relative measurement (ratio or percentage) of the helper regulatory effector T-lymphocytes to total helper regulatory T-lymphocytes in a biological specimen.</t>
  </si>
  <si>
    <t>Effector Helper Regulatory T-Lymphocyte to Regulatory Helper T-Lymphocyte Ratio Measurement</t>
  </si>
  <si>
    <t>TLHRETLH</t>
  </si>
  <si>
    <t>TLym Help Reg Eff/TLym Help</t>
  </si>
  <si>
    <t>T-Lymphocytes Helper Regulatory Effector/T-Lymphocytes Helper; TLym Help Reg Eff/TLym Help</t>
  </si>
  <si>
    <t>A relative measurement (ratio or percentage) of the helper regulatory effector T-lymphocytes to total helper T-lymphocytes in a biological specimen.</t>
  </si>
  <si>
    <t>Effector Helper Regulatory T-Lymphocyte to Helper T-Lymphocyte Ratio Measurement</t>
  </si>
  <si>
    <t>TLHRETLY</t>
  </si>
  <si>
    <t>TLym Help Reg Eff/TLym</t>
  </si>
  <si>
    <t>T-Lymphocytes Helper Regulatory Effector/T-Lymphocytes; TLym Help Reg Eff/T-Lymphocytes; TLym Help Reg Eff/TLym</t>
  </si>
  <si>
    <t>A relative measurement (ratio or percentage) of the helper regulatory effector T-lymphocytes to total T-lymphocytes in a biological specimen.</t>
  </si>
  <si>
    <t>Effector Helper Regulatory T-Lymphocyte to T-Lymphocyte Ratio Measurement</t>
  </si>
  <si>
    <t>TLHRM</t>
  </si>
  <si>
    <t>TLym Help Reg Mem</t>
  </si>
  <si>
    <t>T-Lymphocytes Helper Regulatory Memory; TLym Help Reg Mem</t>
  </si>
  <si>
    <t>A measurement of the helper regulatory memory T-lymphocytes in a biological specimen.</t>
  </si>
  <si>
    <t>Regulatory Memory Helper T-Lymphocyte Count</t>
  </si>
  <si>
    <t>TLHRMS</t>
  </si>
  <si>
    <t>TLym Help Reg Mem Sub</t>
  </si>
  <si>
    <t>T-Lymphocytes Helper Regulatory Memory Sub-Population; TLym Help Reg Mem Sub</t>
  </si>
  <si>
    <t>A measurement of a sub-population of helper regulatory memory T-lymphocytes in a biological specimen.</t>
  </si>
  <si>
    <t>Regulatory Memory Helper T-Lymphocyte Subpopulation Count</t>
  </si>
  <si>
    <t>TLHRMSP</t>
  </si>
  <si>
    <t>TLym Help Reg Mem Sub/TLymHRM</t>
  </si>
  <si>
    <t>T-Lymphocytes Helper Regulatory Memory Sub-Population/T-Lymphocytes Helper Regulatory Memory; TLym Help Reg Mem Sub/TLymHRM</t>
  </si>
  <si>
    <t>A relative measurement (ratio or percentage) of a sub-population of helper regulatory memory T-lymphocytes to total helper regulatory memory T-lymphocytes in a biological specimen.</t>
  </si>
  <si>
    <t>Regulatory Memory Helper T-Lymphocyte Subpopulation to Regulatory Memory Helper T-Lymphocyte Ratio Measurement</t>
  </si>
  <si>
    <t>TLHRMTHR</t>
  </si>
  <si>
    <t>TLym Help Reg Mem/TLymHR</t>
  </si>
  <si>
    <t>T-Lymphocytes Helper Regulatory Memory/T-Lymphocytes Helper Regulatory; TLym Help Reg Mem/TLymHR</t>
  </si>
  <si>
    <t>A relative measurement (ratio or percentage) of the helper regulatory memory T-lymphocytes to total helper regulatory T-lymphocytes in a biological specimen.</t>
  </si>
  <si>
    <t>Regulatory Memory Helper T-Lymphocyte to Regulatory Helper T-Lymphocyte Ratio Measurement</t>
  </si>
  <si>
    <t>TLHRN</t>
  </si>
  <si>
    <t>TLym Help Reg Naive</t>
  </si>
  <si>
    <t>T-Lymphocytes Helper Regulatory Naive; TLym Help Reg Naive</t>
  </si>
  <si>
    <t>A measurement of the helper regulatory naive T-lymphocytes in a biological specimen.</t>
  </si>
  <si>
    <t>Naive Regulatory Helper T-Lymphocyte Count</t>
  </si>
  <si>
    <t>TLHRNLE</t>
  </si>
  <si>
    <t>TLym Help Reg Naive/Leuk</t>
  </si>
  <si>
    <t>T-Lymphocytes Helper Regulatory Naive/Leukocytes; TLym Help Reg Naive/Leuk</t>
  </si>
  <si>
    <t>A relative measurement (ratio or percentage) of the helper regulatory naive T-lymphocytes to leukocytes in a biological specimen.</t>
  </si>
  <si>
    <t>Naive Regulatory Helper T-Lymphocyte to Leukocyte Ratio Measurement</t>
  </si>
  <si>
    <t>TLHRNS</t>
  </si>
  <si>
    <t>TLym Help Reg Naive Sub</t>
  </si>
  <si>
    <t>T-Lymphocytes Helper Regulatory Naive Sub-Population; TLym Help Reg Naive Sub</t>
  </si>
  <si>
    <t>A measurement of a sub-population of helper regulatory naive T-lymphocytes in a biological specimen.</t>
  </si>
  <si>
    <t>Naive Regulatory Helper T-Lymphocyte Subpopulation Count</t>
  </si>
  <si>
    <t>TLHRNSP</t>
  </si>
  <si>
    <t>TLym Help Reg Naive Sub/TLymHRN</t>
  </si>
  <si>
    <t>T-Lymphocytes Helper Regulatory Naive Sub-Population/T-Lymphocytes Helper Regulatory Naive; TLym Help Reg Naive Sub/TLymHRN</t>
  </si>
  <si>
    <t>A relative measurement (ratio or percentage) of a sub-population of helper regulatory naive T-lymphocytes to total helper regulatory naive T-lymphocytes in a biological specimen.</t>
  </si>
  <si>
    <t>Naive Regulatory Helper T-Lymphocyte Subpopulation to Naive Regulatory Helper T-Lymphocyte Ratio Measurement</t>
  </si>
  <si>
    <t>TLHRNTHR</t>
  </si>
  <si>
    <t>TLym Help Reg Naive/TLymHR</t>
  </si>
  <si>
    <t>T-Lymphocytes Helper Regulatory Naive/T-Lymphocytes Helper Regulatory; TLym Help Reg Naive/TLymHR</t>
  </si>
  <si>
    <t>A relative measurement (ratio or percentage) of the helper regulatory naive T-lymphocytes to total helper regulatory T-lymphocytes in a biological specimen.</t>
  </si>
  <si>
    <t>Naive Regulatory Helper T-Lymphocyte to Regulatory Helper T-Lymphocyte Ratio Measurement</t>
  </si>
  <si>
    <t>TLHRNTLH</t>
  </si>
  <si>
    <t>TLym Help Reg Naive/TLym Help</t>
  </si>
  <si>
    <t>T-Lymphocytes Helper Regulatory Naive/T-Lymphocytes Helper; TLym Help Reg Naive/TLym Help</t>
  </si>
  <si>
    <t>A relative measurement (ratio or percentage) of the helper regulatory naive T-lymphocytes to total helper T-lymphocytes in a biological specimen.</t>
  </si>
  <si>
    <t>Naive Regulatory Helper T-Lymphocyte to Helper T-Lymphocyte Ratio Measurement</t>
  </si>
  <si>
    <t>TLHRNTLY</t>
  </si>
  <si>
    <t>TLym Help Reg Naive/TLym</t>
  </si>
  <si>
    <t>T-Lymphocytes Helper Regulatory Naive/T-Lymphocytes; TLym Help Reg Naive/T-Lymphocytes; TLym Help Reg Naive/TLym</t>
  </si>
  <si>
    <t>A relative measurement (ratio or percentage) of the helper regulatory naive T-lymphocytes to total T-lymphocytes in a biological specimen.</t>
  </si>
  <si>
    <t>Naive Regulatory Helper T-Lymphocyte to T-Lymphocyte Ratio Measurement</t>
  </si>
  <si>
    <t>TLHRS</t>
  </si>
  <si>
    <t>TLym Help Reg Sub</t>
  </si>
  <si>
    <t>T-Lymphocytes Helper Regulatory Sub-Population; TLym Help Reg Sub</t>
  </si>
  <si>
    <t>A measurement of a sub-population of helper regulatory T-lymphocytes in a biological specimen.</t>
  </si>
  <si>
    <t>Helper Regulatory T-Lymphocyte Subpopulation Count</t>
  </si>
  <si>
    <t>TLHRSP</t>
  </si>
  <si>
    <t>TLym Help Reg Sub/TLymHR</t>
  </si>
  <si>
    <t>T-Lymphocytes Helper Regulatory Sub-Population/T-Lymphocytes Helper Regulatory; TLym Help Reg Sub/TLymHR</t>
  </si>
  <si>
    <t>A relative measurement (ratio or percentage) of a sub-population of helper regulatory T-lymphocytes to total helper regulatory T-lymphocytes in a biological specimen.</t>
  </si>
  <si>
    <t>Regulatory Helper T-Lymphocyte Subpopulation to Regulatory Helper T-Lymphocyte Ratio Measurement</t>
  </si>
  <si>
    <t>TLHRSTLH</t>
  </si>
  <si>
    <t>TLym Help Reg Sub/TLym Help</t>
  </si>
  <si>
    <t>T-Lymphocytes Helper Regulatory Sub-Population/T-Lymphocytes Helper; TLym Help Reg Sub/TLym Help</t>
  </si>
  <si>
    <t>A relative measurement (ratio or percentage) of a sub-population of helper regulatory T-lymphocytes to total helper T-lymphocytes in a biological specimen.</t>
  </si>
  <si>
    <t>Regulatory Helper T-Lymphocyte Subpopulation to Helper T-Lymphocyte Ratio Measurement</t>
  </si>
  <si>
    <t>TLHRTLH</t>
  </si>
  <si>
    <t>TLym Help Reg/TLym Help</t>
  </si>
  <si>
    <t>T-Lymphocytes Helper Regulatory/T-Lymphocytes Helper; TLym Help Reg/TLym Help</t>
  </si>
  <si>
    <t>A relative measurement (ratio or percentage) of the helper regulatory T-lymphocytes to total helper T-lymphocytes in a biological specimen.</t>
  </si>
  <si>
    <t>Regulatory Helper T-Lymphocyte to Helper T-Lymphocyte Ratio Measurement</t>
  </si>
  <si>
    <t>TLHSCM</t>
  </si>
  <si>
    <t>TLym Help SC Mem</t>
  </si>
  <si>
    <t>T-Lymphocytes Helper Stem Cell Memory; TLym Help SC Mem</t>
  </si>
  <si>
    <t>A measurement of the helper stem cell memory T-lymphocytes in a biological specimen.</t>
  </si>
  <si>
    <t>Stem Cell Memory Helper T-Lymphocyte Count</t>
  </si>
  <si>
    <t>TLHSCMS</t>
  </si>
  <si>
    <t>TLym Help SC Mem Sub</t>
  </si>
  <si>
    <t>T-Lymphocytes Helper Stem Cell Memory Sub-Population; TLym Help SC Mem Sub</t>
  </si>
  <si>
    <t>A measurement of a sub-population of helper stem cell memory T-lymphocytes in a biological specimen.</t>
  </si>
  <si>
    <t>Stem Cell Memory Helper T-Lymphocyte Subpopulation Count</t>
  </si>
  <si>
    <t>TLHSCMSP</t>
  </si>
  <si>
    <t>TLym Help SC Mem Sub/TLymHSCM</t>
  </si>
  <si>
    <t>T-Lymphocytes Helper Stem Cell Memory Sub-Population/T-Lymphocytes Helper Stem Cell Memory; TLym Help SC Mem Sub/TLymHSCM</t>
  </si>
  <si>
    <t>A relative measurement (ratio or percentage) of a sub-population of helper stem cell memory T-lymphocytes to total helper stem cell memory T-lymphocytes in a biological specimen.</t>
  </si>
  <si>
    <t>Stem Cell Memory Helper T-Lymphocyte Subpopulation to Stem Cell Memory Helper T-Lymphocyte Ratio Measurement</t>
  </si>
  <si>
    <t>TLHSCMTH</t>
  </si>
  <si>
    <t>TLym Help SC Mem/TLym Help</t>
  </si>
  <si>
    <t>T-Lymphocytes Helper Stem Cell Memory/T-Lymphocytes Helper; TLym Help SC Mem/TLym Help</t>
  </si>
  <si>
    <t>A relative measurement (ratio or percentage) of the helper stem cell memory T-lymphocytes to total helper T-lymphocytes in a biological specimen.</t>
  </si>
  <si>
    <t>Stem Cell Memory Helper T-Lymphocyte to Helper T-Lymphocyte Ratio Measurement</t>
  </si>
  <si>
    <t>TLHSP</t>
  </si>
  <si>
    <t>TLym Help Sub/TLym Help</t>
  </si>
  <si>
    <t>T-Lymphocytes Helper Sub-Population/Helper T-Lymphocytes; TLym Help Sub/TLym Help</t>
  </si>
  <si>
    <t>A relative measurement (ratio or percentage) of a sub-population of helper T-lymphocytes to total helper T-lymphocytes in a biological specimen.</t>
  </si>
  <si>
    <t>Helper T-Lymphocyte Subpopulation to Helper T-Lymphocyte Ratio Measurement</t>
  </si>
  <si>
    <t>TLHTM</t>
  </si>
  <si>
    <t>TLym Help Term Mem</t>
  </si>
  <si>
    <t>T-Lymphocytes Helper Terminal Memory; TLym Help Term Mem</t>
  </si>
  <si>
    <t>A measurement of the helper terminal memory T-lymphocytes in a biological specimen.</t>
  </si>
  <si>
    <t>Terminal Memory Helper T-Lymphocyte Count</t>
  </si>
  <si>
    <t>TLHTMS</t>
  </si>
  <si>
    <t>TLym Help Term Mem Sub</t>
  </si>
  <si>
    <t>T-Lymphocytes Helper Terminal Memory Sub-Population; TLym Help Term Mem Sub</t>
  </si>
  <si>
    <t>A measurement of a sub-population of helper terminal memory T-lymphocytes in a biological specimen.</t>
  </si>
  <si>
    <t>Terminal Memory Helper T-Lymphocyte Subpopulation Count</t>
  </si>
  <si>
    <t>TLHTMSP</t>
  </si>
  <si>
    <t>TLym Help Term Mem Sub/TLymHTM</t>
  </si>
  <si>
    <t>T-Lymphocytes Helper Terminal Memory Sub-Population/T-Lymphocytes Helper Terminal Memory; TLym Help Term Mem Sub/TLymHTM</t>
  </si>
  <si>
    <t>A relative measurement (ratio or percentage) of a sub-population of helper terminal memory T-lymphocytes to total helper terminal memory T-lymphocytes in a biological specimen.</t>
  </si>
  <si>
    <t>Terminal Memory Helper T-Lymphocyte Subpopulation to Terminal Memory Helper T-Lymphocyte Ratio Measurement</t>
  </si>
  <si>
    <t>TLHTMSTH</t>
  </si>
  <si>
    <t>TLym Help Term Mem Sub/TLym Help</t>
  </si>
  <si>
    <t>T-Lymphocytes Helper Terminal Memory Sub-Population/T-Lymphocytes Helper; TLym Help Term Mem Sub/TLym Help</t>
  </si>
  <si>
    <t>A relative measurement (ratio or percentage) of a sub-population of helper terminal memory T-lymphocytes to total helper T-lymphocytes in a biological specimen.</t>
  </si>
  <si>
    <t>Terminal Memory Helper T-Lymphocyte Subpopulation to Helper T-Lymphocyte Ratio Measurement</t>
  </si>
  <si>
    <t>TLHTMTLH</t>
  </si>
  <si>
    <t>TLym Help Term Mem/TLym Help</t>
  </si>
  <si>
    <t>T-Lymphocytes Helper Terminal Memory/T-Lymphocytes Helper; TLym Help Term Mem/TLym Help</t>
  </si>
  <si>
    <t>A relative measurement (ratio or percentage) of the helper terminal memory T-lymphocytes to total helper T-lymphocytes in a biological specimen.</t>
  </si>
  <si>
    <t>Terminal Memory Helper T-Lymphocyte to Helper T-Lymphocyte Ratio Measurement</t>
  </si>
  <si>
    <t>TLLE</t>
  </si>
  <si>
    <t>TLym/Leuk</t>
  </si>
  <si>
    <t>T Cells/Leukocytes; T-Lymphocytes/Leukocytes; TLym/Leuk</t>
  </si>
  <si>
    <t>A relative measurement (ratio or percentage) of the T-lymphocytes to leukocytes in a biological specimen.</t>
  </si>
  <si>
    <t>T-Lymphocytes to Leukocytes Ratio Measurement</t>
  </si>
  <si>
    <t>TLN</t>
  </si>
  <si>
    <t>TLym Naive</t>
  </si>
  <si>
    <t>T-Lymphocytes Naive; TLym Naive</t>
  </si>
  <si>
    <t>A measurement of the naive T-lymphocytes in a biological specimen.</t>
  </si>
  <si>
    <t>Naive T-Lymphocyte Count</t>
  </si>
  <si>
    <t>TLR</t>
  </si>
  <si>
    <t>TLym Reg</t>
  </si>
  <si>
    <t>T-Lymphocytes Regulatory; TLym Reg</t>
  </si>
  <si>
    <t>A measurement of the regulatory T-lymphocytes in a biological specimen.</t>
  </si>
  <si>
    <t>Regulatory T-Lymphocyte Count</t>
  </si>
  <si>
    <t>TLRLY</t>
  </si>
  <si>
    <t>TLym Reg/Lym</t>
  </si>
  <si>
    <t>T-Lymphocytes Regulatory/Lymphocytes; TLym Reg/Lym</t>
  </si>
  <si>
    <t>A relative measurement (ratio or percentage) of the regulatory T-lymphocytes to total lymphocytes in a biological specimen.</t>
  </si>
  <si>
    <t>Regulatory T-Lymphocyte to Total Lymphocyte Ratio Measurement</t>
  </si>
  <si>
    <t>TLS</t>
  </si>
  <si>
    <t>TLym Sub</t>
  </si>
  <si>
    <t>T-Lymphocytes Sub-Population; TLym Sub</t>
  </si>
  <si>
    <t>A measurement of a subpopulation of T-lymphocytes in a biological specimen.</t>
  </si>
  <si>
    <t>T-Lymphocyte Subpopulation Count</t>
  </si>
  <si>
    <t>TLSLE</t>
  </si>
  <si>
    <t>TLym Sub/Leuk</t>
  </si>
  <si>
    <t>T-Lymphocytes Sub-Population/Leukocytes; TLym Sub/Leuk</t>
  </si>
  <si>
    <t>A relative measurement (ratio or percentage) of a sub-population of T-lymphocytes to total leukocytes in a biological specimen.</t>
  </si>
  <si>
    <t>T-Lymphocyte Subpopulation to Leukocyte Ratio Measurement</t>
  </si>
  <si>
    <t>TLSTLS</t>
  </si>
  <si>
    <t>TLym Sub/TLym Sub</t>
  </si>
  <si>
    <t>T-Lymphocytes Sub-Population/T-Lymphocytes Sub-Population; TLym Sub/TLym Sub</t>
  </si>
  <si>
    <t>A relative measurement (ratio or percentage) of a sub-population of T-lymphocytes to a sub-population of T-lymphocytes in a biological specimen.</t>
  </si>
  <si>
    <t>T-Lymphocyte Subpopulation to T-Lymphocyte Subpopulation Ratio Measurement</t>
  </si>
  <si>
    <t>TLSTLY</t>
  </si>
  <si>
    <t>TLym Sub/TLym</t>
  </si>
  <si>
    <t>T-Lymphocytes Sub-Population/T-Lymphocytes; TLym Sub/TLym</t>
  </si>
  <si>
    <t>A relative measurement (ratio or percentage) of the T-lymphocyte subpopulation to total T-lymphocytes in a biological specimen.</t>
  </si>
  <si>
    <t>T-Lymphocytes Subpopulation to Total T-Lymphocytes Ratio Measurement</t>
  </si>
  <si>
    <t>TLTM</t>
  </si>
  <si>
    <t>TLym Term Mem</t>
  </si>
  <si>
    <t>T-Lymphocytes Terminal Memory; TEMRA; TLym Term Mem</t>
  </si>
  <si>
    <t>A measurement of the terminal memory T-lymphocytes in a biological specimen.</t>
  </si>
  <si>
    <t>Terminal Memory T-Lymphocyte Count</t>
  </si>
  <si>
    <t>TLYCE</t>
  </si>
  <si>
    <t>T-Lymphocytes</t>
  </si>
  <si>
    <t>T Cells; T-Cell Lymphocytes; T-Cells; T-Lymphocytes</t>
  </si>
  <si>
    <t>A measurement of the total thymocyte-derived lymphocytes in a biological specimen.</t>
  </si>
  <si>
    <t>T-Lymphocyte Count</t>
  </si>
  <si>
    <t>TLYCTLY</t>
  </si>
  <si>
    <t>TLym Cytx/TLym</t>
  </si>
  <si>
    <t>Cytotoxic T Cells/T Cells; Cytotoxic T-Lymphocytes/T-Lymphocytes; TLym Cytx/TLym</t>
  </si>
  <si>
    <t>A relative measurement (ratio or percentage) of the cytotoxic T-lymphocytes to total T-lymphocytes in a biological specimen.</t>
  </si>
  <si>
    <t>Cytotoxic T-Lymphocytes to Total T-Lymphocytes Ratio Measurement</t>
  </si>
  <si>
    <t>TLYH</t>
  </si>
  <si>
    <t>TLym Help</t>
  </si>
  <si>
    <t>Helper T Cells; Helper T-Lymphocytes; TLym Help</t>
  </si>
  <si>
    <t>A measurement of the helper T-lymphocytes in a biological specimen.</t>
  </si>
  <si>
    <t>Helper T-Lymphocytes Count</t>
  </si>
  <si>
    <t>TLYHR</t>
  </si>
  <si>
    <t>TLym Help Reg</t>
  </si>
  <si>
    <t>T-Lymphocytes Helper Regulatory; TLym Help Reg</t>
  </si>
  <si>
    <t>A measurement of helper regulatory T-lymphocytes in a biological specimen.</t>
  </si>
  <si>
    <t>Helper Regulatory T-Lymphocyte Count</t>
  </si>
  <si>
    <t>TLYHRLY</t>
  </si>
  <si>
    <t>TLym Help Reg/Lym</t>
  </si>
  <si>
    <t>T-Lymphocytes Helper Regulatory/Lymphocytes; TLym Help Reg/Lym</t>
  </si>
  <si>
    <t>A relative measurement (ratio or percentage) of helper regulatory T-lymphocytes to total lymphocytes in a biological specimen.</t>
  </si>
  <si>
    <t>Helper Regulatory T-Lymphocyte to Lymphocyte Ratio Measurement</t>
  </si>
  <si>
    <t>TLYHS</t>
  </si>
  <si>
    <t>TLym Help Sub</t>
  </si>
  <si>
    <t>T-Lymphocytes Helper Sub-Population; TLym Help Sub</t>
  </si>
  <si>
    <t>A measurement of a subpopulation of helper T-lymphocytes in a biological specimen.</t>
  </si>
  <si>
    <t>Helper T-Lymphocyte Subpopulation Count</t>
  </si>
  <si>
    <t>TLYHSLY</t>
  </si>
  <si>
    <t>TLym Help Sub/Lym</t>
  </si>
  <si>
    <t>T-Lymphocytes Helper Subpopulation/Lymphocytes; TLym Help Sub/Lym</t>
  </si>
  <si>
    <t>A relative measurement (ratio or percentage) of the subpopulation of helper T-lymphocytes to total lymphocytes in a biological specimen.</t>
  </si>
  <si>
    <t>Helper T-Lymphocyte Subpopulation to Total Lymphocyte Ratio Measurement</t>
  </si>
  <si>
    <t>TLYHTLY</t>
  </si>
  <si>
    <t>TLym Help/TLym</t>
  </si>
  <si>
    <t>Helper T Cells/T Cells; Helper T-Lymphocytes/T-Lymphocytes; TLym Help/TLym</t>
  </si>
  <si>
    <t>A relative measurement (ratio or percentage) of the helper T-lymphocytes to total T-lymphocytes in a biological specimen.</t>
  </si>
  <si>
    <t>Helper T-Lymphocytes to Total T-Lymphocytes Ratio Measurement</t>
  </si>
  <si>
    <t>TLYHTLYC</t>
  </si>
  <si>
    <t>TLym Help/TLym Cytx</t>
  </si>
  <si>
    <t>Helper T Cells/Cytotoxic T Cells; Helper T-Lymphocytes/Cytotoxic T-Lymphocytes; TLym Help/TLym Cytx</t>
  </si>
  <si>
    <t>A relative measurement (ratio) of the helper T-lymphocytes to cytotoxic T-lymphocytes in a biological specimen.</t>
  </si>
  <si>
    <t>Helper T-Lymphocytes to Cytotoxic T-Lymphocytes Ratio Measurement</t>
  </si>
  <si>
    <t>TLYLY</t>
  </si>
  <si>
    <t>TLym/Lym</t>
  </si>
  <si>
    <t>T Cells/Lymphocytes; T-Lymphocytes/Lymphocytes; TLym/Lym</t>
  </si>
  <si>
    <t>A relative measurement (ratio or percentage) of the T-lymphocytes to total lymphocytes in a biological specimen.</t>
  </si>
  <si>
    <t>T-Lymphocytes to Lymphocytes Ratio Measurement</t>
  </si>
  <si>
    <t>TLYMPIDX</t>
  </si>
  <si>
    <t>T-Lymphocyte Proliferation Index</t>
  </si>
  <si>
    <t>A relative measurement (ratio or percentage) of T-lymphocyte proliferation due to stimulation by an antigen of interest to a non-stimulated T-lymphocyte proliferation control.</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</si>
  <si>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</si>
  <si>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</si>
  <si>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</si>
  <si>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</si>
  <si>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TLYSLY</t>
  </si>
  <si>
    <t>TLym Sub/Lym</t>
  </si>
  <si>
    <t>T-Lymphocytes Sub-Population/Lymphocytes; TLym Sub/Lym</t>
  </si>
  <si>
    <t>A relative measurement (ratio or percentage) of the subpopulation of T-lymphocytes to total lymphocytes in a biological specimen.</t>
  </si>
  <si>
    <t>T-Lymphocyte Subpopulation to Total Lymphocyte Ratio Measurement</t>
  </si>
  <si>
    <t>TMB</t>
  </si>
  <si>
    <t>Tumor Mutation Burden</t>
  </si>
  <si>
    <t>Tumor Mutation Burden; Tumor Mutational Burden</t>
  </si>
  <si>
    <t>A quantitative or qualitative assessment of the number of genomic alterations found in genetic material from tumor cells, when compared to a reference sequence.</t>
  </si>
  <si>
    <t>Tumor Mutation Burden Assessment</t>
  </si>
  <si>
    <t>TMEPRDN</t>
  </si>
  <si>
    <t>Trimeperidine</t>
  </si>
  <si>
    <t>A measurement of the trimeperidine in a biological specimen.</t>
  </si>
  <si>
    <t>Trimeperidine Measurement</t>
  </si>
  <si>
    <t>TMPTRTYP</t>
  </si>
  <si>
    <t>Tympanogram Tracing Type</t>
  </si>
  <si>
    <t>Tympanogram Tracing Type; Tympanogram Type</t>
  </si>
  <si>
    <t>An interpretive summary of the tympanogram tracing result.</t>
  </si>
  <si>
    <t>TMZPM</t>
  </si>
  <si>
    <t>Temazepam</t>
  </si>
  <si>
    <t>A measurement of the temazepam present in a biological specimen.</t>
  </si>
  <si>
    <t>Temazepam Measurement</t>
  </si>
  <si>
    <t>TNC</t>
  </si>
  <si>
    <t>Tenascin C</t>
  </si>
  <si>
    <t>Tenascin C; Tenascin-C; TN-C</t>
  </si>
  <si>
    <t>A measurement of the tenascin C in a biological specimen.</t>
  </si>
  <si>
    <t>Tenascin C Measurement</t>
  </si>
  <si>
    <t>TNDRIND</t>
  </si>
  <si>
    <t>Tenderness Indicator</t>
  </si>
  <si>
    <t>An indication as to whether there are symptoms of tenderness.</t>
  </si>
  <si>
    <t>TNF</t>
  </si>
  <si>
    <t>Tumor Necrosis Factor</t>
  </si>
  <si>
    <t>Tumor Necrosis Factor; Tumor Necrosis Factor alpha</t>
  </si>
  <si>
    <t>A measurement of the total tumor necrosis factor (cachexin) cytokine in a biological specimen.</t>
  </si>
  <si>
    <t>Tumor Necrosis Factor Measurement</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</si>
  <si>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</si>
  <si>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</si>
  <si>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</si>
  <si>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</si>
  <si>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</si>
  <si>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</si>
  <si>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</si>
  <si>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</si>
  <si>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</si>
  <si>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</si>
  <si>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TNF12</t>
  </si>
  <si>
    <t>TNF Superfamily Member 12</t>
  </si>
  <si>
    <t>APO3L; DR3LG; TNF Superfamily Member 12; TNLG4A; TWEAK</t>
  </si>
  <si>
    <t>A measurement of the total tumor necrosis factor superfamily member 12 in a biological specimen.</t>
  </si>
  <si>
    <t>TNF Superfamily Member 12 Measurement</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</si>
  <si>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</si>
  <si>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</si>
  <si>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</si>
  <si>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</si>
  <si>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</si>
  <si>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</si>
  <si>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</si>
  <si>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</si>
  <si>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</si>
  <si>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</si>
  <si>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</si>
  <si>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</si>
  <si>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</si>
  <si>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</si>
  <si>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TNFAPI</t>
  </si>
  <si>
    <t>TNF-a Production Inhibition</t>
  </si>
  <si>
    <t>TNF-a Production Inhibition; TNF-a Production Inhibitory Activity</t>
  </si>
  <si>
    <t>A measurement of TNF-a production inhibitory activity in a biological specimen.</t>
  </si>
  <si>
    <t>TNF-a Production Inhibitory Activity Measurement</t>
  </si>
  <si>
    <t>TNFR1</t>
  </si>
  <si>
    <t>Tumor Necrosis Factor Receptor 1</t>
  </si>
  <si>
    <t>Soluble CD120a; Tumor Necrosis Factor Receptor 1</t>
  </si>
  <si>
    <t>A measurement of the tumor necrosis factor receptor 1 (CD120a) in a biological specimen.</t>
  </si>
  <si>
    <t>Tumor Necrosis Factor Receptor 1 Measurement</t>
  </si>
  <si>
    <t>TNFR1B</t>
  </si>
  <si>
    <t>TNF Receptor 1B</t>
  </si>
  <si>
    <t>p75; p75TNFR; Soluble CD120b; TBPII; TNF Receptor 1B; TNF-R-II; TNF-R75; TNFBR; TNFR1B; TNFR2; TNFR80; Tumor Necrosis Factor Receptor 2</t>
  </si>
  <si>
    <t>A measurement of the tumor necrosis factor receptor superfamily member 1B in a biological specimen.</t>
  </si>
  <si>
    <t>TNF Receptor 1B Measurement</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</si>
  <si>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</si>
  <si>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</si>
  <si>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</si>
  <si>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</si>
  <si>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</si>
  <si>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</si>
  <si>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</si>
  <si>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</si>
  <si>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</si>
  <si>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</si>
  <si>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</si>
  <si>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</si>
  <si>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</si>
  <si>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</si>
  <si>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</si>
  <si>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TNFSR</t>
  </si>
  <si>
    <t>Soluble Tumor Necrosis Factor Receptor</t>
  </si>
  <si>
    <t>A measurement of the total soluble tumor necrosis factor receptor in a biological specimen.</t>
  </si>
  <si>
    <t>Soluble Tumor Necrosis Factor Receptor Measurement</t>
  </si>
  <si>
    <t>TNFSR1</t>
  </si>
  <si>
    <t>Soluble TNF Receptor Type I</t>
  </si>
  <si>
    <t>A measurement of the soluble tumor necrosis factor receptor type I in a biological specimen.</t>
  </si>
  <si>
    <t>Soluble Tumor Necrosis Factor Receptor Type I Measurement</t>
  </si>
  <si>
    <t>TNFSR2</t>
  </si>
  <si>
    <t>Soluble TNF Receptor Type II</t>
  </si>
  <si>
    <t>Soluble CD120b; Soluble TNF Receptor 1B; Soluble TNF Receptor Type II; Soluble TNFR1B</t>
  </si>
  <si>
    <t>A measurement of the soluble tumor necrosis factor receptor type II in a biological specimen.</t>
  </si>
  <si>
    <t>Soluble Tumor Necrosis Factor Receptor Type II Measurement</t>
  </si>
  <si>
    <t>TOCUTSIZ</t>
  </si>
  <si>
    <t>Tobacco Cut Size</t>
  </si>
  <si>
    <t>The physical dimensions of tobacco in a tobacco product.</t>
  </si>
  <si>
    <t>TOLUENE</t>
  </si>
  <si>
    <t>Toluene</t>
  </si>
  <si>
    <t>Methylbenzene; Phenylmethane; Toluene; Toluol</t>
  </si>
  <si>
    <t>A measurement of the toluene in a specimen.</t>
  </si>
  <si>
    <t>Toluene Measurement</t>
  </si>
  <si>
    <t>TOMREG2</t>
  </si>
  <si>
    <t>Tomoregulin-2</t>
  </si>
  <si>
    <t>Tomoregulin-2; Transmembrane Protein With EGF-Like And Two Follistatin-Like Domains 2</t>
  </si>
  <si>
    <t>A measurement of the tomoregulin-2 in a biological specimen.</t>
  </si>
  <si>
    <t>Tomoregulin-2 Measurement</t>
  </si>
  <si>
    <t>TOPRTSIZ</t>
  </si>
  <si>
    <t>Tobacco Particle Size</t>
  </si>
  <si>
    <t>The width of particles in tobacco smoke.</t>
  </si>
  <si>
    <t>TORODDEN</t>
  </si>
  <si>
    <t>Tobacco Rod Density</t>
  </si>
  <si>
    <t>The density of cut tobacco filler within its wrapper.</t>
  </si>
  <si>
    <t>TOTNUM</t>
  </si>
  <si>
    <t>Total Number</t>
  </si>
  <si>
    <t>A measurement of the total number of entities.</t>
  </si>
  <si>
    <t>TOX1_2X</t>
  </si>
  <si>
    <t>TOX1+TOX2 Expression</t>
  </si>
  <si>
    <t>TOX1+TOX2 Expression; TOX1/2 Expression</t>
  </si>
  <si>
    <t>A measurement of cellular TOX1 and cellular TOX2 expression in a biological specimen.</t>
  </si>
  <si>
    <t>TOX1 and TOX2 Expression Measurement</t>
  </si>
  <si>
    <t>TOXBPCDF</t>
  </si>
  <si>
    <t>Toxin B-Producing Clostridium difficile</t>
  </si>
  <si>
    <t>A measurement of the toxin B-producing strain of Clostridium difficile in a biological specimen.</t>
  </si>
  <si>
    <t>Toxin B-Producing Clostridium difficile Measurement</t>
  </si>
  <si>
    <t>TOXCDF</t>
  </si>
  <si>
    <t>Toxigenic Clostridium difficile</t>
  </si>
  <si>
    <t>A measurement of the toxigenic strain of Clostridium difficile in a biological specimen.</t>
  </si>
  <si>
    <t>Toxigenic Clostridium difficile Measurement</t>
  </si>
  <si>
    <t>TOXGR</t>
  </si>
  <si>
    <t>Toxicity Grade</t>
  </si>
  <si>
    <t>A standardized categorical classification of the severity of an event or finding.</t>
  </si>
  <si>
    <t>TOXGRAN</t>
  </si>
  <si>
    <t>Toxic Granulation</t>
  </si>
  <si>
    <t>A measurement of the toxic granulation in granulocytic blood cells.</t>
  </si>
  <si>
    <t>Toxic Granulation Measurement</t>
  </si>
  <si>
    <t>TOXVAC</t>
  </si>
  <si>
    <t>Toxic Vacuolation</t>
  </si>
  <si>
    <t>A measurement of the toxic vacuolation in any of the granulocytic blood cells.</t>
  </si>
  <si>
    <t>Toxic Vacuolation Assessment</t>
  </si>
  <si>
    <t>TPA</t>
  </si>
  <si>
    <t>Treponema pallidum</t>
  </si>
  <si>
    <t>A measurement of the Treponema pallidum in a biological specimen.</t>
  </si>
  <si>
    <t>Treponema pallidum Measurement</t>
  </si>
  <si>
    <t>TPAAG</t>
  </si>
  <si>
    <t>Tissue Plasminogen Activator Antigen</t>
  </si>
  <si>
    <t>A measurement of the tissue plasminogen activator antigen in a biological specimen.</t>
  </si>
  <si>
    <t>Tissue Plasminogen Activator Measurement</t>
  </si>
  <si>
    <t>TPADNA</t>
  </si>
  <si>
    <t>Treponema pallidum DNA</t>
  </si>
  <si>
    <t>A measurement of the Treponema pallidum DNA in a biological specimen.</t>
  </si>
  <si>
    <t>Treponema pallidum DNA Measurement</t>
  </si>
  <si>
    <t>TPAG</t>
  </si>
  <si>
    <t>Tissue Polypeptide Antigen</t>
  </si>
  <si>
    <t>Tissue Polypeptide Antigen; TPA</t>
  </si>
  <si>
    <t>A measurement of the tissue polypeptide antigen in a biological specimen.</t>
  </si>
  <si>
    <t>Tissue Polypeptide Antigen Measurement</t>
  </si>
  <si>
    <t>TPDEPIND</t>
  </si>
  <si>
    <t>Unable to Taper Dependent Indicator</t>
  </si>
  <si>
    <t>An indication as to whether an individual is incapable of reducing or tapering the amount of a substance taken due to dependence.</t>
  </si>
  <si>
    <t>TPNPLGTH</t>
  </si>
  <si>
    <t>Tipping Paper Length</t>
  </si>
  <si>
    <t>The length of the outer wrapping of the filter section of a product used to join the filter to the tobacco rod.</t>
  </si>
  <si>
    <t>TPNTDL</t>
  </si>
  <si>
    <t>Tapentadol</t>
  </si>
  <si>
    <t>A measurement of the tapentadol in a biological specimen.</t>
  </si>
  <si>
    <t>Tapentadol Measurement</t>
  </si>
  <si>
    <t>TPRONP</t>
  </si>
  <si>
    <t>Non-Phosphorylated Tau Protein</t>
  </si>
  <si>
    <t>A measurement of the non-phosphorylated Tau protein in a biological specimen.</t>
  </si>
  <si>
    <t>Nonphosphorylated Tau Protein Measurement</t>
  </si>
  <si>
    <t>TPROT</t>
  </si>
  <si>
    <t>Tau Protein</t>
  </si>
  <si>
    <t>Tau Protein; Total Tau Protein</t>
  </si>
  <si>
    <t>A measurement of the total Tau protein in a biological specimen.</t>
  </si>
  <si>
    <t>Tau Protein Measurement</t>
  </si>
  <si>
    <t>TPROTFR</t>
  </si>
  <si>
    <t>Tau Protein, Free</t>
  </si>
  <si>
    <t>A measurement of the free tau protein in a biological specimen.</t>
  </si>
  <si>
    <t>Free Tau Protein Measurement</t>
  </si>
  <si>
    <t>TPROTP</t>
  </si>
  <si>
    <t>Phosphorylated Tau Protein</t>
  </si>
  <si>
    <t>Phosphorylated Tau Protein; pTau</t>
  </si>
  <si>
    <t>A measurement of the phosphorylated Tau protein in a biological specimen.</t>
  </si>
  <si>
    <t>Phosphorylated Tau Protein Measurement</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</si>
  <si>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</si>
  <si>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</si>
  <si>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</si>
  <si>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</si>
  <si>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TPTESB</t>
  </si>
  <si>
    <t>Tpeak-Tend Interval, Single Beat</t>
  </si>
  <si>
    <t>An electrocardiographic interval measured from the peak of the T wave to the offset of the T wave of a single beat utilizing one or more leads.</t>
  </si>
  <si>
    <t>T Peak-T End Interval Single Beat</t>
  </si>
  <si>
    <t>TRACP5B</t>
  </si>
  <si>
    <t>Tartrate-Resistant Acid Phosphatase 5b</t>
  </si>
  <si>
    <t>Tartrate-Resistant Acid Phosphatase 5b; TRAP5B</t>
  </si>
  <si>
    <t>A measurement of tartrate-resistant acid phosphatase 5b in a biological specimen.</t>
  </si>
  <si>
    <t>Tartrate-Resistant Acid Phosphatase 5b Measurement</t>
  </si>
  <si>
    <t>TRAMADOL</t>
  </si>
  <si>
    <t>Tramadol</t>
  </si>
  <si>
    <t>A measurement of the tramadol present in a biological specimen.</t>
  </si>
  <si>
    <t>Tramadol Measurement</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</si>
  <si>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</si>
  <si>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</si>
  <si>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</si>
  <si>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</si>
  <si>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</si>
  <si>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TRAP</t>
  </si>
  <si>
    <t>Total Radical-Trap Antioxidant Potential</t>
  </si>
  <si>
    <t>A measurement of the ability of the antioxidants in a biological specimen to buffer free radicals in a suspension.</t>
  </si>
  <si>
    <t>Total Radical-Trap Antioxidant Potential Measurement</t>
  </si>
  <si>
    <t>TRCYANDP</t>
  </si>
  <si>
    <t>Tricyclic Antidepressants</t>
  </si>
  <si>
    <t>A measurement of tricyclic antidepressants in a biological specimen.</t>
  </si>
  <si>
    <t>Tricyclic Antidepressant Measurement</t>
  </si>
  <si>
    <t>TREMOR</t>
  </si>
  <si>
    <t>Tremor</t>
  </si>
  <si>
    <t>An evaluation of tremor (the shaking movement of the whole body or just a certain part of it, often caused by problems of the neurons responsible for muscle action).</t>
  </si>
  <si>
    <t>Tremor Evaluation</t>
  </si>
  <si>
    <t>TREMPSTR</t>
  </si>
  <si>
    <t>Postural Tremor</t>
  </si>
  <si>
    <t>An evaluation of postural tremor (involuntary and rhythmic shaking of a body part that is held against gravity).</t>
  </si>
  <si>
    <t>Postural Tremor Evaluation</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</si>
  <si>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</si>
  <si>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</si>
  <si>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</si>
  <si>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</si>
  <si>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</si>
  <si>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</si>
  <si>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</si>
  <si>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</si>
  <si>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</si>
  <si>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TRGTCE</t>
  </si>
  <si>
    <t>Target Cells</t>
  </si>
  <si>
    <t>Codocytes; Target Cells</t>
  </si>
  <si>
    <t>A measurement of the target cells in a biological specimen.</t>
  </si>
  <si>
    <t>Target Cell Count</t>
  </si>
  <si>
    <t>TRH</t>
  </si>
  <si>
    <t>Thyrotropin Releasing Hormone</t>
  </si>
  <si>
    <t>Thyrotropin Releasing Factor; Thyrotropin Releasing Hormone</t>
  </si>
  <si>
    <t>A measurement of the thyrotropin releasing hormone in a biological specimen.</t>
  </si>
  <si>
    <t>Thyrotropin Releasing Hormone Measurement</t>
  </si>
  <si>
    <t>TRIBAFIL</t>
  </si>
  <si>
    <t>Tribal Affiliation</t>
  </si>
  <si>
    <t>A tribe or band with which a person associates. (USCDI)</t>
  </si>
  <si>
    <t>TRICH</t>
  </si>
  <si>
    <t>Trichomonas</t>
  </si>
  <si>
    <t>Examination of a biological specimen to detect the presence of any protozoan belonging to the Trichomonas genus.</t>
  </si>
  <si>
    <t>Trichomonas Screening</t>
  </si>
  <si>
    <t>TRICHRNA</t>
  </si>
  <si>
    <t>Trichomonas RNA</t>
  </si>
  <si>
    <t>A measurement of the RNA from any member of the genus Trichomonas in a biological specimen.</t>
  </si>
  <si>
    <t>Trichomonas RNA Measurement</t>
  </si>
  <si>
    <t>TRIFLPZN</t>
  </si>
  <si>
    <t>Trifluoperazine</t>
  </si>
  <si>
    <t>A measurement of the trifluoperazine in a biological specimen.</t>
  </si>
  <si>
    <t>Trifluoperazine Measurement</t>
  </si>
  <si>
    <t>TRIG</t>
  </si>
  <si>
    <t>Triglycerides</t>
  </si>
  <si>
    <t>A measurement of the triglycerides in a biological specimen.</t>
  </si>
  <si>
    <t>Triglyceride Measurement</t>
  </si>
  <si>
    <t>TRIGHDL</t>
  </si>
  <si>
    <t>Triglycerides/HDL Cholesterol</t>
  </si>
  <si>
    <t>A relative measurement (ratio or percentage) of the triglycerides to high density lipoprotein cholesterol in a biological specimen.</t>
  </si>
  <si>
    <t>Triglycerides to HDL Cholesterol Ratio Measurement</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</si>
  <si>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</si>
  <si>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</si>
  <si>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</si>
  <si>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</si>
  <si>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</si>
  <si>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</si>
  <si>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</si>
  <si>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</si>
  <si>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</si>
  <si>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</si>
  <si>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TRIM38</t>
  </si>
  <si>
    <t>Tripartite Motif Containing Protein 38</t>
  </si>
  <si>
    <t>A measurement of the tripartite motif containing protein 38 in a biological specimen.</t>
  </si>
  <si>
    <t>Tripartite Motif Containing Protein 38 Measurement</t>
  </si>
  <si>
    <t>TRMPGCAT</t>
  </si>
  <si>
    <t>Term Pregnancy Category</t>
  </si>
  <si>
    <t>A classification of the gestation duration of the pregnancy at the time of delivery.</t>
  </si>
  <si>
    <t>TRNBLN</t>
  </si>
  <si>
    <t>Trenbolone</t>
  </si>
  <si>
    <t>17beta-Trenbolone; Trenbolone; Trienbolone</t>
  </si>
  <si>
    <t>A measurement of the trenbolone in a biological specimen.</t>
  </si>
  <si>
    <t>Trenbolone Measurement</t>
  </si>
  <si>
    <t>TRNSCPTN</t>
  </si>
  <si>
    <t>Transcription</t>
  </si>
  <si>
    <t>An assessment of transcribed RNA molecules in a biological specimen.</t>
  </si>
  <si>
    <t>TROPONI</t>
  </si>
  <si>
    <t>Troponin I</t>
  </si>
  <si>
    <t>A measurement of the actin binding troponin in a biological specimen.</t>
  </si>
  <si>
    <t>Troponin I Measurement</t>
  </si>
  <si>
    <t>TROPONI1</t>
  </si>
  <si>
    <t>Troponin I Type 1</t>
  </si>
  <si>
    <t>Slow-Twitch Skeletal Muscle Troponin I; ssTnI; Troponin I Type 1</t>
  </si>
  <si>
    <t>A measurement of the troponin I type 1 (slow twitch skeletal muscle) in a biological specimen.</t>
  </si>
  <si>
    <t>Troponin I Type 1 Measurement</t>
  </si>
  <si>
    <t>TROPONI2</t>
  </si>
  <si>
    <t>Troponin I Type 2</t>
  </si>
  <si>
    <t>Fast-Twitch Skeletal Muscle Troponin I; fsTnI; Troponin I Type 2</t>
  </si>
  <si>
    <t>A measurement of the troponin I type 2 (fast twitch skeletal muscle) in a biological specimen.</t>
  </si>
  <si>
    <t>Troponin I Type 2 Measurement</t>
  </si>
  <si>
    <t>TROPONI3</t>
  </si>
  <si>
    <t>Troponin I Type 3</t>
  </si>
  <si>
    <t>Cardiac Troponin I; cTnI; TNNC1; Troponin I Type 3</t>
  </si>
  <si>
    <t>A measurement of the troponin I type 3 (cardiac muscle) in a biological specimen.</t>
  </si>
  <si>
    <t>Troponin I Type 3 Measurement</t>
  </si>
  <si>
    <t>TROPONIN</t>
  </si>
  <si>
    <t>Troponin</t>
  </si>
  <si>
    <t>A measurement of the total troponin in a biological specimen.</t>
  </si>
  <si>
    <t>Troponin Measurement</t>
  </si>
  <si>
    <t>TROPONT</t>
  </si>
  <si>
    <t>Troponin T</t>
  </si>
  <si>
    <t>A measurement of the tropomyosin binding troponin in a biological specimen.</t>
  </si>
  <si>
    <t>Troponin T Measurement</t>
  </si>
  <si>
    <t>TRP</t>
  </si>
  <si>
    <t>Tryptophan</t>
  </si>
  <si>
    <t>A measurement of the tryptophan in a biological specimen.</t>
  </si>
  <si>
    <t>Tryptophan Measurement</t>
  </si>
  <si>
    <t>TRP1TRG1</t>
  </si>
  <si>
    <t>Trypsin 1 and Trypsinogen 1</t>
  </si>
  <si>
    <t>A measurement of the trypsin 1 and trypsinogen 1 in a biological specimen.</t>
  </si>
  <si>
    <t>Trypsin 1 and Trypsinogen 1 Measurement</t>
  </si>
  <si>
    <t>TRPCRT</t>
  </si>
  <si>
    <t>Tryptophan/Creatinine</t>
  </si>
  <si>
    <t>A relative measurement (ratio or percentage) of the tryptophan to creatinine in a biological specimen.</t>
  </si>
  <si>
    <t>Tryptophan to Creatinine Ratio Measurement</t>
  </si>
  <si>
    <t>TRPP1</t>
  </si>
  <si>
    <t>Trp-P-1</t>
  </si>
  <si>
    <t>3-Amino-1,4-dimethyl-5H-pyrido[4,3-b]indole; Trp-P-1</t>
  </si>
  <si>
    <t>A measurement of the Trp-P-1 in a specimen.</t>
  </si>
  <si>
    <t>Trp-P-1 Measurement</t>
  </si>
  <si>
    <t>TRPP2</t>
  </si>
  <si>
    <t>Trp-P-2</t>
  </si>
  <si>
    <t>1-Methyl-3-amino-5H-pyrido[4,3-b]indole; Trp-P-2</t>
  </si>
  <si>
    <t>A measurement of the Trp-P-2 in a specimen.</t>
  </si>
  <si>
    <t>Trp-P-2 Measurement</t>
  </si>
  <si>
    <t>TRPTRG</t>
  </si>
  <si>
    <t>Trypsin and Trypsinogen</t>
  </si>
  <si>
    <t>A measurement of the total trypsin and total trypsinogen in a biological specimen.</t>
  </si>
  <si>
    <t>Trypsin and Trypsinogen Measurement</t>
  </si>
  <si>
    <t>TRSKNF</t>
  </si>
  <si>
    <t>Triceps Skinfold Thickness</t>
  </si>
  <si>
    <t>A measurement of the thickness of a pinch of skin on the triceps. (NCI)</t>
  </si>
  <si>
    <t>TRTAMT</t>
  </si>
  <si>
    <t>Treatment Amount</t>
  </si>
  <si>
    <t>The concentration or quantity of the treatment.</t>
  </si>
  <si>
    <t>TRTSETT</t>
  </si>
  <si>
    <t>Treatment Setting</t>
  </si>
  <si>
    <t>Treatment Environmental Setting; Treatment Setting</t>
  </si>
  <si>
    <t>The surroundings or environment within which the subject receives therapeutic treatment for the condition.</t>
  </si>
  <si>
    <t>Treatment Environmental Setting</t>
  </si>
  <si>
    <t>TRYPSIN</t>
  </si>
  <si>
    <t>Trypsin</t>
  </si>
  <si>
    <t>A measurement of the trypsin in a biological specimen.</t>
  </si>
  <si>
    <t>Trypsin Measurement</t>
  </si>
  <si>
    <t>TRYPTASE</t>
  </si>
  <si>
    <t>Tryptase</t>
  </si>
  <si>
    <t>A measurement of the tryptase in a biological specimen.</t>
  </si>
  <si>
    <t>Tryptase Measurement</t>
  </si>
  <si>
    <t>TRZDN</t>
  </si>
  <si>
    <t>Trazodone</t>
  </si>
  <si>
    <t>A measurement of the trazodone in a biological specimen.</t>
  </si>
  <si>
    <t>Trazodone Measurement</t>
  </si>
  <si>
    <t>TRZLM</t>
  </si>
  <si>
    <t>Triazolam</t>
  </si>
  <si>
    <t>A measurement of the triazolam in a biological specimen.</t>
  </si>
  <si>
    <t>Triazolam Measurement</t>
  </si>
  <si>
    <t>TSH</t>
  </si>
  <si>
    <t>Thyrotropin</t>
  </si>
  <si>
    <t>Thyroid Stimulating Hormone; Thyrotropin</t>
  </si>
  <si>
    <t>A measurement of the thyrotropin in a biological specimen.</t>
  </si>
  <si>
    <t>Thyrotropin Measurement</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</si>
  <si>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</si>
  <si>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</si>
  <si>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</si>
  <si>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</si>
  <si>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</si>
  <si>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</si>
  <si>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</si>
  <si>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</si>
  <si>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</si>
  <si>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</si>
  <si>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</si>
  <si>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</si>
  <si>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</si>
  <si>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</si>
  <si>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</si>
  <si>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TSLP</t>
  </si>
  <si>
    <t>Thymic Stromal Lymphopoietin</t>
  </si>
  <si>
    <t>A measurement of the thymic stromal lymphopoietin in a biological specimen.</t>
  </si>
  <si>
    <t>Thymic Stromal Lymphopoietin Measurement</t>
  </si>
  <si>
    <t>TSP1</t>
  </si>
  <si>
    <t>Thrombospondin 1</t>
  </si>
  <si>
    <t>THBS1; Thrombospondin 1</t>
  </si>
  <si>
    <t>A measurement of the thrombospondin 1 in a biological specimen.</t>
  </si>
  <si>
    <t>Thrombospondin 1 Measurement</t>
  </si>
  <si>
    <t>TSPAN29</t>
  </si>
  <si>
    <t>Tetraspanin-29</t>
  </si>
  <si>
    <t>BA2; CD9; CD9 Antigen; CD9 Molecule; MIC3; MRP-1; P24; Soluble CD9; Tetraspanin-29; TSPAN-29</t>
  </si>
  <si>
    <t>A measurement of the tetraspanin-29 in a biological specimen.</t>
  </si>
  <si>
    <t>Tetraspanin-29 Measurement</t>
  </si>
  <si>
    <t>TST</t>
  </si>
  <si>
    <t>Total Sleep Time</t>
  </si>
  <si>
    <t>The total amount of sleep time from sleep onset to sleep offset, determined by summing the N1 sleep, N2 sleep, N3 sleep, and REM sleep durations.</t>
  </si>
  <si>
    <t>TST11KT</t>
  </si>
  <si>
    <t>11-Ketotestosterone</t>
  </si>
  <si>
    <t>A measurement of the 11-ketotestosterone in a biological specimen.</t>
  </si>
  <si>
    <t>11-Ketotestosterone Measurement</t>
  </si>
  <si>
    <t>TST4OH</t>
  </si>
  <si>
    <t>4-Hydroxytestosterone</t>
  </si>
  <si>
    <t>A measurement of the 4-hydroxytestosterone in a biological specimen.</t>
  </si>
  <si>
    <t>4-Hydroxytestosterone Measurement</t>
  </si>
  <si>
    <t>TSTFTSTT</t>
  </si>
  <si>
    <t>Testosterone, Free/Testosterone</t>
  </si>
  <si>
    <t>A relative measurement (ratio or percentage) of the amount of the bioavailable testosterone compared to total testosterone in a biological specimen.</t>
  </si>
  <si>
    <t>Free Testosterone to Testosterone Ratio Measurement</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</si>
  <si>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</si>
  <si>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</si>
  <si>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</si>
  <si>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</si>
  <si>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</si>
  <si>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TSTLCTN</t>
  </si>
  <si>
    <t>Testolactone</t>
  </si>
  <si>
    <t>A measurement of the testolactone in a biological specimen.</t>
  </si>
  <si>
    <t>Testolactone Measurement</t>
  </si>
  <si>
    <t>TSTSFRPT</t>
  </si>
  <si>
    <t>Testosterone, Free/Total Protein</t>
  </si>
  <si>
    <t>A relative measurement (ratio or percentage) of free testosterone to total proteins in a biological specimen.</t>
  </si>
  <si>
    <t>Free Testosterone to Total Protein Ratio Measurement</t>
  </si>
  <si>
    <t>TSUELAS</t>
  </si>
  <si>
    <t>Tissue Elastance</t>
  </si>
  <si>
    <t>A measurement of the reflection of energy conservation within a given tissue.</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</si>
  <si>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</si>
  <si>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</si>
  <si>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</si>
  <si>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</si>
  <si>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TSXPARTN</t>
  </si>
  <si>
    <t>Total Number of Sexual Partners</t>
  </si>
  <si>
    <t>The total number of individuals with whom one has engaged in sexual activity within a specified time interval.</t>
  </si>
  <si>
    <t>TT</t>
  </si>
  <si>
    <t>Thrombin Time</t>
  </si>
  <si>
    <t>A measurement of the time it takes a plasma sample to clot after adding the active enzyme thrombin. (NCI)</t>
  </si>
  <si>
    <t>TTAC</t>
  </si>
  <si>
    <t>Thrombin Time Actual/Control</t>
  </si>
  <si>
    <t>A relative measurement (ratio or percentage) of the thrombin time in a subject's specimen when compared to a control specimen.</t>
  </si>
  <si>
    <t>Thrombin Time Actual to Control Ratio Measurement</t>
  </si>
  <si>
    <t>TTIMPAUS</t>
  </si>
  <si>
    <t>Total Time Paused</t>
  </si>
  <si>
    <t>The total amount of time during which an event, operation or activity has been interrupted or stopped.</t>
  </si>
  <si>
    <t>TTIMPHAC</t>
  </si>
  <si>
    <t>Total Time Physically Active</t>
  </si>
  <si>
    <t>The total amount of time during which an individual was actively engaged in physical activity.</t>
  </si>
  <si>
    <t>TUBNIND</t>
  </si>
  <si>
    <t>Bone Tumors Indicator</t>
  </si>
  <si>
    <t>An indication as to whether bone tumors are present.</t>
  </si>
  <si>
    <t>TUDCA</t>
  </si>
  <si>
    <t>Tauroursodeoxycholate</t>
  </si>
  <si>
    <t>Tauroursodeoxycholate; Tauroursodeoxycholic Acid</t>
  </si>
  <si>
    <t>A measurement of the tauroursodeoxycholate in a biological specimen.</t>
  </si>
  <si>
    <t>Tauroursodeoxycholate Measurement</t>
  </si>
  <si>
    <t>TUEXMIND</t>
  </si>
  <si>
    <t>Extramedullary Disease Indicator</t>
  </si>
  <si>
    <t>An indication as to whether extramedullary disease is present.</t>
  </si>
  <si>
    <t>TUMCECE</t>
  </si>
  <si>
    <t>Tumor Cells/Total Cells</t>
  </si>
  <si>
    <t>Cancer Cellularity; Neoplastic Cells/Total Cells; Tumor Cells/Total Cells</t>
  </si>
  <si>
    <t>A relative measurement (ratio or percentage) of the neoplastic cells to total cells in a biological specimen.</t>
  </si>
  <si>
    <t>Cancer Cellularity Measurement</t>
  </si>
  <si>
    <t>TUMERGE</t>
  </si>
  <si>
    <t>Tumor Merged</t>
  </si>
  <si>
    <t>An indication that multiple tumors have coalesced into one tumor.</t>
  </si>
  <si>
    <t>Matted Tumor Mass Present</t>
  </si>
  <si>
    <t>TUMIDENT</t>
  </si>
  <si>
    <t>Tumor Identification</t>
  </si>
  <si>
    <t>A classification of malignant disease manifestation as part of the response assessment.</t>
  </si>
  <si>
    <t>TUMSTATE</t>
  </si>
  <si>
    <t>Tumor State</t>
  </si>
  <si>
    <t>A condition or state of a tumor at a particular time.</t>
  </si>
  <si>
    <t>Tumor Status</t>
  </si>
  <si>
    <t>TUMTORI</t>
  </si>
  <si>
    <t>Tumor Tissue Origin</t>
  </si>
  <si>
    <t>A characterization of the tumor tissue sample based upon whether it was taken from a tumor that originated after the disease spread.</t>
  </si>
  <si>
    <t>TURB</t>
  </si>
  <si>
    <t>Turbidity</t>
  </si>
  <si>
    <t>A measurement of the opacity of a biological specimen.</t>
  </si>
  <si>
    <t>Turbidity Measurement</t>
  </si>
  <si>
    <t>TUSPLIT</t>
  </si>
  <si>
    <t>Tumor Split</t>
  </si>
  <si>
    <t>An indication that a single tumor has divided into two or more tumors.</t>
  </si>
  <si>
    <t>Tumor Fragmentation</t>
  </si>
  <si>
    <t>TV</t>
  </si>
  <si>
    <t>Tidal Volume</t>
  </si>
  <si>
    <t>The volume of air moved into and out of the lungs during breathing at rest.</t>
  </si>
  <si>
    <t>TVA</t>
  </si>
  <si>
    <t>Trichomonas vaginalis</t>
  </si>
  <si>
    <t>A measurement of the Trichomonas vaginalis in a biological specimen.</t>
  </si>
  <si>
    <t>Trichomonas vaginalis Measurement</t>
  </si>
  <si>
    <t>TVADNA</t>
  </si>
  <si>
    <t>Trichomonas vaginalis DNA</t>
  </si>
  <si>
    <t>A measurement of the Trichomonas vaginalis DNA in a biological specimen.</t>
  </si>
  <si>
    <t>Trichomonas vaginalis DNA Measurement</t>
  </si>
  <si>
    <t>TVPP</t>
  </si>
  <si>
    <t>Percent Predicted Tidal Volume</t>
  </si>
  <si>
    <t>The volume of air moved into and out of the lungs during breathing at rest as a proportion of the predicted normal value.</t>
  </si>
  <si>
    <t>TVRGF</t>
  </si>
  <si>
    <t>Tricuspid Valve Regurgitant Fraction</t>
  </si>
  <si>
    <t>A measurement of the volume of retrograde blood flow across the orifice of the tricuspid valve expressed as a percentage of the anterograde flow volume.</t>
  </si>
  <si>
    <t>TVRGJA</t>
  </si>
  <si>
    <t>Tricuspid Valve Regurgitant Jet Area</t>
  </si>
  <si>
    <t>The measured area of the regurgitant jet of blood into the right atrium.</t>
  </si>
  <si>
    <t>TVRGVOL</t>
  </si>
  <si>
    <t>Tricuspid Valve Regurgitant Volume</t>
  </si>
  <si>
    <t>A measurement of the volume of retrograde blood flow across the orifice of the tricuspid valve.</t>
  </si>
  <si>
    <t>TVST</t>
  </si>
  <si>
    <t>Tidal Volume Setting</t>
  </si>
  <si>
    <t>Tidal Volume Setting; VT Setting</t>
  </si>
  <si>
    <t>A device setting that determines and regulates the volume of air delivered to the lungs per breath.</t>
  </si>
  <si>
    <t>Tidal Volume Device Setting</t>
  </si>
  <si>
    <t>TVVCA</t>
  </si>
  <si>
    <t>Tricuspid Valve Vena Contracta Area</t>
  </si>
  <si>
    <t>The area of the vena contracta of the tricuspid valve.</t>
  </si>
  <si>
    <t>TVVCW</t>
  </si>
  <si>
    <t>Tricuspid Valve Vena Contracta Width</t>
  </si>
  <si>
    <t>The width of the vena contracta of the tricuspid valve.</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</si>
  <si>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</si>
  <si>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</si>
  <si>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</si>
  <si>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</si>
  <si>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TWARSB</t>
  </si>
  <si>
    <t>T Wave Area, Single Beat</t>
  </si>
  <si>
    <t>An electrocardiographic measurement of the area of the T wave of a single beat utilizing one or more leads.</t>
  </si>
  <si>
    <t>T Wave Area Single Beat</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</si>
  <si>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</si>
  <si>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</si>
  <si>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</si>
  <si>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</si>
  <si>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TWDURSB</t>
  </si>
  <si>
    <t>T Wave Duration, Single Beat</t>
  </si>
  <si>
    <t>An electrocardiographic interval measured from the onset of the T wave to the offset of the T wave of a single beat utilizing one or more leads.</t>
  </si>
  <si>
    <t>T Wave Duration Single Beat</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</si>
  <si>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</si>
  <si>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</si>
  <si>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</si>
  <si>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</si>
  <si>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</si>
  <si>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</si>
  <si>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</si>
  <si>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</si>
  <si>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TWINTYP</t>
  </si>
  <si>
    <t>Twin Type</t>
  </si>
  <si>
    <t>The classification of the two offspring born from the same pregnancy.</t>
  </si>
  <si>
    <t>TXB2</t>
  </si>
  <si>
    <t>Thromboxane B2</t>
  </si>
  <si>
    <t>A measurement of the thromboxane B2 in a biological specimen.</t>
  </si>
  <si>
    <t>Thromboxane B2 Measurement</t>
  </si>
  <si>
    <t>TXB2_D11</t>
  </si>
  <si>
    <t>11-Dehydro-Thromboxane B2</t>
  </si>
  <si>
    <t>A measurement of the 11-dehydro-thromboxane B2 in a biological specimen.</t>
  </si>
  <si>
    <t>11-Dehydro-Thromboxane B2 Measurement</t>
  </si>
  <si>
    <t>TXB2D11R</t>
  </si>
  <si>
    <t>11-Dehydro-Thromboxane B2 Excretion Rate</t>
  </si>
  <si>
    <t>A measurement of the amount of 11-dehydro-thromboxane B2 being excreted in a biological specimen over a defined amount of time (e.g. one hour).</t>
  </si>
  <si>
    <t>TYPCON</t>
  </si>
  <si>
    <t>Type of Contact</t>
  </si>
  <si>
    <t>Identification and clinical investigation of disease contacts.</t>
  </si>
  <si>
    <t>Type of Contagion Contact</t>
  </si>
  <si>
    <t>TYR</t>
  </si>
  <si>
    <t>Tyrosine</t>
  </si>
  <si>
    <t>A measurement of the tyrosine in a biological specimen.</t>
  </si>
  <si>
    <t>Tyrosine Measurement</t>
  </si>
  <si>
    <t>U_235</t>
  </si>
  <si>
    <t>Uranium-235</t>
  </si>
  <si>
    <t>A measurement of the uranium-235 in a specimen.</t>
  </si>
  <si>
    <t>Uranium-235 Measurement</t>
  </si>
  <si>
    <t>U_238</t>
  </si>
  <si>
    <t>Uranium-238</t>
  </si>
  <si>
    <t>A measurement of the uranium-238 in a specimen.</t>
  </si>
  <si>
    <t>Uranium-238 Measurement</t>
  </si>
  <si>
    <t>U47700</t>
  </si>
  <si>
    <t>U-47700</t>
  </si>
  <si>
    <t>Pink; Pinky; U-47700; U4; U47700</t>
  </si>
  <si>
    <t>A measurement of the synthetic cannabinoid U-47700 in a biological specimen.</t>
  </si>
  <si>
    <t>U-47700 Measurement</t>
  </si>
  <si>
    <t>UBQN</t>
  </si>
  <si>
    <t>Ubiquitin Protein</t>
  </si>
  <si>
    <t>A measurement of the total ubiquitin protein in a biological specimen.</t>
  </si>
  <si>
    <t>Ubiquitin Protein Measurement</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</si>
  <si>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</si>
  <si>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</si>
  <si>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</si>
  <si>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</si>
  <si>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</si>
  <si>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UDCA</t>
  </si>
  <si>
    <t>Ursodeoxycholate</t>
  </si>
  <si>
    <t>Ursodeoxycholate; Ursodeoxycholic Acid; Ursodiol</t>
  </si>
  <si>
    <t>A measurement of the ursodeoxycholate in a biological specimen.</t>
  </si>
  <si>
    <t>Ursodeoxycholate Measurement</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</si>
  <si>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</si>
  <si>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</si>
  <si>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</si>
  <si>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</si>
  <si>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</si>
  <si>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UHOUSIND</t>
  </si>
  <si>
    <t>Unhoused Indicator</t>
  </si>
  <si>
    <t>Homeless Indicator; Unhoused Indicator</t>
  </si>
  <si>
    <t>An indication as to whether the subject is unhoused.</t>
  </si>
  <si>
    <t>ULCERIND</t>
  </si>
  <si>
    <t>Ulcer Indicator</t>
  </si>
  <si>
    <t>An indication as to whether an ulcer is present.</t>
  </si>
  <si>
    <t>ULNARL</t>
  </si>
  <si>
    <t>Ulnar Length</t>
  </si>
  <si>
    <t>A measurement of the length of the ulna.</t>
  </si>
  <si>
    <t>ULTRMODE</t>
  </si>
  <si>
    <t>Ultrasound Mode</t>
  </si>
  <si>
    <t>The image acquisition settings of an ultrasound-based imaging modality, based on parameters including transducer design, ultrasound frequency, and ultrasound signal processing.</t>
  </si>
  <si>
    <t>UMOD</t>
  </si>
  <si>
    <t>Uromodulin</t>
  </si>
  <si>
    <t>Tamm-Horsfall Urinary Glycoprotein; THP; UROM; Uromodulin</t>
  </si>
  <si>
    <t>A measurement of the uromodulin in a biological specimen.</t>
  </si>
  <si>
    <t>Uromodulin Measurement</t>
  </si>
  <si>
    <t>UNSPCE</t>
  </si>
  <si>
    <t>Unspecified Cells</t>
  </si>
  <si>
    <t>A measurement of the cells not otherwise identified or specified in a biological specimen.</t>
  </si>
  <si>
    <t>Count of Unspecified Cells</t>
  </si>
  <si>
    <t>UNSPCECE</t>
  </si>
  <si>
    <t>Unspecified Cells/Total Cells</t>
  </si>
  <si>
    <t>A relative measurement (ratio or percentage) of the cells not otherwise identified or specified to total cells in a biological specimen.</t>
  </si>
  <si>
    <t>Unspecified Cells to Total Cell Ratio Measurement</t>
  </si>
  <si>
    <t>UNSPCELE</t>
  </si>
  <si>
    <t>Unspecified Cells/Leukocytes</t>
  </si>
  <si>
    <t>A relative measurement (ratio or percentage) of the cells not otherwise identified or specified to leukocytes in a biological specimen.</t>
  </si>
  <si>
    <t>Unspecified Cells to Leukocytes Ratio Measurement</t>
  </si>
  <si>
    <t>UPA</t>
  </si>
  <si>
    <t>Ureaplasma parvum</t>
  </si>
  <si>
    <t>A measurement of the Ureaplasma parvum in a biological specimen.</t>
  </si>
  <si>
    <t>Ureaplasma parvum Measurement</t>
  </si>
  <si>
    <t>Urokinase Plasminogen Activator</t>
  </si>
  <si>
    <t>uPA; Urokinase Plasminogen Activator</t>
  </si>
  <si>
    <t>A measurement of the urokinase plasminogen activator in a biological specimen.</t>
  </si>
  <si>
    <t>Urokinase Plasminogen Activator Measurement</t>
  </si>
  <si>
    <t>UPADNA</t>
  </si>
  <si>
    <t>Ureaplasma parvum DNA</t>
  </si>
  <si>
    <t>A measurement of the Ureaplasma parvum DNA in a biological specimen.</t>
  </si>
  <si>
    <t>Ureaplasma parvum DNA Measurement</t>
  </si>
  <si>
    <t>UR144</t>
  </si>
  <si>
    <t>UR-144</t>
  </si>
  <si>
    <t>UR-144; UR144</t>
  </si>
  <si>
    <t>A measurement of the synthetic cannabinoid UR-144 in a biological specimen.</t>
  </si>
  <si>
    <t>UR-144 Measurement</t>
  </si>
  <si>
    <t>URATE</t>
  </si>
  <si>
    <t>Urate</t>
  </si>
  <si>
    <t>Urate; Uric Acid</t>
  </si>
  <si>
    <t>A measurement of the urate in a biological specimen.</t>
  </si>
  <si>
    <t>Urate Measurement</t>
  </si>
  <si>
    <t>URATECRT</t>
  </si>
  <si>
    <t>Urate/Creatinine</t>
  </si>
  <si>
    <t>A relative measurement (ratio or percentage) of the urate to creatinine in a biological specimen.</t>
  </si>
  <si>
    <t>Urate to Creatinine Ratio Measurement</t>
  </si>
  <si>
    <t>URATEEXR</t>
  </si>
  <si>
    <t>Urate Excretion Rate</t>
  </si>
  <si>
    <t>A measurement of the amount of urate being excreted in a biological specimen over a defined amount of time (e.g. one hour).</t>
  </si>
  <si>
    <t>UREA</t>
  </si>
  <si>
    <t>Urea</t>
  </si>
  <si>
    <t>A measurement of the urea in a biological specimen.</t>
  </si>
  <si>
    <t>Urea Measurement</t>
  </si>
  <si>
    <t>UREACRT</t>
  </si>
  <si>
    <t>Urea/Creatinine</t>
  </si>
  <si>
    <t>A relative measurement (ratio or percentage) of the urea to creatinine in a biological specimen.</t>
  </si>
  <si>
    <t>Urea to Creatinine Ratio Measurement</t>
  </si>
  <si>
    <t>UREAEXR</t>
  </si>
  <si>
    <t>Urea Excretion Rate</t>
  </si>
  <si>
    <t>A measurement of the amount of urea excreted in a biological specimen over a defined period of time (e.g. one hour).</t>
  </si>
  <si>
    <t>UREAKTV</t>
  </si>
  <si>
    <t>Urea Distribution Volume Ratio</t>
  </si>
  <si>
    <t>Urea Distribution Volume Ratio; Urea Kt/V</t>
  </si>
  <si>
    <t>A calculated measurement of the urea distribution volume (ratio) in a biological specimen used to quantify adequacy of dialysis treatment.</t>
  </si>
  <si>
    <t>UREAN</t>
  </si>
  <si>
    <t>Urea Nitrogen</t>
  </si>
  <si>
    <t>A measurement of the urea nitrogen in a biological specimen.</t>
  </si>
  <si>
    <t>Urea Nitrogen Measurement</t>
  </si>
  <si>
    <t>UREANCRT</t>
  </si>
  <si>
    <t>Urea Nitrogen/Creatinine</t>
  </si>
  <si>
    <t>A relative measurement (ratio or percentage) of the urea nitrogen to creatinine in a biological specimen.</t>
  </si>
  <si>
    <t>Urea Nitrogen to Creatinine Ratio Measurement</t>
  </si>
  <si>
    <t>UREANEXR</t>
  </si>
  <si>
    <t>Urea Nitrogen Excretion Rate</t>
  </si>
  <si>
    <t>A measurement of the amount of urea nitrogen being excreted in a biological specimen over a defined amount of time (e.g. one hour).</t>
  </si>
  <si>
    <t>UREASE</t>
  </si>
  <si>
    <t>Urease</t>
  </si>
  <si>
    <t>A measurement of the microbial urease enzyme in a biological specimen.</t>
  </si>
  <si>
    <t>Urease Measurement</t>
  </si>
  <si>
    <t>URNPINTP</t>
  </si>
  <si>
    <t>Urinalysis Panel Interpretation</t>
  </si>
  <si>
    <t>Urinalysis Panel Interpretation; Urine Panel Analysis; Urine Panel Examination; Urine Panel Interpretation</t>
  </si>
  <si>
    <t>An interpretation of the results of a panel of urinalysis tests.</t>
  </si>
  <si>
    <t>UROBIL</t>
  </si>
  <si>
    <t>Urobilinogen</t>
  </si>
  <si>
    <t>A measurement of the urobilinogen in a biological specimen.</t>
  </si>
  <si>
    <t>Urobilinogen Measurement</t>
  </si>
  <si>
    <t>UROTHCE</t>
  </si>
  <si>
    <t>Urothelial Cells</t>
  </si>
  <si>
    <t>A measurement of urothelial cells in a biological specimen.</t>
  </si>
  <si>
    <t>Urothelial Cell Count</t>
  </si>
  <si>
    <t>URR</t>
  </si>
  <si>
    <t>Urea Reduction Ratio</t>
  </si>
  <si>
    <t>A calculated measurement (ratio or percentage) of the proportionate reduction in urea nitrogen over the course of dialysis in a biological specimen.</t>
  </si>
  <si>
    <t>USH2OAVN</t>
  </si>
  <si>
    <t>Number of Unsuppressed Water Averages</t>
  </si>
  <si>
    <t>The number of averages of the unsuppressed water spectrum signal that are captured during imaging.</t>
  </si>
  <si>
    <t>UUR</t>
  </si>
  <si>
    <t>Ureaplasma urealyticum</t>
  </si>
  <si>
    <t>A measurement of the Ureaplasma urealyticum in a biological specimen.</t>
  </si>
  <si>
    <t>Ureaplasma urealyticum Measurement</t>
  </si>
  <si>
    <t>UURDNA</t>
  </si>
  <si>
    <t>Ureaplasma urealyticum DNA</t>
  </si>
  <si>
    <t>A measurement of the Ureaplasma urealyticum DNA in a biological specimen.</t>
  </si>
  <si>
    <t>Ureaplasma urealyticum DNA Measurement</t>
  </si>
  <si>
    <t>V25HD2</t>
  </si>
  <si>
    <t>25-Hydroxyvitamin D2</t>
  </si>
  <si>
    <t>25-Hydroxycalciferol; 25-Hydroxyergocalciferol; 25-Hydroxyvitamin D2; Ercalcidiol</t>
  </si>
  <si>
    <t>A measurement of the 25-Hydroxyvitamin D2 in a biological specimen.</t>
  </si>
  <si>
    <t>25-Hydroxyvitamin D2 Measurement</t>
  </si>
  <si>
    <t>V25HD3</t>
  </si>
  <si>
    <t>25-Hydroxyvitamin D3</t>
  </si>
  <si>
    <t>25-Hydroxycholecalciferol; 25-Hydroxyvitamin D; 25-Hydroxyvitamin D3; Calcidiol; Calcifediol; Inactive Vitamin D</t>
  </si>
  <si>
    <t>A measurement of the 25-Hydroxyvitamin D3 in a biological specimen.</t>
  </si>
  <si>
    <t>25-Hydroxyvitamin D3 Measurement</t>
  </si>
  <si>
    <t>VACCINIA</t>
  </si>
  <si>
    <t>Vaccinia Virus</t>
  </si>
  <si>
    <t>A measurement of the Vaccinia virus in a biological specimen.</t>
  </si>
  <si>
    <t>Vaccinia Virus Measurement</t>
  </si>
  <si>
    <t>VACGRFRQ</t>
  </si>
  <si>
    <t>Visual Acuity Card Grating Frequency</t>
  </si>
  <si>
    <t>A measurement of the number of horizontal or vertical lines within a pre-determined unit of length on a visual acuity card.</t>
  </si>
  <si>
    <t>Acuity Card Grating Frequency</t>
  </si>
  <si>
    <t>VAGDLVN</t>
  </si>
  <si>
    <t>Number of Vaginal Deliveries</t>
  </si>
  <si>
    <t>A measurement of the total number of vaginal delivery events experienced by the individual.</t>
  </si>
  <si>
    <t>VAL</t>
  </si>
  <si>
    <t>Valine</t>
  </si>
  <si>
    <t>A measurement of the valine in a biological specimen.</t>
  </si>
  <si>
    <t>Valine Measurement</t>
  </si>
  <si>
    <t>VALPRATE</t>
  </si>
  <si>
    <t>Valproate</t>
  </si>
  <si>
    <t>Valproate; Valproic Acid</t>
  </si>
  <si>
    <t>A measurement of the valproate in a biological specimen.</t>
  </si>
  <si>
    <t>Valproate Measurement</t>
  </si>
  <si>
    <t>VAPOB</t>
  </si>
  <si>
    <t>VLDL Apolipoprotein B</t>
  </si>
  <si>
    <t>A measurement of the apolipoprotein B in the very low density lipoprotein fraction of a biological specimen.</t>
  </si>
  <si>
    <t>VLDL Apolipoprotein B Measurement</t>
  </si>
  <si>
    <t>VAREANDX</t>
  </si>
  <si>
    <t>Valve Area Index</t>
  </si>
  <si>
    <t>The ratio of the valve area to the body surface area.</t>
  </si>
  <si>
    <t>VARPROF</t>
  </si>
  <si>
    <t>Variant Profile</t>
  </si>
  <si>
    <t>An assessment of the unique pattern of sequence variation of one to many loci associated with a normal or abnormal biological process.</t>
  </si>
  <si>
    <t>Variant Profile Assessment</t>
  </si>
  <si>
    <t>VBCE</t>
  </si>
  <si>
    <t>Viable Cells</t>
  </si>
  <si>
    <t>A measurement of the viable cells in a biological specimen.</t>
  </si>
  <si>
    <t>Viable Cell Count</t>
  </si>
  <si>
    <t>VBLSIND</t>
  </si>
  <si>
    <t>Sample Viability Indicator</t>
  </si>
  <si>
    <t>An indication as to whether the sample contains viable (capable of life or normal growth and development) cells or tissues.</t>
  </si>
  <si>
    <t>VBLSPCT</t>
  </si>
  <si>
    <t>Sample Viability Percent</t>
  </si>
  <si>
    <t>A measurement of the percent of a sample that is viable (capable of life or normal growth and development) for further processing or testing.</t>
  </si>
  <si>
    <t>Sample Viability Percent Measurement</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</si>
  <si>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</si>
  <si>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</si>
  <si>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</si>
  <si>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</si>
  <si>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</si>
  <si>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VCAM1</t>
  </si>
  <si>
    <t>Vascular Cell Adhesion Molecule 1</t>
  </si>
  <si>
    <t>A measurement of the vascular cell adhesion molecule 1 in a biological specimen.</t>
  </si>
  <si>
    <t>Vascular Cell Adhesion Molecule 1 Measurement</t>
  </si>
  <si>
    <t>VCECE</t>
  </si>
  <si>
    <t>Viable Cells/Total Cells</t>
  </si>
  <si>
    <t>Cell Viability %; Live Cells/Total Cells; Viable Cells/Total Cells</t>
  </si>
  <si>
    <t>A relative measurement (ratio or percentage) of viable cells to total cells in a biological specimen.</t>
  </si>
  <si>
    <t>Viable Cell to Total Cell Ratio Measurement</t>
  </si>
  <si>
    <t>VCHDNA</t>
  </si>
  <si>
    <t>Vibrio cholerae DNA</t>
  </si>
  <si>
    <t>A measurement of the Vibrio cholerae DNA in a biological specimen.</t>
  </si>
  <si>
    <t>Vibrio cholerae DNA Measurement</t>
  </si>
  <si>
    <t>VDIAM</t>
  </si>
  <si>
    <t>Viable Diameter</t>
  </si>
  <si>
    <t>The diameter of the portion of the tumor mass that is capable of growth, proliferation and metastasis.</t>
  </si>
  <si>
    <t>Viable Tumor Diameter</t>
  </si>
  <si>
    <t>VEGF</t>
  </si>
  <si>
    <t>Vascular Endothelial Growth Factor</t>
  </si>
  <si>
    <t>A measurement of the vascular endothelial growth factor in a biological specimen.</t>
  </si>
  <si>
    <t>Vascular Endothelial Growth Factor Measurement</t>
  </si>
  <si>
    <t>VEGFA</t>
  </si>
  <si>
    <t>Vascular Endothelial Growth Factor A</t>
  </si>
  <si>
    <t>A measurement of the vascular endothelial growth factor A in a biological specimen.</t>
  </si>
  <si>
    <t>Vascular Endothelial Growth Factor A Measurement</t>
  </si>
  <si>
    <t>VEGFC</t>
  </si>
  <si>
    <t>Vascular Endothelial Growth Factor C</t>
  </si>
  <si>
    <t>A measurement of the vascular endothelial growth factor C in a biological specimen.</t>
  </si>
  <si>
    <t>Vascular Endothelial Growth Factor C Measurement</t>
  </si>
  <si>
    <t>VEGFD</t>
  </si>
  <si>
    <t>Vascular Endothelial Growth Factor D</t>
  </si>
  <si>
    <t>FIGF; Vascular Endothelial Growth Factor D</t>
  </si>
  <si>
    <t>A measurement of the vascular endothelial growth factor D in a biological specimen.</t>
  </si>
  <si>
    <t>Vascular Endothelial Growth Factor D Measurement</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</si>
  <si>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</si>
  <si>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</si>
  <si>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</si>
  <si>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</si>
  <si>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</si>
  <si>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</si>
  <si>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</si>
  <si>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</si>
  <si>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</si>
  <si>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</si>
  <si>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</si>
  <si>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</si>
  <si>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</si>
  <si>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</si>
  <si>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</si>
  <si>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</si>
  <si>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</si>
  <si>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</si>
  <si>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</si>
  <si>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</si>
  <si>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VELTI</t>
  </si>
  <si>
    <t>Velocity Time Integral, Blood Flow</t>
  </si>
  <si>
    <t>The integral of all of the forward flow velocities during the time of blood flow across or within a specified area.</t>
  </si>
  <si>
    <t>Blood Flow Velocity Time Integral</t>
  </si>
  <si>
    <t>VENLAFAX</t>
  </si>
  <si>
    <t>Venlafaxine</t>
  </si>
  <si>
    <t>A measurement of the venlafaxine present in a biological specimen.</t>
  </si>
  <si>
    <t>Venlafaxine Measurement</t>
  </si>
  <si>
    <t>VENTLFLT</t>
  </si>
  <si>
    <t>Filter Ventilation</t>
  </si>
  <si>
    <t>Filter Ventilation; Vf</t>
  </si>
  <si>
    <t>An assessment of the air entering the product through the filter joining paper (tipping paper) between the covered part of the mouth end and the beginning of the tobacco rod. (CORESTA)</t>
  </si>
  <si>
    <t>VENTLTOT</t>
  </si>
  <si>
    <t>Total Ventilation</t>
  </si>
  <si>
    <t>The percentage of total air flow drawn through the sample via the sides of the filter, generally through perforations. (CORESTA)</t>
  </si>
  <si>
    <t>Total Product Ventilation</t>
  </si>
  <si>
    <t>VILLPAD</t>
  </si>
  <si>
    <t>Village of Permanent Address</t>
  </si>
  <si>
    <t>The village identified as the individual's permanent residence.</t>
  </si>
  <si>
    <t>VINBRBTL</t>
  </si>
  <si>
    <t>Vinbarbital</t>
  </si>
  <si>
    <t>A measurement of the vinbarbital in a biological specimen.</t>
  </si>
  <si>
    <t>Vinbarbital Measurement</t>
  </si>
  <si>
    <t>VIP</t>
  </si>
  <si>
    <t>Vasoactive Intestinal Polypeptide</t>
  </si>
  <si>
    <t>Vasoactive Intestinal Polypeptide; VIP</t>
  </si>
  <si>
    <t>A measurement of vasoactive intestinal polypeptide in a biological specimen.</t>
  </si>
  <si>
    <t>Vasoactive Intestinal Polypeptide Measurement</t>
  </si>
  <si>
    <t>VISC</t>
  </si>
  <si>
    <t>Viscosity</t>
  </si>
  <si>
    <t>Visc; Viscosity</t>
  </si>
  <si>
    <t>The resistance of a liquid to sheer forces and flow. (NCI)</t>
  </si>
  <si>
    <t>VITA</t>
  </si>
  <si>
    <t>Vitamin A</t>
  </si>
  <si>
    <t>Retinol; Vitamin A</t>
  </si>
  <si>
    <t>A measurement of the Vitamin A in a biological specimen.</t>
  </si>
  <si>
    <t>Vitamin A Measurement</t>
  </si>
  <si>
    <t>VITB1</t>
  </si>
  <si>
    <t>Thiamine</t>
  </si>
  <si>
    <t>Thiamine; Vitamin B1</t>
  </si>
  <si>
    <t>A measurement of the thiamine in a biological specimen.</t>
  </si>
  <si>
    <t>Vitamin B1 Measurement</t>
  </si>
  <si>
    <t>VITB12</t>
  </si>
  <si>
    <t>Vitamin B12</t>
  </si>
  <si>
    <t>Cobalamin; Vitamin B12</t>
  </si>
  <si>
    <t>A measurement of the Vitamin B12 in a biological specimen.</t>
  </si>
  <si>
    <t>Vitamin B12 Measurement</t>
  </si>
  <si>
    <t>VITB17</t>
  </si>
  <si>
    <t>Vitamin B17</t>
  </si>
  <si>
    <t>Amygdalin; Vitamin B17</t>
  </si>
  <si>
    <t>A measurement of the Vitamin B17 in a biological specimen.</t>
  </si>
  <si>
    <t>Vitamin B17 Measurement</t>
  </si>
  <si>
    <t>VITB2</t>
  </si>
  <si>
    <t>Riboflavin</t>
  </si>
  <si>
    <t>Riboflavin; Vitamin B2</t>
  </si>
  <si>
    <t>A measurement of the riboflavin in a biological specimen.</t>
  </si>
  <si>
    <t>Vitamin B2 Measurement</t>
  </si>
  <si>
    <t>VITB3</t>
  </si>
  <si>
    <t>Niacin</t>
  </si>
  <si>
    <t>Niacin; Vitamin B3</t>
  </si>
  <si>
    <t>A measurement of the niacin in a biological specimen.</t>
  </si>
  <si>
    <t>Vitamin B3 Measurement</t>
  </si>
  <si>
    <t>VITB5</t>
  </si>
  <si>
    <t>Vitamin B5</t>
  </si>
  <si>
    <t>Pantothenic Acid; Vitamin B5</t>
  </si>
  <si>
    <t>A measurement of the Vitamin B5 in a biological specimen.</t>
  </si>
  <si>
    <t>Vitamin B5 Measurement</t>
  </si>
  <si>
    <t>VITB6</t>
  </si>
  <si>
    <t>Vitamin B6</t>
  </si>
  <si>
    <t>Pyridoxine; Vitamin B6</t>
  </si>
  <si>
    <t>A measurement of the Vitamin B6 in a biological specimen.</t>
  </si>
  <si>
    <t>Vitamin B6 Measurement</t>
  </si>
  <si>
    <t>VITB7</t>
  </si>
  <si>
    <t>Vitamin B7</t>
  </si>
  <si>
    <t>Biotin; Vitamin B7</t>
  </si>
  <si>
    <t>A measurement of the Vitamin B7 in a biological specimen.</t>
  </si>
  <si>
    <t>Vitamin B7 Measurement</t>
  </si>
  <si>
    <t>VITB9</t>
  </si>
  <si>
    <t>Vitamin B9</t>
  </si>
  <si>
    <t>Folate; Folic Acid; Vitamin B9</t>
  </si>
  <si>
    <t>A measurement of the folic acid in a biological specimen.</t>
  </si>
  <si>
    <t>Folic Acid Measurement</t>
  </si>
  <si>
    <t>VITC</t>
  </si>
  <si>
    <t>Vitamin C</t>
  </si>
  <si>
    <t>Ascorbate; Ascorbic Acid; Vitamin C</t>
  </si>
  <si>
    <t>A measurement of the Vitamin C in a biological specimen.</t>
  </si>
  <si>
    <t>Vitamin C Measurement</t>
  </si>
  <si>
    <t>VITD2</t>
  </si>
  <si>
    <t>Vitamin D2</t>
  </si>
  <si>
    <t>Calciferol; Ergocalciferol; Viosterol; Vitamin D2</t>
  </si>
  <si>
    <t>A measurement of the Vitamin D2 in a biological specimen.</t>
  </si>
  <si>
    <t>Vitamin D2 Measurement</t>
  </si>
  <si>
    <t>VITD23</t>
  </si>
  <si>
    <t>Vitamin D2 + Vitamin D3</t>
  </si>
  <si>
    <t>Calciferol + Cholecalciferol; Vitamin D2 + Vitamin D3</t>
  </si>
  <si>
    <t>A measurement of the vitamin D2 and vitamin D3 in a biological specimen.</t>
  </si>
  <si>
    <t>Vitamin D2 and Vitamin D3 Measurement</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</si>
  <si>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</si>
  <si>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</si>
  <si>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</si>
  <si>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</si>
  <si>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</si>
  <si>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VITD3</t>
  </si>
  <si>
    <t>Vitamin D3</t>
  </si>
  <si>
    <t>Calciol; Cholecalciferol; Colecalciferol; Vitamin D; Vitamin D3</t>
  </si>
  <si>
    <t>A measurement of the Vitamin D3 in a biological specimen.</t>
  </si>
  <si>
    <t>Vitamin D3 Measurement</t>
  </si>
  <si>
    <t>VITDBP</t>
  </si>
  <si>
    <t>Vitamin D Binding Protein</t>
  </si>
  <si>
    <t>DBP; GC Vitamin D Binding Protein; VDBP; Vitamin D Binding Protein</t>
  </si>
  <si>
    <t>A measurement of the vitamin D binding protein in a biological specimen.</t>
  </si>
  <si>
    <t>Vitamin D Binding Protein Measurement</t>
  </si>
  <si>
    <t>VITE</t>
  </si>
  <si>
    <t>Vitamin E</t>
  </si>
  <si>
    <t>A measurement of the Vitamin E in a biological specimen.</t>
  </si>
  <si>
    <t>Vitamin E Measurement</t>
  </si>
  <si>
    <t>VITECHOL</t>
  </si>
  <si>
    <t>Vitamin E/Cholesterol</t>
  </si>
  <si>
    <t>A relative measurement (ratio or percentage) of vitamin E to total cholesterol in a biological specimen.</t>
  </si>
  <si>
    <t>Vitamin E to Cholesterol Ratio Measurement</t>
  </si>
  <si>
    <t>VITK</t>
  </si>
  <si>
    <t>Vitamin K</t>
  </si>
  <si>
    <t>Naphthoquinone; Vitamin K</t>
  </si>
  <si>
    <t>A measurement of the total Vitamin K in a biological specimen.</t>
  </si>
  <si>
    <t>Vitamin K Measurement</t>
  </si>
  <si>
    <t>VITK1</t>
  </si>
  <si>
    <t>Vitamin K1</t>
  </si>
  <si>
    <t>Phylloquinone; Phytomenadione; Vitamin K1</t>
  </si>
  <si>
    <t>A measurement of the Vitamin K1 in a biological specimen.</t>
  </si>
  <si>
    <t>Vitamin K1 Measurement</t>
  </si>
  <si>
    <t>VLDL</t>
  </si>
  <si>
    <t>VLDL Cholesterol</t>
  </si>
  <si>
    <t>A measurement of the very low density lipoprotein cholesterol in a biological specimen.</t>
  </si>
  <si>
    <t>Very Low Density Lipoprotein Cholesterol Measurement</t>
  </si>
  <si>
    <t>VLDL1</t>
  </si>
  <si>
    <t>VLDL Cholesterol Subtype 1</t>
  </si>
  <si>
    <t>A measurement of the very low density lipoprotein cholesterol subtype 1 in a biological specimen.</t>
  </si>
  <si>
    <t>VLDL Cholesterol Subtype 1 Measurement</t>
  </si>
  <si>
    <t>VLDL2</t>
  </si>
  <si>
    <t>VLDL Cholesterol Subtype 2</t>
  </si>
  <si>
    <t>A measurement of the very low density lipoprotein cholesterol subtype 2 in a biological specimen.</t>
  </si>
  <si>
    <t>VLDL Cholesterol Subtype 2 Measurement</t>
  </si>
  <si>
    <t>VLDL3</t>
  </si>
  <si>
    <t>VLDL Cholesterol Subtype 3</t>
  </si>
  <si>
    <t>A measurement of the very low density lipoprotein cholesterol subtype 3 in a biological specimen.</t>
  </si>
  <si>
    <t>VLDL Cholesterol Subtype 3 Measurement</t>
  </si>
  <si>
    <t>VLDLPSZ</t>
  </si>
  <si>
    <t>VLDL Particle Size</t>
  </si>
  <si>
    <t>A measurement of the average particle size of very-low-density lipoprotein in a biological specimen.</t>
  </si>
  <si>
    <t>VLDL Particle Size Measurement</t>
  </si>
  <si>
    <t>VLDLT</t>
  </si>
  <si>
    <t>VLDL Triglyceride</t>
  </si>
  <si>
    <t>A measurement of the very low density lipoprotein triglyceride in a biological specimen.</t>
  </si>
  <si>
    <t>VLDL Triglyceride Measurement</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</si>
  <si>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</si>
  <si>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</si>
  <si>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</si>
  <si>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</si>
  <si>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</si>
  <si>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VLEUKCE</t>
  </si>
  <si>
    <t>Viable Leukocytes/Total Cells</t>
  </si>
  <si>
    <t>Leukocyte Viability %; Live Leukocytes/Total Cells; Viable Leukocytes/Total Cells</t>
  </si>
  <si>
    <t>A relative measurement (ratio or percentage) of viable leukocytes to total cells in a biological specimen.</t>
  </si>
  <si>
    <t>Viable Leukocyte to Total Cell Ratio Measurement</t>
  </si>
  <si>
    <t>VLSTNIND</t>
  </si>
  <si>
    <t>Cardiac Valvular Stenosis Indicator</t>
  </si>
  <si>
    <t>An indication as to whether the cardiac valve in question has stenosis.</t>
  </si>
  <si>
    <t>VLSTNSLE</t>
  </si>
  <si>
    <t>Cardiac Valve Stenosis Likely Etiology</t>
  </si>
  <si>
    <t>A description of the likely cause of the pathology responsible for the cardiac valve stenosis.</t>
  </si>
  <si>
    <t>VLVAREA</t>
  </si>
  <si>
    <t>Valve Area</t>
  </si>
  <si>
    <t>The quantitative measurement estimating the surface area of a valve.</t>
  </si>
  <si>
    <t>VLZDN</t>
  </si>
  <si>
    <t>Vilazodone</t>
  </si>
  <si>
    <t>A measurement of the vilazodone in a biological specimen.</t>
  </si>
  <si>
    <t>Vilazodone Measurement</t>
  </si>
  <si>
    <t>VMA</t>
  </si>
  <si>
    <t>Vanillyl Mandelic Acid</t>
  </si>
  <si>
    <t>Vanillyl Mandelic Acid; Vanillylmandelate; Vanilmandelic Acid</t>
  </si>
  <si>
    <t>A measurement of the vanillyl mandelic acid metabolite in a biological specimen.</t>
  </si>
  <si>
    <t>Vanillyl Mandelic Acid Measurement</t>
  </si>
  <si>
    <t>VMAEXR</t>
  </si>
  <si>
    <t>Vanillyl Mandelic Acid Excretion Rate</t>
  </si>
  <si>
    <t>A measurement of the amount of vanillyl mandelic acid being excreted in a biological specimen over a defined amount of time (e.g. one hour).</t>
  </si>
  <si>
    <t>VMODE</t>
  </si>
  <si>
    <t>Ventilator Mode</t>
  </si>
  <si>
    <t>Mode of Ventilation; Ventilator Mode</t>
  </si>
  <si>
    <t>The ventilatory settings that determine, either partially or fully, when the mechanical breaths are to be provided to a patient from a ventilator, and thusly determine the breathing pattern of the patient during mechanical ventilation.</t>
  </si>
  <si>
    <t>VNTR</t>
  </si>
  <si>
    <t>Variable Number Tandem Repeats</t>
  </si>
  <si>
    <t>Tandem Repeat Variation; Variable Nucleotide Tandem Repeats; Variable Number Tandem Repeats</t>
  </si>
  <si>
    <t>An assessment of the variations in the number of tandem repeat nucleotide sequences, which are end-to-end adjacent copies of a short (2 to 60 nucleotides) DNA sequence.</t>
  </si>
  <si>
    <t>Variable Number Tandem Repeats Assessment</t>
  </si>
  <si>
    <t>VNYLACT</t>
  </si>
  <si>
    <t>Vinyl Acetate</t>
  </si>
  <si>
    <t>Vinyl Acetate; Vinyl Acetic Acid</t>
  </si>
  <si>
    <t>A measurement of the vinyl acetate in a specimen.</t>
  </si>
  <si>
    <t>Vinyl Acetate Measurement</t>
  </si>
  <si>
    <t>VNYLCL</t>
  </si>
  <si>
    <t>Vinyl Chloride</t>
  </si>
  <si>
    <t>A measurement of the vinyl chloride in a specimen.</t>
  </si>
  <si>
    <t>Vinyl Chloride Measurement</t>
  </si>
  <si>
    <t>VO2</t>
  </si>
  <si>
    <t>Oxygen Consumption</t>
  </si>
  <si>
    <t>The rate at which oxygen is absorbed and utilized by any given tissue in the body.</t>
  </si>
  <si>
    <t>VO2MAX</t>
  </si>
  <si>
    <t>Maximal Oxygen Consumption</t>
  </si>
  <si>
    <t>The maximum rate of oxygen utilization at which oxygen uptake no longer increases and beyond which no level of effort can raise it.</t>
  </si>
  <si>
    <t>Maximal Oxygen Uptake</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</si>
  <si>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</si>
  <si>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</si>
  <si>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</si>
  <si>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</si>
  <si>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VOC48IND</t>
  </si>
  <si>
    <t>Vessel Occlusion After CABG 48 Ind</t>
  </si>
  <si>
    <t>An indication as to whether vessel occlusion, in the native or bypass graft, occurred within 48 hours after the coronary artery bypass graft procedure.</t>
  </si>
  <si>
    <t>Vessel Occlusion 48 Hours after CABG Indicator</t>
  </si>
  <si>
    <t>VOL</t>
  </si>
  <si>
    <t>Volume</t>
  </si>
  <si>
    <t>A measurement of the amount of three dimensional space occupied by an object or the capacity of a space or container.</t>
  </si>
  <si>
    <t>Volume Measurement</t>
  </si>
  <si>
    <t>VOLUME</t>
  </si>
  <si>
    <t>VOXDIMX</t>
  </si>
  <si>
    <t>X-Axis Voxel Dimension</t>
  </si>
  <si>
    <t>The linear measurement of a voxel along the X-axis.</t>
  </si>
  <si>
    <t>VOXDIMY</t>
  </si>
  <si>
    <t>Y-Axis Voxel Dimension</t>
  </si>
  <si>
    <t>The linear measurement of a voxel along the Y-axis.</t>
  </si>
  <si>
    <t>VOXDIMZ</t>
  </si>
  <si>
    <t>Z-Axis Voxel Dimension</t>
  </si>
  <si>
    <t>The linear measurement of a voxel along the Z-axis.</t>
  </si>
  <si>
    <t>VOXORIEN</t>
  </si>
  <si>
    <t>Voxel Orientation</t>
  </si>
  <si>
    <t>Voxel Angle; Voxel Orientation</t>
  </si>
  <si>
    <t>The angle of the voxel relative to the coordinate system of the scanner.</t>
  </si>
  <si>
    <t>VPADNA</t>
  </si>
  <si>
    <t>Vibrio parahaemolyticus DNA</t>
  </si>
  <si>
    <t>A measurement of the Vibrio parahaemolyticus DNA in a biological specimen.</t>
  </si>
  <si>
    <t>Vibrio parahaemolyticus DNA Measurement</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</si>
  <si>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</si>
  <si>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</si>
  <si>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</si>
  <si>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</si>
  <si>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VRTOXTN</t>
  </si>
  <si>
    <t>Vortioxetine</t>
  </si>
  <si>
    <t>A measurement of the vortioxetine in a biological specimen.</t>
  </si>
  <si>
    <t>Vortioxetine Measurement</t>
  </si>
  <si>
    <t>VSLFLIND</t>
  </si>
  <si>
    <t>Vessel Failure Indicator</t>
  </si>
  <si>
    <t>An indication as to whether vessel failure occurred.</t>
  </si>
  <si>
    <t>VSLIDENT</t>
  </si>
  <si>
    <t>Vessel Lesion Identification</t>
  </si>
  <si>
    <t>An indication that a vessel with a lesion has been located and characterized.</t>
  </si>
  <si>
    <t>VSLPIND</t>
  </si>
  <si>
    <t>Vessel Patency Indicator</t>
  </si>
  <si>
    <t>An indication as to whether an artery is patent (free of TLR or restenosis) following intervention.</t>
  </si>
  <si>
    <t>VSLRVIND</t>
  </si>
  <si>
    <t>Vessel Revascularization Indicator</t>
  </si>
  <si>
    <t>An indication as to whether repeat revascularization of an artery containing a lesion occurred.</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</si>
  <si>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</si>
  <si>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</si>
  <si>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</si>
  <si>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</si>
  <si>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</si>
  <si>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</si>
  <si>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</si>
  <si>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</si>
  <si>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</si>
  <si>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</si>
  <si>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VTARRY</t>
  </si>
  <si>
    <t>Ventricular Arrhythmias</t>
  </si>
  <si>
    <t>An electrocardiographic assessment of ventricular arrhythmias excluding tachycardias.</t>
  </si>
  <si>
    <t>Ventricular Arrhythmia ECG Assessment</t>
  </si>
  <si>
    <t>VTD2125</t>
  </si>
  <si>
    <t>1,25-Dihydroxyvitamin D2</t>
  </si>
  <si>
    <t>1,25-Dihydroxycalciferol; 1,25-Dihydroxyergocalciferol; 1,25-Dihydroxyvitamin D2; Ercalcitriol</t>
  </si>
  <si>
    <t>A measurement of the 1,25-dihydroxyvitamin D2 in a biological specimen.</t>
  </si>
  <si>
    <t>1,25-Dihydroxyvitamin D2 Measurement</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</si>
  <si>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</si>
  <si>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</si>
  <si>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</si>
  <si>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</si>
  <si>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</si>
  <si>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VTD2D3IT</t>
  </si>
  <si>
    <t>25-Hydroxyvit D2 + 25-Hydroxyvit D3</t>
  </si>
  <si>
    <t>A measurement of the total inactive vitamin D2 and vitamin D3 in a biological specimen.</t>
  </si>
  <si>
    <t>25-Hydroxyvitamin D2 and 25-Hydroxyvitamin D3 Measurement</t>
  </si>
  <si>
    <t>VTD3125</t>
  </si>
  <si>
    <t>1,25-Dihydroxyvitamin D3</t>
  </si>
  <si>
    <t>1,25-Dihydroxycholecalciferol; 1,25-Dihydroxyvitamin D; 1,25-Dihydroxyvitamin D3; Calcitriol</t>
  </si>
  <si>
    <t>A measurement of the 1,25-dihydroxyvitamin D3 in a biological specimen.</t>
  </si>
  <si>
    <t>1,25-Dihydroxyvitamin D3 Measurement</t>
  </si>
  <si>
    <t>VTD32425</t>
  </si>
  <si>
    <t>24,25-Dihydroxyvitamin D3</t>
  </si>
  <si>
    <t>24,25-Dihydroxycholecalciferol; 24,25-Dihydroxyvitamin D; 24,25-Dihydroxyvitamin D3</t>
  </si>
  <si>
    <t>A measurement of the 24,25-dihydroxyvitamin D3 in a biological specimen.</t>
  </si>
  <si>
    <t>24,25-Dihydroxyvitamin D3 Measurement</t>
  </si>
  <si>
    <t>VTRNCTN</t>
  </si>
  <si>
    <t>Vitronectin</t>
  </si>
  <si>
    <t>V75; Vitronectin; VN; VNT; VTN</t>
  </si>
  <si>
    <t>A measurement of the vitronectin in a biological specimen.</t>
  </si>
  <si>
    <t>Vitronectin Measurement</t>
  </si>
  <si>
    <t>VTTARRY</t>
  </si>
  <si>
    <t>Ventricular Tachyarrhythmias</t>
  </si>
  <si>
    <t>An electrocardiographic assessment of ventricular tachyarrhythmias.</t>
  </si>
  <si>
    <t>Ventricular Tachyarrhythmia ECG Assessment</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</si>
  <si>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</si>
  <si>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</si>
  <si>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</si>
  <si>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</si>
  <si>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</si>
  <si>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</si>
  <si>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</si>
  <si>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</si>
  <si>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</si>
  <si>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</si>
  <si>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VZV</t>
  </si>
  <si>
    <t>Varicella Zoster Virus</t>
  </si>
  <si>
    <t>A measurement of the varicella zoster virus in a biological specimen.</t>
  </si>
  <si>
    <t>Varicella Zoster Virus Measurement</t>
  </si>
  <si>
    <t>VZVDNA</t>
  </si>
  <si>
    <t>Varicella Zoster Virus DNA</t>
  </si>
  <si>
    <t>A measurement of the Varicella Zoster virus DNA in a biological specimen.</t>
  </si>
  <si>
    <t>Varicella Zoster Virus DNA Measurement</t>
  </si>
  <si>
    <t>WAISTHIP</t>
  </si>
  <si>
    <t>Waist to Hip Ratio</t>
  </si>
  <si>
    <t>A relative measurement (ratio) of the waist circumference to the hip circumference.</t>
  </si>
  <si>
    <t>Waist-Hip Ratio</t>
  </si>
  <si>
    <t>WASO</t>
  </si>
  <si>
    <t>Wake After Sleep Onset</t>
  </si>
  <si>
    <t>Awake After Sleep Onset; Wake After Sleep Onset; Wake Time After Sleep Onset</t>
  </si>
  <si>
    <t>A measurement of the sum of durations of wakefulness episodes throughout the night, not including the wakefulness before sleep onset.</t>
  </si>
  <si>
    <t>WASTHEEL</t>
  </si>
  <si>
    <t>Waist to Heel Length</t>
  </si>
  <si>
    <t>A measurement from the top of the waist to the bottom of the heel.</t>
  </si>
  <si>
    <t>WAVLGTH</t>
  </si>
  <si>
    <t>Wavelength</t>
  </si>
  <si>
    <t>The distance (measured in the direction of propagation) between two points in the same phase in consecutive cycles of a wave. (NCI)</t>
  </si>
  <si>
    <t>WBC</t>
  </si>
  <si>
    <t>Leukocytes</t>
  </si>
  <si>
    <t>Leukocytes; White Blood Cells</t>
  </si>
  <si>
    <t>A measurement of the leukocytes in a biological specimen.</t>
  </si>
  <si>
    <t>Leukocyte Count</t>
  </si>
  <si>
    <t>WBCCE</t>
  </si>
  <si>
    <t>Leukocytes/Total Cells</t>
  </si>
  <si>
    <t>Leukocytes/Total Cells; WBC/Total Cells</t>
  </si>
  <si>
    <t>A relative measurement (ratio or percentage) of the leukocytes to total cells in a biological specimen.</t>
  </si>
  <si>
    <t>Leukocytes to Total Cells Ratio Measurement</t>
  </si>
  <si>
    <t>WBCCLMP</t>
  </si>
  <si>
    <t>Leukocyte Cell Clumps</t>
  </si>
  <si>
    <t>Leukocyte Cell Clumps; WBC Clumps; White Blood Cell Clumps</t>
  </si>
  <si>
    <t>A measurement of white blood cell clumps in a biological specimen.</t>
  </si>
  <si>
    <t>Leukocyte Cell Clumps Measurement</t>
  </si>
  <si>
    <t>WBCDIFF</t>
  </si>
  <si>
    <t>Leukocyte Cell Differential</t>
  </si>
  <si>
    <t>Leukocyte Cell Differential; Leukocyte Cell Fraction; Leukocyte Diff</t>
  </si>
  <si>
    <t>An overall assessment of the leukocyte subtype distribution in a biological specimen.</t>
  </si>
  <si>
    <t>Differential Leukocyte Count</t>
  </si>
  <si>
    <t>WBCMORPH</t>
  </si>
  <si>
    <t>Leukocyte Cell Morphology</t>
  </si>
  <si>
    <t>Leukocyte Cell Morphology; WBC Morphology; White Blood Cell Morphology</t>
  </si>
  <si>
    <t>An examination or assessment of the form and structure of white blood cells.</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</si>
  <si>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</si>
  <si>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</si>
  <si>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</si>
  <si>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</si>
  <si>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</si>
  <si>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WEIGHT</t>
  </si>
  <si>
    <t>Weight</t>
  </si>
  <si>
    <t>The vertical force exerted by a mass as a result of gravity. (NCI)</t>
  </si>
  <si>
    <t>WHEALSZ</t>
  </si>
  <si>
    <t>Wheal Size</t>
  </si>
  <si>
    <t>A semi-quantitative size assessment of the flat, circular, slightly raised area that forms around the site of an antigenic challenge to the skin.</t>
  </si>
  <si>
    <t>WHLINT</t>
  </si>
  <si>
    <t>Wheal Diameter Interpretation</t>
  </si>
  <si>
    <t>The process of evaluating the wheal diameter in response to an allergen, based on a threshold size.</t>
  </si>
  <si>
    <t>WHLLDIAM</t>
  </si>
  <si>
    <t>Wheal Longest Diameter</t>
  </si>
  <si>
    <t>The longest diameter of the flat, circular, slightly raised area that forms around the site of an antigenic challenge to the skin.</t>
  </si>
  <si>
    <t>WHLMDIAM</t>
  </si>
  <si>
    <t>Wheal Mean Diameter</t>
  </si>
  <si>
    <t>The mean diameter of the flat, circular, slightly raised area that forms around the site of an antigenic challenge to the skin.</t>
  </si>
  <si>
    <t>WIDTH</t>
  </si>
  <si>
    <t>Width</t>
  </si>
  <si>
    <t>The extent or measurement of something from side to side. (NCI)</t>
  </si>
  <si>
    <t>WRKDYWKN</t>
  </si>
  <si>
    <t>Number of Work Days Per Week</t>
  </si>
  <si>
    <t>The number of days per week the subject works.</t>
  </si>
  <si>
    <t>Number of Work Days Per Week Question</t>
  </si>
  <si>
    <t>WSTCIR</t>
  </si>
  <si>
    <t>Waist Circumference</t>
  </si>
  <si>
    <t>The distance around an individual's midsection or waist.</t>
  </si>
  <si>
    <t>WTAPCTL</t>
  </si>
  <si>
    <t>Weight-for-Age Percentile</t>
  </si>
  <si>
    <t>An assessed relationship of an individual's weight and age to that of a reference population, expressed as a percentile.</t>
  </si>
  <si>
    <t>WTHTPCTL</t>
  </si>
  <si>
    <t>Weight-for-Height Percentile</t>
  </si>
  <si>
    <t>An assessed relationship of an individual's weight and height to that of a reference population, expressed as a percentile.</t>
  </si>
  <si>
    <t>XLSXLSD</t>
  </si>
  <si>
    <t>Xylose/Xylose Dose</t>
  </si>
  <si>
    <t>A relative measurement (percentage) of the xylose in a biological specimen to an administered dose of xylose.</t>
  </si>
  <si>
    <t>Xylose to Xylose Dose Ratio Measurement</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</si>
  <si>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</si>
  <si>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</si>
  <si>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</si>
  <si>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</si>
  <si>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XYLOSE</t>
  </si>
  <si>
    <t>Xylose</t>
  </si>
  <si>
    <t>A measurement of the xylose in a biological specimen.</t>
  </si>
  <si>
    <t>Xylose Measurement</t>
  </si>
  <si>
    <t>YEAST</t>
  </si>
  <si>
    <t>Yeast Cells</t>
  </si>
  <si>
    <t>A measurement of the yeast cells present in a biological specimen.</t>
  </si>
  <si>
    <t>Yeast Cell Measurement</t>
  </si>
  <si>
    <t>YEASTBUD</t>
  </si>
  <si>
    <t>Yeast Budding</t>
  </si>
  <si>
    <t>Budding Yeast; Yeast Budding</t>
  </si>
  <si>
    <t>A measurement of the budding yeast present in a biological specimen.</t>
  </si>
  <si>
    <t>Budding Yeast Measurement</t>
  </si>
  <si>
    <t>YEASTHYP</t>
  </si>
  <si>
    <t>Yeast Hyphae</t>
  </si>
  <si>
    <t>A measurement of the yeast hyphae present in a biological specimen.</t>
  </si>
  <si>
    <t>Yeast Hyphae Screening</t>
  </si>
  <si>
    <t>YENDNA</t>
  </si>
  <si>
    <t>Yersinia enterocolitica DNA</t>
  </si>
  <si>
    <t>A measurement of the Yersinia enterocolitica DNA in a biological specimen.</t>
  </si>
  <si>
    <t>Yersinia enterocolitica DNA Measurement</t>
  </si>
  <si>
    <t>YERSINIA</t>
  </si>
  <si>
    <t>Yersinia</t>
  </si>
  <si>
    <t>A measurement of the organisms that are not assigned to the species level but are assigned to the Yersinia genus level in a biological specimen.</t>
  </si>
  <si>
    <t>Yersinia Measurement</t>
  </si>
  <si>
    <t>YKL40P</t>
  </si>
  <si>
    <t>YKL-40 Protein</t>
  </si>
  <si>
    <t>Chitinase-3-Like Protein 1; YKL-40 Protein</t>
  </si>
  <si>
    <t>A measurement of the YKL-40 protein in a biological specimen.</t>
  </si>
  <si>
    <t>YKL-40 Protein Measurement</t>
  </si>
  <si>
    <t>YSTMLDCT</t>
  </si>
  <si>
    <t>Yeast and/or Mold Colony Count</t>
  </si>
  <si>
    <t>A measurement of the total number of yeast and/or mold colonies in a sample.</t>
  </si>
  <si>
    <t>ZALEPLON</t>
  </si>
  <si>
    <t>Zaleplon</t>
  </si>
  <si>
    <t>A measurement of the zaleplon in a biological specimen.</t>
  </si>
  <si>
    <t>Zaleplon Measurement</t>
  </si>
  <si>
    <t>ZEBOV</t>
  </si>
  <si>
    <t>Zaire Ebolavirus</t>
  </si>
  <si>
    <t>A measurement of the Zaire ebolavirus present in a biological specimen.</t>
  </si>
  <si>
    <t>Zaire Ebolavirus Measurement</t>
  </si>
  <si>
    <t>ZINC</t>
  </si>
  <si>
    <t>Zinc</t>
  </si>
  <si>
    <t>A measurement of the zinc in a biological specimen.</t>
  </si>
  <si>
    <t>Zinc Measurement</t>
  </si>
  <si>
    <t>ZIPRASDN</t>
  </si>
  <si>
    <t>Ziprasidone</t>
  </si>
  <si>
    <t>A measurement of the ziprasidone in a biological specimen.</t>
  </si>
  <si>
    <t>Ziprasidone Measurement</t>
  </si>
  <si>
    <t>ZKVRNA</t>
  </si>
  <si>
    <t>Zika Virus RNA</t>
  </si>
  <si>
    <t>A measurement of the Zika virus RNA in a biological specimen.</t>
  </si>
  <si>
    <t>Zika Virus RNA Measurement</t>
  </si>
  <si>
    <t>ZOLPIDEM</t>
  </si>
  <si>
    <t>Zolpidem</t>
  </si>
  <si>
    <t>A measurement of the zolpidem in a biological specimen.</t>
  </si>
  <si>
    <t>Zolpidem Measurement</t>
  </si>
  <si>
    <t>ZOPCLN</t>
  </si>
  <si>
    <t>Zopiclone</t>
  </si>
  <si>
    <t>A measurement of the zopiclone in a biological specimen.</t>
  </si>
  <si>
    <t>Zopiclone Measurement</t>
  </si>
  <si>
    <t>ZPP</t>
  </si>
  <si>
    <t>Zinc Protoporphyrin</t>
  </si>
  <si>
    <t>A measurement of the zinc protoporphyrin (zinc bound protoporphyrin) in a biological specimen.</t>
  </si>
  <si>
    <t>Zinc Protoporphyrin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</si>
</sst>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rgb="FF000000"/>
      <name val="Calibri"/>
    </font>
    <font>
      <sz val="11"/>
      <color theme="1"/>
      <name val="Calibri"/>
      <scheme val="minor"/>
    </font>
    <font>
      <sz val="11"/>
      <color rgb="FF000000"/>
      <name val="MS PGothic"/>
      <family val="3"/>
      <charset val="128"/>
    </font>
    <font>
      <sz val="11"/>
      <color theme="1"/>
      <name val="MS PGothic"/>
      <family val="3"/>
      <charset val="128"/>
    </font>
    <font>
      <sz val="6"/>
      <name val="Calibri"/>
      <family val="3"/>
      <charset val="128"/>
      <scheme val="minor"/>
    </font>
  </fonts>
  <fills count="2">
    <fill>
      <patternFill patternType="none"/>
    </fill>
    <fill>
      <patternFill patternType="gray125"/>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7">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40"/>
  <sheetViews>
    <sheetView tabSelected="1" workbookViewId="0"/>
  </sheetViews>
  <sheetFormatPr defaultColWidth="14.42578125" defaultRowHeight="15"/>
  <cols>
    <col min="1" max="1" width="8.7109375" style="2" customWidth="1"/>
    <col min="2" max="2" width="11.85546875" style="2" customWidth="1"/>
    <col min="3" max="3" width="28.5703125" style="2" customWidth="1"/>
    <col min="4" max="4" width="32.28515625" style="2" customWidth="1"/>
    <col min="5" max="5" width="55.85546875" style="2" customWidth="1"/>
    <col min="6" max="7" width="32.28515625" style="2" customWidth="1"/>
    <col min="8" max="8" width="51.7109375" style="2" customWidth="1"/>
    <col min="9" max="9" width="32.28515625" style="2" customWidth="1"/>
    <col min="10" max="10" width="37.28515625" style="2" customWidth="1"/>
    <col min="11" max="16384" width="14.42578125" style="2"/>
  </cols>
  <sheetData>
    <row r="1" spans="1:9">
      <c r="A1" s="1" t="s">
        <v>0</v>
      </c>
      <c r="B1" s="1" t="s">
        <v>1</v>
      </c>
      <c r="C1" s="1" t="s">
        <v>2</v>
      </c>
      <c r="D1" s="1" t="s">
        <v>3</v>
      </c>
      <c r="E1" s="1" t="s">
        <v>4</v>
      </c>
      <c r="F1" s="1" t="s">
        <v>5</v>
      </c>
      <c r="G1" s="1" t="s">
        <v>3</v>
      </c>
      <c r="H1" s="1" t="s">
        <v>4</v>
      </c>
      <c r="I1" s="1" t="s">
        <v>5</v>
      </c>
    </row>
    <row r="2" spans="1:9" ht="30">
      <c r="A2" s="3" t="s">
        <v>6</v>
      </c>
      <c r="B2" s="3" t="s">
        <v>7</v>
      </c>
      <c r="C2" s="3" t="s">
        <v>8</v>
      </c>
      <c r="D2" s="3" t="s">
        <v>8</v>
      </c>
      <c r="E2" s="3" t="s">
        <v>9</v>
      </c>
      <c r="F2" s="3" t="s">
        <v>10</v>
      </c>
      <c r="G2" s="3" t="str">
        <f ca="1">IFERROR(__xludf.DUMMYFUNCTION("googletranslate(D2,""en"",""ja"")"),"α-1酸性糖タンパク質")</f>
        <v>α-1酸性糖タンパク質</v>
      </c>
      <c r="H2" s="3" t="str">
        <f ca="1">IFERROR(__xludf.DUMMYFUNCTION("googletranslate(E2,""en"",""ja"")"),"生物学的標本中のα-1 酸性糖タンパク質の測定。")</f>
        <v>生物学的標本中のα-1 酸性糖タンパク質の測定。</v>
      </c>
      <c r="I2" s="3" t="str">
        <f ca="1">IFERROR(__xludf.DUMMYFUNCTION("googletranslate(F2,""en"",""ja"")"),"α-1酸性糖タンパク質の測定")</f>
        <v>α-1酸性糖タンパク質の測定</v>
      </c>
    </row>
    <row r="3" spans="1:9" ht="30">
      <c r="A3" s="3" t="s">
        <v>6</v>
      </c>
      <c r="B3" s="3" t="s">
        <v>11</v>
      </c>
      <c r="C3" s="3" t="s">
        <v>12</v>
      </c>
      <c r="D3" s="3" t="s">
        <v>12</v>
      </c>
      <c r="E3" s="3" t="s">
        <v>13</v>
      </c>
      <c r="F3" s="3" t="s">
        <v>14</v>
      </c>
      <c r="G3" s="3" t="str">
        <f ca="1">IFERROR(__xludf.DUMMYFUNCTION("googletranslate(D3,""en"",""ja"")"),"α-1 アンチトリプシン、機能的")</f>
        <v>α-1 アンチトリプシン、機能的</v>
      </c>
      <c r="H3" s="3" t="str">
        <f ca="1">IFERROR(__xludf.DUMMYFUNCTION("googletranslate(E3,""en"",""ja"")"),"生物学的標本中の機能的なアルファ-1 アンチトリプシンの測定。")</f>
        <v>生物学的標本中の機能的なアルファ-1 アンチトリプシンの測定。</v>
      </c>
      <c r="I3" s="3" t="str">
        <f ca="1">IFERROR(__xludf.DUMMYFUNCTION("googletranslate(F3,""en"",""ja"")"),"機能的α-1アンチトリプシンの測定")</f>
        <v>機能的α-1アンチトリプシンの測定</v>
      </c>
    </row>
    <row r="4" spans="1:9" ht="30">
      <c r="A4" s="3" t="s">
        <v>6</v>
      </c>
      <c r="B4" s="3" t="s">
        <v>15</v>
      </c>
      <c r="C4" s="3" t="s">
        <v>16</v>
      </c>
      <c r="D4" s="3" t="s">
        <v>17</v>
      </c>
      <c r="E4" s="3" t="s">
        <v>18</v>
      </c>
      <c r="F4" s="3" t="s">
        <v>19</v>
      </c>
      <c r="G4" s="3" t="str">
        <f ca="1">IFERROR(__xludf.DUMMYFUNCTION("googletranslate(D4,""en"",""ja"")"),"α-1 アンチトリプシン;血清トリプシン阻害剤")</f>
        <v>α-1 アンチトリプシン;血清トリプシン阻害剤</v>
      </c>
      <c r="H4" s="3" t="str">
        <f ca="1">IFERROR(__xludf.DUMMYFUNCTION("googletranslate(E4,""en"",""ja"")"),"生物学的標本中のα-1 アンチトリプシンの測定。")</f>
        <v>生物学的標本中のα-1 アンチトリプシンの測定。</v>
      </c>
      <c r="I4" s="3" t="str">
        <f ca="1">IFERROR(__xludf.DUMMYFUNCTION("googletranslate(F4,""en"",""ja"")"),"α-1 アンチトリプシンの測定")</f>
        <v>α-1 アンチトリプシンの測定</v>
      </c>
    </row>
    <row r="5" spans="1:9" ht="45">
      <c r="A5" s="3" t="s">
        <v>6</v>
      </c>
      <c r="B5" s="3" t="s">
        <v>20</v>
      </c>
      <c r="C5" s="3" t="s">
        <v>21</v>
      </c>
      <c r="D5" s="3" t="s">
        <v>21</v>
      </c>
      <c r="E5" s="3" t="s">
        <v>22</v>
      </c>
      <c r="F5" s="3" t="s">
        <v>23</v>
      </c>
      <c r="G5" s="3" t="str">
        <f ca="1">IFERROR(__xludf.DUMMYFUNCTION("googletranslate(D5,""en"",""ja"")"),"α-1 ミクログロブリンの排泄率")</f>
        <v>α-1 ミクログロブリンの排泄率</v>
      </c>
      <c r="H5" s="3" t="str">
        <f ca="1">IFERROR(__xludf.DUMMYFUNCTION("googletranslate(E5,""en"",""ja"")"),"規定の時間 (例: 1 時間) にわたって生物学的検体中に排泄されるアルファ-1 ミクログロブリンの量の測定。")</f>
        <v>規定の時間 (例: 1 時間) にわたって生物学的検体中に排泄されるアルファ-1 ミクログロブリンの量の測定。</v>
      </c>
      <c r="I5" s="3" t="str">
        <f ca="1">IFERROR(__xludf.DUMMYFUNCTION("googletranslate(F5,""en"",""ja"")"),"α-1 ミクログロブリン排泄率測定")</f>
        <v>α-1 ミクログロブリン排泄率測定</v>
      </c>
    </row>
    <row r="6" spans="1:9" ht="45">
      <c r="A6" s="3" t="s">
        <v>6</v>
      </c>
      <c r="B6" s="3" t="s">
        <v>24</v>
      </c>
      <c r="C6" s="3" t="s">
        <v>25</v>
      </c>
      <c r="D6" s="3" t="s">
        <v>25</v>
      </c>
      <c r="E6" s="3" t="s">
        <v>26</v>
      </c>
      <c r="F6" s="3" t="s">
        <v>27</v>
      </c>
      <c r="G6" s="3" t="str">
        <f ca="1">IFERROR(__xludf.DUMMYFUNCTION("googletranslate(D6,""en"",""ja"")"),"アルファ-1 ミクログロブリン/クレアチニン")</f>
        <v>アルファ-1 ミクログロブリン/クレアチニン</v>
      </c>
      <c r="H6" s="3" t="str">
        <f ca="1">IFERROR(__xludf.DUMMYFUNCTION("googletranslate(E6,""en"",""ja"")"),"生物学的標本中のクレアチニンに対するアルファ-1 ミクログロブリンの相対測定値 (比率またはパーセンテージ)。")</f>
        <v>生物学的標本中のクレアチニンに対するアルファ-1 ミクログロブリンの相対測定値 (比率またはパーセンテージ)。</v>
      </c>
      <c r="I6" s="3" t="str">
        <f ca="1">IFERROR(__xludf.DUMMYFUNCTION("googletranslate(F6,""en"",""ja"")"),"アルファ-1 ミクログロブリンとクレアチニンの比率の測定")</f>
        <v>アルファ-1 ミクログロブリンとクレアチニンの比率の測定</v>
      </c>
    </row>
    <row r="7" spans="1:9" ht="30">
      <c r="A7" s="3" t="s">
        <v>6</v>
      </c>
      <c r="B7" s="3" t="s">
        <v>28</v>
      </c>
      <c r="C7" s="3" t="s">
        <v>29</v>
      </c>
      <c r="D7" s="3" t="s">
        <v>30</v>
      </c>
      <c r="E7" s="3" t="s">
        <v>31</v>
      </c>
      <c r="F7" s="3" t="s">
        <v>32</v>
      </c>
      <c r="G7" s="3" t="str">
        <f ca="1">IFERROR(__xludf.DUMMYFUNCTION("googletranslate(D7,""en"",""ja"")"),"アルファ-1 ミクログロブリン。プロテインHC")</f>
        <v>アルファ-1 ミクログロブリン。プロテインHC</v>
      </c>
      <c r="H7" s="3" t="str">
        <f ca="1">IFERROR(__xludf.DUMMYFUNCTION("googletranslate(E7,""en"",""ja"")"),"生物学的標本中のアルファ-1 ミクログロブリンの測定。")</f>
        <v>生物学的標本中のアルファ-1 ミクログロブリンの測定。</v>
      </c>
      <c r="I7" s="3" t="str">
        <f ca="1">IFERROR(__xludf.DUMMYFUNCTION("googletranslate(F7,""en"",""ja"")"),"α-1 ミクログロブリンの測定")</f>
        <v>α-1 ミクログロブリンの測定</v>
      </c>
    </row>
    <row r="8" spans="1:9" ht="45">
      <c r="A8" s="3" t="s">
        <v>33</v>
      </c>
      <c r="B8" s="3" t="s">
        <v>34</v>
      </c>
      <c r="C8" s="3" t="s">
        <v>35</v>
      </c>
      <c r="D8" s="3" t="s">
        <v>35</v>
      </c>
      <c r="E8" s="3" t="s">
        <v>36</v>
      </c>
      <c r="F8" s="3" t="s">
        <v>37</v>
      </c>
      <c r="G8" s="3" t="str">
        <f ca="1">IFERROR(__xludf.DUMMYFUNCTION("googletranslate(D8,""en"",""ja"")"),"A260/A230比")</f>
        <v>A260/A230比</v>
      </c>
      <c r="H8" s="3" t="str">
        <f ca="1">IFERROR(__xludf.DUMMYFUNCTION("googletranslate(E8,""en"",""ja"")"),"核酸サンプルの 260nm および 230nm における吸光度の比を測定することによって測定される核酸純度の評価。")</f>
        <v>核酸サンプルの 260nm および 230nm における吸光度の比を測定することによって測定される核酸純度の評価。</v>
      </c>
      <c r="I8" s="3" t="str">
        <f ca="1">IFERROR(__xludf.DUMMYFUNCTION("googletranslate(F8,""en"",""ja"")"),"A260とA230の比率")</f>
        <v>A260とA230の比率</v>
      </c>
    </row>
    <row r="9" spans="1:9" ht="45">
      <c r="A9" s="3" t="s">
        <v>33</v>
      </c>
      <c r="B9" s="3" t="s">
        <v>38</v>
      </c>
      <c r="C9" s="3" t="s">
        <v>39</v>
      </c>
      <c r="D9" s="3" t="s">
        <v>39</v>
      </c>
      <c r="E9" s="3" t="s">
        <v>40</v>
      </c>
      <c r="F9" s="3" t="s">
        <v>41</v>
      </c>
      <c r="G9" s="3" t="str">
        <f ca="1">IFERROR(__xludf.DUMMYFUNCTION("googletranslate(D9,""en"",""ja"")"),"A260/A280比")</f>
        <v>A260/A280比</v>
      </c>
      <c r="H9" s="3" t="str">
        <f ca="1">IFERROR(__xludf.DUMMYFUNCTION("googletranslate(E9,""en"",""ja"")"),"核酸サンプルの 260nm および 280nm における吸光度の比を測定することによって測定される核酸純度の評価。")</f>
        <v>核酸サンプルの 260nm および 280nm における吸光度の比を測定することによって測定される核酸純度の評価。</v>
      </c>
      <c r="I9" s="3" t="str">
        <f ca="1">IFERROR(__xludf.DUMMYFUNCTION("googletranslate(F9,""en"",""ja"")"),"A260 と A280 の比率")</f>
        <v>A260 と A280 の比率</v>
      </c>
    </row>
    <row r="10" spans="1:9" ht="30">
      <c r="A10" s="3" t="s">
        <v>6</v>
      </c>
      <c r="B10" s="3" t="s">
        <v>42</v>
      </c>
      <c r="C10" s="3" t="s">
        <v>43</v>
      </c>
      <c r="D10" s="3" t="s">
        <v>43</v>
      </c>
      <c r="E10" s="3" t="s">
        <v>44</v>
      </c>
      <c r="F10" s="3" t="s">
        <v>45</v>
      </c>
      <c r="G10" s="3" t="str">
        <f ca="1">IFERROR(__xludf.DUMMYFUNCTION("googletranslate(D10,""en"",""ja"")"),"アルファ-2 マクログロブリン")</f>
        <v>アルファ-2 マクログロブリン</v>
      </c>
      <c r="H10" s="3" t="str">
        <f ca="1">IFERROR(__xludf.DUMMYFUNCTION("googletranslate(E10,""en"",""ja"")"),"生物学的標本中のアルファ-2 マクログロブリンの測定。")</f>
        <v>生物学的標本中のアルファ-2 マクログロブリンの測定。</v>
      </c>
      <c r="I10" s="3" t="str">
        <f ca="1">IFERROR(__xludf.DUMMYFUNCTION("googletranslate(F10,""en"",""ja"")"),"α-2 マクログロブリンの測定")</f>
        <v>α-2 マクログロブリンの測定</v>
      </c>
    </row>
    <row r="11" spans="1:9" ht="45">
      <c r="A11" s="3" t="s">
        <v>6</v>
      </c>
      <c r="B11" s="3" t="s">
        <v>46</v>
      </c>
      <c r="C11" s="3" t="s">
        <v>47</v>
      </c>
      <c r="D11" s="3" t="s">
        <v>48</v>
      </c>
      <c r="E11" s="3" t="s">
        <v>49</v>
      </c>
      <c r="F11" s="3" t="s">
        <v>50</v>
      </c>
      <c r="G11" s="3" t="str">
        <f ca="1">IFERROR(__xludf.DUMMYFUNCTION("googletranslate(D11,""en"",""ja"")"),"7-アルファヒドロキシ-4-コレステン-3-オン; 7-α-ヒドロキシ-4-コレステン-3-オン")</f>
        <v>7-アルファヒドロキシ-4-コレステン-3-オン; 7-α-ヒドロキシ-4-コレステン-3-オン</v>
      </c>
      <c r="H11" s="3" t="str">
        <f ca="1">IFERROR(__xludf.DUMMYFUNCTION("googletranslate(E11,""en"",""ja"")"),"生物学的標本中の 7-α-ヒドロキシ-4-コレステン-3-オンの測定。")</f>
        <v>生物学的標本中の 7-α-ヒドロキシ-4-コレステン-3-オンの測定。</v>
      </c>
      <c r="I11" s="3" t="str">
        <f ca="1">IFERROR(__xludf.DUMMYFUNCTION("googletranslate(F11,""en"",""ja"")"),"7-α-ヒドロキシ-4-コレステン-3-オンの測定")</f>
        <v>7-α-ヒドロキシ-4-コレステン-3-オンの測定</v>
      </c>
    </row>
    <row r="12" spans="1:9" ht="45">
      <c r="A12" s="3" t="s">
        <v>51</v>
      </c>
      <c r="B12" s="3" t="s">
        <v>52</v>
      </c>
      <c r="C12" s="3" t="s">
        <v>53</v>
      </c>
      <c r="D12" s="3" t="s">
        <v>54</v>
      </c>
      <c r="E12" s="3" t="s">
        <v>55</v>
      </c>
      <c r="F12" s="3" t="s">
        <v>56</v>
      </c>
      <c r="G12" s="3" t="str">
        <f ca="1">IFERROR(__xludf.DUMMYFUNCTION("googletranslate(D12,""en"",""ja"")"),"2-アミノ-9H-ピリド[2,3-b]インドール;アルファC。 A-アルファ-C")</f>
        <v>2-アミノ-9H-ピリド[2,3-b]インドール;アルファC。 A-アルファ-C</v>
      </c>
      <c r="H12" s="3" t="str">
        <f ca="1">IFERROR(__xludf.DUMMYFUNCTION("googletranslate(E12,""en"",""ja"")"),"検体中の 2-アミノ-9h-ピリド[2,3-b]インドールの測定。")</f>
        <v>検体中の 2-アミノ-9h-ピリド[2,3-b]インドールの測定。</v>
      </c>
      <c r="I12" s="3" t="str">
        <f ca="1">IFERROR(__xludf.DUMMYFUNCTION("googletranslate(F12,""en"",""ja"")"),"2-アミノ-9H-ピリド[2,3-b]インドールの測定")</f>
        <v>2-アミノ-9H-ピリド[2,3-b]インドールの測定</v>
      </c>
    </row>
    <row r="13" spans="1:9" ht="30">
      <c r="A13" s="3" t="s">
        <v>6</v>
      </c>
      <c r="B13" s="3" t="s">
        <v>57</v>
      </c>
      <c r="C13" s="3" t="s">
        <v>58</v>
      </c>
      <c r="D13" s="3" t="s">
        <v>59</v>
      </c>
      <c r="E13" s="3" t="s">
        <v>60</v>
      </c>
      <c r="F13" s="3" t="s">
        <v>61</v>
      </c>
      <c r="G13" s="3" t="str">
        <f ca="1">IFERROR(__xludf.DUMMYFUNCTION("googletranslate(D13,""en"",""ja"")"),"α-アミノアジピン酸; α-アミノアジピン酸")</f>
        <v>α-アミノアジピン酸; α-アミノアジピン酸</v>
      </c>
      <c r="H13" s="3" t="str">
        <f ca="1">IFERROR(__xludf.DUMMYFUNCTION("googletranslate(E13,""en"",""ja"")"),"生物学的標本中のα-アミノアジピン酸の測定。")</f>
        <v>生物学的標本中のα-アミノアジピン酸の測定。</v>
      </c>
      <c r="I13" s="3" t="str">
        <f ca="1">IFERROR(__xludf.DUMMYFUNCTION("googletranslate(F13,""en"",""ja"")"),"α-アミノアジピン酸の測定")</f>
        <v>α-アミノアジピン酸の測定</v>
      </c>
    </row>
    <row r="14" spans="1:9" ht="30">
      <c r="A14" s="3" t="s">
        <v>6</v>
      </c>
      <c r="B14" s="3" t="s">
        <v>62</v>
      </c>
      <c r="C14" s="3" t="s">
        <v>63</v>
      </c>
      <c r="D14" s="3" t="s">
        <v>64</v>
      </c>
      <c r="E14" s="3" t="s">
        <v>65</v>
      </c>
      <c r="F14" s="3" t="s">
        <v>66</v>
      </c>
      <c r="G14" s="3" t="str">
        <f ca="1">IFERROR(__xludf.DUMMYFUNCTION("googletranslate(D14,""en"",""ja"")"),"α-アミノ酪酸; α-アミノ酪酸;ホモアラニン")</f>
        <v>α-アミノ酪酸; α-アミノ酪酸;ホモアラニン</v>
      </c>
      <c r="H14" s="3" t="str">
        <f ca="1">IFERROR(__xludf.DUMMYFUNCTION("googletranslate(E14,""en"",""ja"")"),"生物学的標本中のα-アミノ酪酸の測定。")</f>
        <v>生物学的標本中のα-アミノ酪酸の測定。</v>
      </c>
      <c r="I14" s="3" t="str">
        <f ca="1">IFERROR(__xludf.DUMMYFUNCTION("googletranslate(F14,""en"",""ja"")"),"α-アミノ酪酸の測定")</f>
        <v>α-アミノ酪酸の測定</v>
      </c>
    </row>
    <row r="15" spans="1:9" ht="30">
      <c r="A15" s="3" t="s">
        <v>67</v>
      </c>
      <c r="B15" s="3" t="s">
        <v>68</v>
      </c>
      <c r="C15" s="3" t="s">
        <v>69</v>
      </c>
      <c r="D15" s="3" t="s">
        <v>69</v>
      </c>
      <c r="E15" s="3" t="s">
        <v>70</v>
      </c>
      <c r="F15" s="3" t="s">
        <v>71</v>
      </c>
      <c r="G15" s="3" t="str">
        <f ca="1">IFERROR(__xludf.DUMMYFUNCTION("googletranslate(D15,""en"",""ja"")"),"アシネトバクター・アニトラトゥス")</f>
        <v>アシネトバクター・アニトラトゥス</v>
      </c>
      <c r="H15" s="3" t="str">
        <f ca="1">IFERROR(__xludf.DUMMYFUNCTION("googletranslate(E15,""en"",""ja"")"),"生物学的標本中のアシネトバクター・アニトラタスの測定。")</f>
        <v>生物学的標本中のアシネトバクター・アニトラタスの測定。</v>
      </c>
      <c r="I15" s="3" t="str">
        <f ca="1">IFERROR(__xludf.DUMMYFUNCTION("googletranslate(F15,""en"",""ja"")"),"アシネトバクター・アニトラタスの測定")</f>
        <v>アシネトバクター・アニトラタスの測定</v>
      </c>
    </row>
    <row r="16" spans="1:9" ht="30">
      <c r="A16" s="3" t="s">
        <v>6</v>
      </c>
      <c r="B16" s="3" t="s">
        <v>72</v>
      </c>
      <c r="C16" s="3" t="s">
        <v>73</v>
      </c>
      <c r="D16" s="3" t="s">
        <v>73</v>
      </c>
      <c r="E16" s="3" t="s">
        <v>74</v>
      </c>
      <c r="F16" s="3" t="s">
        <v>75</v>
      </c>
      <c r="G16" s="3" t="str">
        <f ca="1">IFERROR(__xludf.DUMMYFUNCTION("googletranslate(D16,""en"",""ja"")"),"アラニンアミノペプチダーゼ")</f>
        <v>アラニンアミノペプチダーゼ</v>
      </c>
      <c r="H16" s="3" t="str">
        <f ca="1">IFERROR(__xludf.DUMMYFUNCTION("googletranslate(E16,""en"",""ja"")"),"生物学的標本中のアラニンアミノペプチダーゼの測定。")</f>
        <v>生物学的標本中のアラニンアミノペプチダーゼの測定。</v>
      </c>
      <c r="I16" s="3" t="str">
        <f ca="1">IFERROR(__xludf.DUMMYFUNCTION("googletranslate(F16,""en"",""ja"")"),"アラニンアミノペプチダーゼの測定")</f>
        <v>アラニンアミノペプチダーゼの測定</v>
      </c>
    </row>
    <row r="17" spans="1:9" ht="30">
      <c r="A17" s="3" t="s">
        <v>6</v>
      </c>
      <c r="B17" s="3" t="s">
        <v>76</v>
      </c>
      <c r="C17" s="3" t="s">
        <v>77</v>
      </c>
      <c r="D17" s="3" t="s">
        <v>78</v>
      </c>
      <c r="E17" s="3" t="s">
        <v>79</v>
      </c>
      <c r="F17" s="3" t="s">
        <v>80</v>
      </c>
      <c r="G17" s="3" t="str">
        <f ca="1">IFERROR(__xludf.DUMMYFUNCTION("googletranslate(D17,""en"",""ja"")"),"AAT Zポリマー;アルファ-1 アンチトリプシン Z ポリマー")</f>
        <v>AAT Zポリマー;アルファ-1 アンチトリプシン Z ポリマー</v>
      </c>
      <c r="H17" s="3" t="str">
        <f ca="1">IFERROR(__xludf.DUMMYFUNCTION("googletranslate(E17,""en"",""ja"")"),"生物学的標本中の Z バリアント アルファ-1 アンチトリプシンのポリマーの測定。")</f>
        <v>生物学的標本中の Z バリアント アルファ-1 アンチトリプシンのポリマーの測定。</v>
      </c>
      <c r="I17" s="3" t="str">
        <f ca="1">IFERROR(__xludf.DUMMYFUNCTION("googletranslate(F17,""en"",""ja"")"),"アルファ-1 アンチトリプシン Z ポリマーの測定")</f>
        <v>アルファ-1 アンチトリプシン Z ポリマーの測定</v>
      </c>
    </row>
    <row r="18" spans="1:9" ht="45">
      <c r="A18" s="3" t="s">
        <v>81</v>
      </c>
      <c r="B18" s="3" t="s">
        <v>82</v>
      </c>
      <c r="C18" s="3" t="s">
        <v>83</v>
      </c>
      <c r="D18" s="3" t="s">
        <v>83</v>
      </c>
      <c r="E18" s="3" t="s">
        <v>84</v>
      </c>
      <c r="F18" s="3" t="s">
        <v>83</v>
      </c>
      <c r="G18" s="3" t="str">
        <f ca="1">IFERROR(__xludf.DUMMYFUNCTION("googletranslate(D18,""en"",""ja"")"),"大動脈増大指数")</f>
        <v>大動脈増大指数</v>
      </c>
      <c r="H18" s="3" t="str">
        <f ca="1">IFERROR(__xludf.DUMMYFUNCTION("googletranslate(E18,""en"",""ja"")"),"増大圧を大動脈脈圧（大動脈収縮期圧から大動脈拡張期圧を引いたもの）で割った値に100を掛けた値で、パーセントで表されます。")</f>
        <v>増大圧を大動脈脈圧（大動脈収縮期圧から大動脈拡張期圧を引いたもの）で割った値に100を掛けた値で、パーセントで表されます。</v>
      </c>
      <c r="I18" s="3" t="str">
        <f ca="1">IFERROR(__xludf.DUMMYFUNCTION("googletranslate(F18,""en"",""ja"")"),"大動脈増大指数")</f>
        <v>大動脈増大指数</v>
      </c>
    </row>
    <row r="19" spans="1:9" ht="30">
      <c r="A19" s="3" t="s">
        <v>81</v>
      </c>
      <c r="B19" s="3" t="s">
        <v>85</v>
      </c>
      <c r="C19" s="3" t="s">
        <v>86</v>
      </c>
      <c r="D19" s="3" t="s">
        <v>86</v>
      </c>
      <c r="E19" s="3" t="s">
        <v>87</v>
      </c>
      <c r="F19" s="3" t="s">
        <v>86</v>
      </c>
      <c r="G19" s="3" t="str">
        <f ca="1">IFERROR(__xludf.DUMMYFUNCTION("googletranslate(D19,""en"",""ja"")"),"75bpmでの大動脈拡張指数")</f>
        <v>75bpmでの大動脈拡張指数</v>
      </c>
      <c r="H19" s="3" t="str">
        <f ca="1">IFERROR(__xludf.DUMMYFUNCTION("googletranslate(E19,""en"",""ja"")"),"大動脈増大指数は、毎分 75 拍の心拍数に正規化されました。")</f>
        <v>大動脈増大指数は、毎分 75 拍の心拍数に正規化されました。</v>
      </c>
      <c r="I19" s="3" t="str">
        <f ca="1">IFERROR(__xludf.DUMMYFUNCTION("googletranslate(F19,""en"",""ja"")"),"75bpmでの大動脈拡張指数")</f>
        <v>75bpmでの大動脈拡張指数</v>
      </c>
    </row>
    <row r="20" spans="1:9" ht="75">
      <c r="A20" s="3" t="s">
        <v>81</v>
      </c>
      <c r="B20" s="3" t="s">
        <v>88</v>
      </c>
      <c r="C20" s="3" t="s">
        <v>89</v>
      </c>
      <c r="D20" s="3" t="s">
        <v>89</v>
      </c>
      <c r="E20" s="3" t="s">
        <v>90</v>
      </c>
      <c r="F20" s="3" t="s">
        <v>89</v>
      </c>
      <c r="G20" s="3" t="str">
        <f ca="1">IFERROR(__xludf.DUMMYFUNCTION("googletranslate(D20,""en"",""ja"")"),"大動脈拡張圧")</f>
        <v>大動脈拡張圧</v>
      </c>
      <c r="H20" s="3" t="str">
        <f ca="1">IFERROR(__xludf.DUMMYFUNCTION("googletranslate(E20,""en"",""ja"")"),"末梢動脈インピーダンス不一致部位 (P2) からの圧力波反射に起因する大動脈波形の 2 番目の圧力ピークと、心室駆出に起因する大動脈波形の最初の圧力ピークとの差。")</f>
        <v>末梢動脈インピーダンス不一致部位 (P2) からの圧力波反射に起因する大動脈波形の 2 番目の圧力ピークと、心室駆出に起因する大動脈波形の最初の圧力ピークとの差。</v>
      </c>
      <c r="I20" s="3" t="str">
        <f ca="1">IFERROR(__xludf.DUMMYFUNCTION("googletranslate(F20,""en"",""ja"")"),"大動脈拡張圧")</f>
        <v>大動脈拡張圧</v>
      </c>
    </row>
    <row r="21" spans="1:9" ht="30">
      <c r="A21" s="3" t="s">
        <v>81</v>
      </c>
      <c r="B21" s="3" t="s">
        <v>91</v>
      </c>
      <c r="C21" s="3" t="s">
        <v>92</v>
      </c>
      <c r="D21" s="3" t="s">
        <v>92</v>
      </c>
      <c r="E21" s="3" t="s">
        <v>93</v>
      </c>
      <c r="F21" s="3" t="s">
        <v>94</v>
      </c>
      <c r="G21" s="3" t="str">
        <f ca="1">IFERROR(__xludf.DUMMYFUNCTION("googletranslate(D21,""en"",""ja"")"),"大動脈拡張圧ピーク P1")</f>
        <v>大動脈拡張圧ピーク P1</v>
      </c>
      <c r="H21" s="3" t="str">
        <f ca="1">IFERROR(__xludf.DUMMYFUNCTION("googletranslate(E21,""en"",""ja"")"),"心室駆出に続発する大動脈波形の最初の圧力ピーク。")</f>
        <v>心室駆出に続発する大動脈波形の最初の圧力ピーク。</v>
      </c>
      <c r="I21" s="3" t="str">
        <f ca="1">IFERROR(__xludf.DUMMYFUNCTION("googletranslate(F21,""en"",""ja"")"),"増強圧力点 P1")</f>
        <v>増強圧力点 P1</v>
      </c>
    </row>
    <row r="22" spans="1:9" ht="30">
      <c r="A22" s="3" t="s">
        <v>81</v>
      </c>
      <c r="B22" s="3" t="s">
        <v>95</v>
      </c>
      <c r="C22" s="3" t="s">
        <v>96</v>
      </c>
      <c r="D22" s="3" t="s">
        <v>96</v>
      </c>
      <c r="E22" s="3" t="s">
        <v>97</v>
      </c>
      <c r="F22" s="3" t="s">
        <v>98</v>
      </c>
      <c r="G22" s="3" t="str">
        <f ca="1">IFERROR(__xludf.DUMMYFUNCTION("googletranslate(D22,""en"",""ja"")"),"大動脈拡張圧ピーク P2")</f>
        <v>大動脈拡張圧ピーク P2</v>
      </c>
      <c r="H22" s="3" t="str">
        <f ca="1">IFERROR(__xludf.DUMMYFUNCTION("googletranslate(E22,""en"",""ja"")"),"末梢からの圧力波反射に起因する大動脈波形の 2 番目の圧力ピーク。")</f>
        <v>末梢からの圧力波反射に起因する大動脈波形の 2 番目の圧力ピーク。</v>
      </c>
      <c r="I22" s="3" t="str">
        <f ca="1">IFERROR(__xludf.DUMMYFUNCTION("googletranslate(F22,""en"",""ja"")"),"増強圧力点 P2")</f>
        <v>増強圧力点 P2</v>
      </c>
    </row>
    <row r="23" spans="1:9" ht="45">
      <c r="A23" s="3" t="s">
        <v>6</v>
      </c>
      <c r="B23" s="3" t="s">
        <v>99</v>
      </c>
      <c r="C23" s="3" t="s">
        <v>100</v>
      </c>
      <c r="D23" s="3" t="s">
        <v>100</v>
      </c>
      <c r="E23" s="3" t="s">
        <v>101</v>
      </c>
      <c r="F23" s="3" t="s">
        <v>102</v>
      </c>
      <c r="G23" s="3" t="str">
        <f ca="1">IFERROR(__xludf.DUMMYFUNCTION("googletranslate(D23,""en"",""ja"")"),"アミロイド ベータ 1-42/アミロイド ベータ 1-40")</f>
        <v>アミロイド ベータ 1-42/アミロイド ベータ 1-40</v>
      </c>
      <c r="H23" s="3" t="str">
        <f ca="1">IFERROR(__xludf.DUMMYFUNCTION("googletranslate(E23,""en"",""ja"")"),"生物学的標本におけるアミロイド ベータ 1-40 に対するアミロイド ベータ 1-42 の相対測定値 (比)。")</f>
        <v>生物学的標本におけるアミロイド ベータ 1-40 に対するアミロイド ベータ 1-42 の相対測定値 (比)。</v>
      </c>
      <c r="I23" s="3" t="str">
        <f ca="1">IFERROR(__xludf.DUMMYFUNCTION("googletranslate(F23,""en"",""ja"")"),"アミロイド ベータ 1-42 とアミロイド ベータ 1-40 の比率の測定")</f>
        <v>アミロイド ベータ 1-42 とアミロイド ベータ 1-40 の比率の測定</v>
      </c>
    </row>
    <row r="24" spans="1:9" ht="30">
      <c r="A24" s="3" t="s">
        <v>103</v>
      </c>
      <c r="B24" s="3" t="s">
        <v>104</v>
      </c>
      <c r="C24" s="3" t="s">
        <v>105</v>
      </c>
      <c r="D24" s="3" t="s">
        <v>106</v>
      </c>
      <c r="E24" s="3" t="s">
        <v>107</v>
      </c>
      <c r="F24" s="3" t="s">
        <v>108</v>
      </c>
      <c r="G24" s="3" t="str">
        <f ca="1">IFERROR(__xludf.DUMMYFUNCTION("googletranslate(D24,""en"",""ja"")"),"Abn芽細胞;異常な芽細胞")</f>
        <v>Abn芽細胞;異常な芽細胞</v>
      </c>
      <c r="H24" s="3" t="str">
        <f ca="1">IFERROR(__xludf.DUMMYFUNCTION("googletranslate(E24,""en"",""ja"")"),"生物学的標本中の異常な芽細胞の測定。")</f>
        <v>生物学的標本中の異常な芽細胞の測定。</v>
      </c>
      <c r="I24" s="3" t="str">
        <f ca="1">IFERROR(__xludf.DUMMYFUNCTION("googletranslate(F24,""en"",""ja"")"),"異常な爆発回数")</f>
        <v>異常な爆発回数</v>
      </c>
    </row>
    <row r="25" spans="1:9" ht="30">
      <c r="A25" s="3" t="s">
        <v>103</v>
      </c>
      <c r="B25" s="3" t="s">
        <v>109</v>
      </c>
      <c r="C25" s="3" t="s">
        <v>110</v>
      </c>
      <c r="D25" s="3" t="s">
        <v>111</v>
      </c>
      <c r="E25" s="3" t="s">
        <v>112</v>
      </c>
      <c r="F25" s="3" t="s">
        <v>113</v>
      </c>
      <c r="G25" s="3" t="str">
        <f ca="1">IFERROR(__xludf.DUMMYFUNCTION("googletranslate(D25,""en"",""ja"")"),"Abn芽球細胞/総細胞数;異常な芽球細胞/総細胞数")</f>
        <v>Abn芽球細胞/総細胞数;異常な芽球細胞/総細胞数</v>
      </c>
      <c r="H25" s="3" t="str">
        <f ca="1">IFERROR(__xludf.DUMMYFUNCTION("googletranslate(E25,""en"",""ja"")"),"生物学的標本の全細胞に対する異常芽球細胞の相対的な測定値 (比率またはパーセンテージ)。")</f>
        <v>生物学的標本の全細胞に対する異常芽球細胞の相対的な測定値 (比率またはパーセンテージ)。</v>
      </c>
      <c r="I25" s="3" t="str">
        <f ca="1">IFERROR(__xludf.DUMMYFUNCTION("googletranslate(F25,""en"",""ja"")"),"異常な芽細胞対総細胞比の測定")</f>
        <v>異常な芽細胞対総細胞比の測定</v>
      </c>
    </row>
    <row r="26" spans="1:9" ht="30">
      <c r="A26" s="3" t="s">
        <v>6</v>
      </c>
      <c r="B26" s="3" t="s">
        <v>114</v>
      </c>
      <c r="C26" s="3" t="s">
        <v>115</v>
      </c>
      <c r="D26" s="3" t="s">
        <v>115</v>
      </c>
      <c r="E26" s="3" t="s">
        <v>116</v>
      </c>
      <c r="F26" s="3" t="s">
        <v>117</v>
      </c>
      <c r="G26" s="3" t="str">
        <f ca="1">IFERROR(__xludf.DUMMYFUNCTION("googletranslate(D26,""en"",""ja"")"),"AB-フビナカ")</f>
        <v>AB-フビナカ</v>
      </c>
      <c r="H26" s="3" t="str">
        <f ca="1">IFERROR(__xludf.DUMMYFUNCTION("googletranslate(E26,""en"",""ja"")"),"生物学的標本中の合成カンナビノイド AB-FUBINACA の測定。")</f>
        <v>生物学的標本中の合成カンナビノイド AB-FUBINACA の測定。</v>
      </c>
      <c r="I26" s="3" t="str">
        <f ca="1">IFERROR(__xludf.DUMMYFUNCTION("googletranslate(F26,""en"",""ja"")"),"AB-FUBINACA測定")</f>
        <v>AB-FUBINACA測定</v>
      </c>
    </row>
    <row r="27" spans="1:9" ht="45">
      <c r="A27" s="3" t="s">
        <v>118</v>
      </c>
      <c r="B27" s="3" t="s">
        <v>119</v>
      </c>
      <c r="C27" s="3" t="s">
        <v>120</v>
      </c>
      <c r="D27" s="3" t="s">
        <v>120</v>
      </c>
      <c r="E27" s="3" t="s">
        <v>121</v>
      </c>
      <c r="F27" s="3" t="s">
        <v>120</v>
      </c>
      <c r="G27" s="3" t="str">
        <f ca="1">IFERROR(__xludf.DUMMYFUNCTION("googletranslate(D27,""en"",""ja"")"),"足首上腕指数")</f>
        <v>足首上腕指数</v>
      </c>
      <c r="H27" s="3" t="str">
        <f ca="1">IFERROR(__xludf.DUMMYFUNCTION("googletranslate(E27,""en"",""ja"")"),"足首の収縮期血圧と上腕の収縮期血圧の比。下肢の動脈不全を評価するために使用されます。")</f>
        <v>足首の収縮期血圧と上腕の収縮期血圧の比。下肢の動脈不全を評価するために使用されます。</v>
      </c>
      <c r="I27" s="3" t="str">
        <f ca="1">IFERROR(__xludf.DUMMYFUNCTION("googletranslate(F27,""en"",""ja"")"),"足首上腕指数")</f>
        <v>足首上腕指数</v>
      </c>
    </row>
    <row r="28" spans="1:9" ht="30">
      <c r="A28" s="3" t="s">
        <v>6</v>
      </c>
      <c r="B28" s="3" t="s">
        <v>122</v>
      </c>
      <c r="C28" s="3" t="s">
        <v>123</v>
      </c>
      <c r="D28" s="3" t="s">
        <v>123</v>
      </c>
      <c r="E28" s="3" t="s">
        <v>124</v>
      </c>
      <c r="F28" s="3" t="s">
        <v>125</v>
      </c>
      <c r="G28" s="3" t="str">
        <f ca="1">IFERROR(__xludf.DUMMYFUNCTION("googletranslate(D28,""en"",""ja"")"),"異常な細胞")</f>
        <v>異常な細胞</v>
      </c>
      <c r="H28" s="3" t="str">
        <f ca="1">IFERROR(__xludf.DUMMYFUNCTION("googletranslate(E28,""en"",""ja"")"),"生物学的標本中の異常細胞の測定。")</f>
        <v>生物学的標本中の異常細胞の測定。</v>
      </c>
      <c r="I28" s="3" t="str">
        <f ca="1">IFERROR(__xludf.DUMMYFUNCTION("googletranslate(F28,""en"",""ja"")"),"異常な細胞数")</f>
        <v>異常な細胞数</v>
      </c>
    </row>
    <row r="29" spans="1:9" ht="30">
      <c r="A29" s="3" t="s">
        <v>6</v>
      </c>
      <c r="B29" s="3" t="s">
        <v>126</v>
      </c>
      <c r="C29" s="3" t="s">
        <v>127</v>
      </c>
      <c r="D29" s="3" t="s">
        <v>127</v>
      </c>
      <c r="E29" s="3" t="s">
        <v>128</v>
      </c>
      <c r="F29" s="3" t="s">
        <v>129</v>
      </c>
      <c r="G29" s="3" t="str">
        <f ca="1">IFERROR(__xludf.DUMMYFUNCTION("googletranslate(D29,""en"",""ja"")"),"異常細胞/総細胞数")</f>
        <v>異常細胞/総細胞数</v>
      </c>
      <c r="H29" s="3" t="str">
        <f ca="1">IFERROR(__xludf.DUMMYFUNCTION("googletranslate(E29,""en"",""ja"")"),"生物学的標本の全細胞に対する異常細胞の相対的な測定値 (比率またはパーセンテージ)。")</f>
        <v>生物学的標本の全細胞に対する異常細胞の相対的な測定値 (比率またはパーセンテージ)。</v>
      </c>
      <c r="I29" s="3" t="str">
        <f ca="1">IFERROR(__xludf.DUMMYFUNCTION("googletranslate(F29,""en"",""ja"")"),"総細胞に対する異常細胞の比率の測定")</f>
        <v>総細胞に対する異常細胞の比率の測定</v>
      </c>
    </row>
    <row r="30" spans="1:9" ht="30">
      <c r="A30" s="3" t="s">
        <v>6</v>
      </c>
      <c r="B30" s="3" t="s">
        <v>130</v>
      </c>
      <c r="C30" s="3" t="s">
        <v>131</v>
      </c>
      <c r="D30" s="3" t="s">
        <v>131</v>
      </c>
      <c r="E30" s="3" t="s">
        <v>132</v>
      </c>
      <c r="F30" s="3" t="s">
        <v>133</v>
      </c>
      <c r="G30" s="3" t="str">
        <f ca="1">IFERROR(__xludf.DUMMYFUNCTION("googletranslate(D30,""en"",""ja"")"),"異常細胞・白血球")</f>
        <v>異常細胞・白血球</v>
      </c>
      <c r="H30" s="3" t="str">
        <f ca="1">IFERROR(__xludf.DUMMYFUNCTION("googletranslate(E30,""en"",""ja"")"),"生物学的標本における白血球に対する異常細胞の相対的な測定値 (比率またはパーセンテージ)。")</f>
        <v>生物学的標本における白血球に対する異常細胞の相対的な測定値 (比率またはパーセンテージ)。</v>
      </c>
      <c r="I30" s="3" t="str">
        <f ca="1">IFERROR(__xludf.DUMMYFUNCTION("googletranslate(F30,""en"",""ja"")"),"異常細胞と白血球の比率の測定")</f>
        <v>異常細胞と白血球の比率の測定</v>
      </c>
    </row>
    <row r="31" spans="1:9" ht="45">
      <c r="A31" s="3" t="s">
        <v>6</v>
      </c>
      <c r="B31" s="3" t="s">
        <v>134</v>
      </c>
      <c r="C31" s="3" t="s">
        <v>135</v>
      </c>
      <c r="D31" s="3" t="s">
        <v>135</v>
      </c>
      <c r="E31" s="3" t="s">
        <v>136</v>
      </c>
      <c r="F31" s="3" t="s">
        <v>137</v>
      </c>
      <c r="G31" s="3" t="str">
        <f ca="1">IFERROR(__xludf.DUMMYFUNCTION("googletranslate(D31,""en"",""ja"")"),"ABO血液型")</f>
        <v>ABO血液型</v>
      </c>
      <c r="H31" s="3" t="str">
        <f ca="1">IFERROR(__xludf.DUMMYFUNCTION("googletranslate(E31,""en"",""ja"")"),"赤血球の表面上の A 抗原と B 抗原の存在を検査することにより、個人の血液型を特徴づけます。")</f>
        <v>赤血球の表面上の A 抗原と B 抗原の存在を検査することにより、個人の血液型を特徴づけます。</v>
      </c>
      <c r="I31" s="3" t="str">
        <f ca="1">IFERROR(__xludf.DUMMYFUNCTION("googletranslate(F31,""en"",""ja"")"),"ABO 血液型判定")</f>
        <v>ABO 血液型判定</v>
      </c>
    </row>
    <row r="32" spans="1:9" ht="30">
      <c r="A32" s="3" t="s">
        <v>6</v>
      </c>
      <c r="B32" s="3" t="s">
        <v>138</v>
      </c>
      <c r="C32" s="3" t="s">
        <v>139</v>
      </c>
      <c r="D32" s="3" t="s">
        <v>139</v>
      </c>
      <c r="E32" s="3" t="s">
        <v>140</v>
      </c>
      <c r="F32" s="3" t="s">
        <v>141</v>
      </c>
      <c r="G32" s="3" t="str">
        <f ca="1">IFERROR(__xludf.DUMMYFUNCTION("googletranslate(D32,""en"",""ja"")"),"ABO A1 サブタイプ")</f>
        <v>ABO A1 サブタイプ</v>
      </c>
      <c r="H32" s="3" t="str">
        <f ca="1">IFERROR(__xludf.DUMMYFUNCTION("googletranslate(E32,""en"",""ja"")"),"個人における ABO 血液型 A1 サブタイプの特徴付け。 (NCI)")</f>
        <v>個人における ABO 血液型 A1 サブタイプの特徴付け。 (NCI)</v>
      </c>
      <c r="I32" s="3" t="str">
        <f ca="1">IFERROR(__xludf.DUMMYFUNCTION("googletranslate(F32,""en"",""ja"")"),"ABO A1 サブタイプの決定")</f>
        <v>ABO A1 サブタイプの決定</v>
      </c>
    </row>
    <row r="33" spans="1:9" ht="45">
      <c r="A33" s="3" t="s">
        <v>142</v>
      </c>
      <c r="B33" s="3" t="s">
        <v>143</v>
      </c>
      <c r="C33" s="3" t="s">
        <v>144</v>
      </c>
      <c r="D33" s="3" t="s">
        <v>144</v>
      </c>
      <c r="E33" s="3" t="s">
        <v>145</v>
      </c>
      <c r="F33" s="3" t="s">
        <v>144</v>
      </c>
      <c r="G33" s="3" t="str">
        <f ca="1">IFERROR(__xludf.DUMMYFUNCTION("googletranslate(D33,""en"",""ja"")"),"中絶の数")</f>
        <v>中絶の数</v>
      </c>
      <c r="H33" s="3" t="str">
        <f ca="1">IFERROR(__xludf.DUMMYFUNCTION("googletranslate(E33,""en"",""ja"")"),"自然妊娠中絶（流産）または選択的妊娠中絶があった事例の総数の測定値。")</f>
        <v>自然妊娠中絶（流産）または選択的妊娠中絶があった事例の総数の測定値。</v>
      </c>
      <c r="I33" s="3" t="str">
        <f ca="1">IFERROR(__xludf.DUMMYFUNCTION("googletranslate(F33,""en"",""ja"")"),"中絶の数")</f>
        <v>中絶の数</v>
      </c>
    </row>
    <row r="34" spans="1:9">
      <c r="A34" s="3" t="s">
        <v>51</v>
      </c>
      <c r="B34" s="3" t="s">
        <v>146</v>
      </c>
      <c r="C34" s="3" t="s">
        <v>147</v>
      </c>
      <c r="D34" s="3" t="s">
        <v>148</v>
      </c>
      <c r="E34" s="3" t="s">
        <v>149</v>
      </c>
      <c r="F34" s="3" t="s">
        <v>150</v>
      </c>
      <c r="G34" s="3" t="str">
        <f ca="1">IFERROR(__xludf.DUMMYFUNCTION("googletranslate(D34,""en"",""ja"")"),"4-ABP; 4-アミノビフェニル")</f>
        <v>4-ABP; 4-アミノビフェニル</v>
      </c>
      <c r="H34" s="3" t="str">
        <f ca="1">IFERROR(__xludf.DUMMYFUNCTION("googletranslate(E34,""en"",""ja"")"),"標本中の 4-アミノビフェニルの測定。")</f>
        <v>標本中の 4-アミノビフェニルの測定。</v>
      </c>
      <c r="I34" s="3" t="str">
        <f ca="1">IFERROR(__xludf.DUMMYFUNCTION("googletranslate(F34,""en"",""ja"")"),"4-アミノビフェニルの測定")</f>
        <v>4-アミノビフェニルの測定</v>
      </c>
    </row>
    <row r="35" spans="1:9">
      <c r="A35" s="3" t="s">
        <v>6</v>
      </c>
      <c r="B35" s="3" t="s">
        <v>146</v>
      </c>
      <c r="C35" s="3" t="s">
        <v>147</v>
      </c>
      <c r="D35" s="3" t="s">
        <v>148</v>
      </c>
      <c r="E35" s="3" t="s">
        <v>149</v>
      </c>
      <c r="F35" s="3" t="s">
        <v>150</v>
      </c>
      <c r="G35" s="3" t="str">
        <f ca="1">IFERROR(__xludf.DUMMYFUNCTION("googletranslate(D35,""en"",""ja"")"),"4-ABP; 4-アミノビフェニル")</f>
        <v>4-ABP; 4-アミノビフェニル</v>
      </c>
      <c r="H35" s="3" t="str">
        <f ca="1">IFERROR(__xludf.DUMMYFUNCTION("googletranslate(E35,""en"",""ja"")"),"標本中の 4-アミノビフェニルの測定。")</f>
        <v>標本中の 4-アミノビフェニルの測定。</v>
      </c>
      <c r="I35" s="3" t="str">
        <f ca="1">IFERROR(__xludf.DUMMYFUNCTION("googletranslate(F35,""en"",""ja"")"),"4-アミノビフェニルの測定")</f>
        <v>4-アミノビフェニルの測定</v>
      </c>
    </row>
    <row r="36" spans="1:9" ht="30">
      <c r="A36" s="3" t="s">
        <v>6</v>
      </c>
      <c r="B36" s="3" t="s">
        <v>151</v>
      </c>
      <c r="C36" s="3" t="s">
        <v>152</v>
      </c>
      <c r="D36" s="3" t="s">
        <v>152</v>
      </c>
      <c r="E36" s="3" t="s">
        <v>153</v>
      </c>
      <c r="F36" s="3" t="s">
        <v>154</v>
      </c>
      <c r="G36" s="3" t="str">
        <f ca="1">IFERROR(__xludf.DUMMYFUNCTION("googletranslate(D36,""en"",""ja"")"),"AB-ピナカ")</f>
        <v>AB-ピナカ</v>
      </c>
      <c r="H36" s="3" t="str">
        <f ca="1">IFERROR(__xludf.DUMMYFUNCTION("googletranslate(E36,""en"",""ja"")"),"生物学的標本中の合成カンナビノイド AB-PINACA の測定。")</f>
        <v>生物学的標本中の合成カンナビノイド AB-PINACA の測定。</v>
      </c>
      <c r="I36" s="3" t="str">
        <f ca="1">IFERROR(__xludf.DUMMYFUNCTION("googletranslate(F36,""en"",""ja"")"),"AB-PINACA測定")</f>
        <v>AB-PINACA測定</v>
      </c>
    </row>
    <row r="37" spans="1:9" ht="30">
      <c r="A37" s="3" t="s">
        <v>155</v>
      </c>
      <c r="B37" s="3" t="s">
        <v>156</v>
      </c>
      <c r="C37" s="3" t="s">
        <v>157</v>
      </c>
      <c r="D37" s="3" t="s">
        <v>157</v>
      </c>
      <c r="E37" s="3" t="s">
        <v>158</v>
      </c>
      <c r="F37" s="3" t="s">
        <v>157</v>
      </c>
      <c r="G37" s="3" t="str">
        <f ca="1">IFERROR(__xludf.DUMMYFUNCTION("googletranslate(D37,""en"",""ja"")"),"聴覚脳幹反応")</f>
        <v>聴覚脳幹反応</v>
      </c>
      <c r="H37" s="3" t="str">
        <f ca="1">IFERROR(__xludf.DUMMYFUNCTION("googletranslate(E37,""en"",""ja"")"),"聴覚刺激に反応した聴覚脳幹機能の評価。")</f>
        <v>聴覚刺激に反応した聴覚脳幹機能の評価。</v>
      </c>
      <c r="I37" s="3" t="str">
        <f ca="1">IFERROR(__xludf.DUMMYFUNCTION("googletranslate(F37,""en"",""ja"")"),"聴覚脳幹反応")</f>
        <v>聴覚脳幹反応</v>
      </c>
    </row>
    <row r="38" spans="1:9" ht="45">
      <c r="A38" s="3" t="s">
        <v>159</v>
      </c>
      <c r="B38" s="3" t="s">
        <v>160</v>
      </c>
      <c r="C38" s="3" t="s">
        <v>161</v>
      </c>
      <c r="D38" s="3" t="s">
        <v>162</v>
      </c>
      <c r="E38" s="3" t="s">
        <v>163</v>
      </c>
      <c r="F38" s="3" t="s">
        <v>164</v>
      </c>
      <c r="G38" s="3" t="str">
        <f ca="1">IFERROR(__xludf.DUMMYFUNCTION("googletranslate(D38,""en"",""ja"")"),"ABR Wave I、絶対遅延。聴覚脳幹反応波 I、絶対潜時")</f>
        <v>ABR Wave I、絶対遅延。聴覚脳幹反応波 I、絶対潜時</v>
      </c>
      <c r="H38" s="3" t="str">
        <f ca="1">IFERROR(__xludf.DUMMYFUNCTION("googletranslate(E38,""en"",""ja"")"),"聴覚誘発電位波形の聴覚脳幹反応波 I の絶対潜時の測定値。")</f>
        <v>聴覚誘発電位波形の聴覚脳幹反応波 I の絶対潜時の測定値。</v>
      </c>
      <c r="I38" s="3" t="str">
        <f ca="1">IFERROR(__xludf.DUMMYFUNCTION("googletranslate(F38,""en"",""ja"")"),"聴覚脳幹反応波 I、絶対潜時")</f>
        <v>聴覚脳幹反応波 I、絶対潜時</v>
      </c>
    </row>
    <row r="39" spans="1:9" ht="45">
      <c r="A39" s="3" t="s">
        <v>159</v>
      </c>
      <c r="B39" s="3" t="s">
        <v>165</v>
      </c>
      <c r="C39" s="3" t="s">
        <v>166</v>
      </c>
      <c r="D39" s="3" t="s">
        <v>167</v>
      </c>
      <c r="E39" s="3" t="s">
        <v>168</v>
      </c>
      <c r="F39" s="3" t="s">
        <v>169</v>
      </c>
      <c r="G39" s="3" t="str">
        <f ca="1">IFERROR(__xludf.DUMMYFUNCTION("googletranslate(D39,""en"",""ja"")"),"ABR 波 V、振幅;聴性脳幹反応波 V、振幅")</f>
        <v>ABR 波 V、振幅;聴性脳幹反応波 V、振幅</v>
      </c>
      <c r="H39" s="3" t="str">
        <f ca="1">IFERROR(__xludf.DUMMYFUNCTION("googletranslate(E39,""en"",""ja"")"),"聴覚誘発電位波形の聴覚脳幹反応波 V の大きさまたは高さの測定値。")</f>
        <v>聴覚誘発電位波形の聴覚脳幹反応波 V の大きさまたは高さの測定値。</v>
      </c>
      <c r="I39" s="3" t="str">
        <f ca="1">IFERROR(__xludf.DUMMYFUNCTION("googletranslate(F39,""en"",""ja"")"),"聴性脳幹反応波 V、振幅")</f>
        <v>聴性脳幹反応波 V、振幅</v>
      </c>
    </row>
    <row r="40" spans="1:9" ht="45">
      <c r="A40" s="3" t="s">
        <v>159</v>
      </c>
      <c r="B40" s="3" t="s">
        <v>170</v>
      </c>
      <c r="C40" s="3" t="s">
        <v>171</v>
      </c>
      <c r="D40" s="3" t="s">
        <v>172</v>
      </c>
      <c r="E40" s="3" t="s">
        <v>173</v>
      </c>
      <c r="F40" s="3" t="s">
        <v>174</v>
      </c>
      <c r="G40" s="3" t="str">
        <f ca="1">IFERROR(__xludf.DUMMYFUNCTION("googletranslate(D40,""en"",""ja"")"),"ABR Wave V、絶対遅延。聴覚脳幹反応波 V、絶対潜時")</f>
        <v>ABR Wave V、絶対遅延。聴覚脳幹反応波 V、絶対潜時</v>
      </c>
      <c r="H40" s="3" t="str">
        <f ca="1">IFERROR(__xludf.DUMMYFUNCTION("googletranslate(E40,""en"",""ja"")"),"聴覚誘発電位波形の聴覚脳幹反応波 V の絶対潜時の測定値。")</f>
        <v>聴覚誘発電位波形の聴覚脳幹反応波 V の絶対潜時の測定値。</v>
      </c>
      <c r="I40" s="3" t="str">
        <f ca="1">IFERROR(__xludf.DUMMYFUNCTION("googletranslate(F40,""en"",""ja"")"),"聴覚脳幹反応波 V、絶対潜時")</f>
        <v>聴覚脳幹反応波 V、絶対潜時</v>
      </c>
    </row>
    <row r="41" spans="1:9" ht="45">
      <c r="A41" s="3" t="s">
        <v>159</v>
      </c>
      <c r="B41" s="3" t="s">
        <v>175</v>
      </c>
      <c r="C41" s="3" t="s">
        <v>176</v>
      </c>
      <c r="D41" s="3" t="s">
        <v>177</v>
      </c>
      <c r="E41" s="3" t="s">
        <v>178</v>
      </c>
      <c r="F41" s="3" t="s">
        <v>179</v>
      </c>
      <c r="G41" s="3" t="str">
        <f ca="1">IFERROR(__xludf.DUMMYFUNCTION("googletranslate(D41,""en"",""ja"")"),"ABR ウェーブ V、存在;聴性脳幹反応波 V、プレゼンス")</f>
        <v>ABR ウェーブ V、存在;聴性脳幹反応波 V、プレゼンス</v>
      </c>
      <c r="H41" s="3" t="str">
        <f ca="1">IFERROR(__xludf.DUMMYFUNCTION("googletranslate(E41,""en"",""ja"")"),"聴覚誘発電位波形の聴覚脳幹反応波 V の存在の評価。")</f>
        <v>聴覚誘発電位波形の聴覚脳幹反応波 V の存在の評価。</v>
      </c>
      <c r="I41" s="3" t="str">
        <f ca="1">IFERROR(__xludf.DUMMYFUNCTION("googletranslate(F41,""en"",""ja"")"),"聴性脳幹反応波 V、プレゼンス")</f>
        <v>聴性脳幹反応波 V、プレゼンス</v>
      </c>
    </row>
    <row r="42" spans="1:9" ht="30">
      <c r="A42" s="3" t="s">
        <v>180</v>
      </c>
      <c r="B42" s="3" t="s">
        <v>181</v>
      </c>
      <c r="C42" s="3" t="s">
        <v>182</v>
      </c>
      <c r="D42" s="3" t="s">
        <v>182</v>
      </c>
      <c r="E42" s="3" t="s">
        <v>183</v>
      </c>
      <c r="F42" s="3" t="s">
        <v>184</v>
      </c>
      <c r="G42" s="3" t="str">
        <f ca="1">IFERROR(__xludf.DUMMYFUNCTION("googletranslate(D42,""en"",""ja"")"),"抗体分泌細胞")</f>
        <v>抗体分泌細胞</v>
      </c>
      <c r="H42" s="3" t="str">
        <f ca="1">IFERROR(__xludf.DUMMYFUNCTION("googletranslate(E42,""en"",""ja"")"),"生物学的標本中の抗体分泌細胞の測定。")</f>
        <v>生物学的標本中の抗体分泌細胞の測定。</v>
      </c>
      <c r="I42" s="3" t="str">
        <f ca="1">IFERROR(__xludf.DUMMYFUNCTION("googletranslate(F42,""en"",""ja"")"),"抗体分泌細胞の測定")</f>
        <v>抗体分泌細胞の測定</v>
      </c>
    </row>
    <row r="43" spans="1:9">
      <c r="A43" s="3" t="s">
        <v>185</v>
      </c>
      <c r="B43" s="3" t="s">
        <v>186</v>
      </c>
      <c r="C43" s="3" t="s">
        <v>187</v>
      </c>
      <c r="D43" s="3" t="s">
        <v>187</v>
      </c>
      <c r="E43" s="3" t="s">
        <v>188</v>
      </c>
      <c r="F43" s="3" t="s">
        <v>187</v>
      </c>
      <c r="G43" s="3" t="str">
        <f ca="1">IFERROR(__xludf.DUMMYFUNCTION("googletranslate(D43,""en"",""ja"")"),"膿瘍の数")</f>
        <v>膿瘍の数</v>
      </c>
      <c r="H43" s="3" t="str">
        <f ca="1">IFERROR(__xludf.DUMMYFUNCTION("googletranslate(E43,""en"",""ja"")"),"観察された膿瘍の数。")</f>
        <v>観察された膿瘍の数。</v>
      </c>
      <c r="I43" s="3" t="str">
        <f ca="1">IFERROR(__xludf.DUMMYFUNCTION("googletranslate(F43,""en"",""ja"")"),"膿瘍の数")</f>
        <v>膿瘍の数</v>
      </c>
    </row>
    <row r="44" spans="1:9" ht="60">
      <c r="A44" s="3" t="s">
        <v>118</v>
      </c>
      <c r="B44" s="3" t="s">
        <v>189</v>
      </c>
      <c r="C44" s="3" t="s">
        <v>190</v>
      </c>
      <c r="D44" s="3" t="s">
        <v>190</v>
      </c>
      <c r="E44" s="3" t="s">
        <v>191</v>
      </c>
      <c r="F44" s="3" t="s">
        <v>190</v>
      </c>
      <c r="G44" s="3" t="str">
        <f ca="1">IFERROR(__xludf.DUMMYFUNCTION("googletranslate(D44,""en"",""ja"")"),"腹部皮下脂肪の厚さ")</f>
        <v>腹部皮下脂肪の厚さ</v>
      </c>
      <c r="H44" s="3" t="str">
        <f ca="1">IFERROR(__xludf.DUMMYFUNCTION("googletranslate(E44,""en"",""ja"")"),"皮下脂肪層の厚さを決定するための測定では、臍の右約 5 センチメートルの皮膚の一つまみをノギスを使用して測定します。 (NCI)")</f>
        <v>皮下脂肪層の厚さを決定するための測定では、臍の右約 5 センチメートルの皮膚の一つまみをノギスを使用して測定します。 (NCI)</v>
      </c>
      <c r="I44" s="3" t="str">
        <f ca="1">IFERROR(__xludf.DUMMYFUNCTION("googletranslate(F44,""en"",""ja"")"),"腹部皮下脂肪の厚さ")</f>
        <v>腹部皮下脂肪の厚さ</v>
      </c>
    </row>
    <row r="45" spans="1:9">
      <c r="A45" s="3" t="s">
        <v>6</v>
      </c>
      <c r="B45" s="3" t="s">
        <v>192</v>
      </c>
      <c r="C45" s="3" t="s">
        <v>193</v>
      </c>
      <c r="D45" s="3" t="s">
        <v>193</v>
      </c>
      <c r="E45" s="3" t="s">
        <v>194</v>
      </c>
      <c r="F45" s="3" t="s">
        <v>195</v>
      </c>
      <c r="G45" s="3" t="str">
        <f ca="1">IFERROR(__xludf.DUMMYFUNCTION("googletranslate(D45,""en"",""ja"")"),"有棘細胞")</f>
        <v>有棘細胞</v>
      </c>
      <c r="H45" s="3" t="str">
        <f ca="1">IFERROR(__xludf.DUMMYFUNCTION("googletranslate(E45,""en"",""ja"")"),"生物学的標本中の有棘細胞の測定。")</f>
        <v>生物学的標本中の有棘細胞の測定。</v>
      </c>
      <c r="I45" s="3" t="str">
        <f ca="1">IFERROR(__xludf.DUMMYFUNCTION("googletranslate(F45,""en"",""ja"")"),"有棘細胞数")</f>
        <v>有棘細胞数</v>
      </c>
    </row>
    <row r="46" spans="1:9" ht="45">
      <c r="A46" s="3" t="s">
        <v>6</v>
      </c>
      <c r="B46" s="3" t="s">
        <v>196</v>
      </c>
      <c r="C46" s="3" t="s">
        <v>197</v>
      </c>
      <c r="D46" s="3" t="s">
        <v>197</v>
      </c>
      <c r="E46" s="3" t="s">
        <v>198</v>
      </c>
      <c r="F46" s="3" t="s">
        <v>199</v>
      </c>
      <c r="G46" s="3" t="str">
        <f ca="1">IFERROR(__xludf.DUMMYFUNCTION("googletranslate(D46,""en"",""ja"")"),"有棘細胞/赤血球")</f>
        <v>有棘細胞/赤血球</v>
      </c>
      <c r="H46" s="3" t="str">
        <f ca="1">IFERROR(__xludf.DUMMYFUNCTION("googletranslate(E46,""en"",""ja"")"),"生物学的標本中のすべての赤血球に対する有棘赤血球の相対的な測定値 (比率またはパーセンテージ)。")</f>
        <v>生物学的標本中のすべての赤血球に対する有棘赤血球の相対的な測定値 (比率またはパーセンテージ)。</v>
      </c>
      <c r="I46" s="3" t="str">
        <f ca="1">IFERROR(__xludf.DUMMYFUNCTION("googletranslate(F46,""en"",""ja"")"),"赤血球に対する有棘赤血球の比率の測定")</f>
        <v>赤血球に対する有棘赤血球の比率の測定</v>
      </c>
    </row>
    <row r="47" spans="1:9" ht="60">
      <c r="A47" s="3" t="s">
        <v>67</v>
      </c>
      <c r="B47" s="3" t="s">
        <v>200</v>
      </c>
      <c r="C47" s="3" t="s">
        <v>201</v>
      </c>
      <c r="D47" s="3" t="s">
        <v>202</v>
      </c>
      <c r="E47" s="3" t="s">
        <v>203</v>
      </c>
      <c r="F47" s="3" t="s">
        <v>204</v>
      </c>
      <c r="G47" s="3" t="str">
        <f ca="1">IFERROR(__xludf.DUMMYFUNCTION("googletranslate(D47,""en"",""ja"")"),"A. カルコアセティクス-バウマニ複合体。アシネトバクター・カルコアセティクス-バウマニ複合体")</f>
        <v>A. カルコアセティクス-バウマニ複合体。アシネトバクター・カルコアセティクス-バウマニ複合体</v>
      </c>
      <c r="H47" s="3" t="str">
        <f ca="1">IFERROR(__xludf.DUMMYFUNCTION("googletranslate(E47,""en"",""ja"")"),"生物学的標本中のアシネトバクター・カルコアセティクス-バウマンニ複合体の測定。")</f>
        <v>生物学的標本中のアシネトバクター・カルコアセティクス-バウマンニ複合体の測定。</v>
      </c>
      <c r="I47" s="3" t="str">
        <f ca="1">IFERROR(__xludf.DUMMYFUNCTION("googletranslate(F47,""en"",""ja"")"),"アシネトバクター・カルコアセティクス/バウマニ複合体測定")</f>
        <v>アシネトバクター・カルコアセティクス/バウマニ複合体測定</v>
      </c>
    </row>
    <row r="48" spans="1:9" ht="60">
      <c r="A48" s="3" t="s">
        <v>67</v>
      </c>
      <c r="B48" s="3" t="s">
        <v>205</v>
      </c>
      <c r="C48" s="3" t="s">
        <v>206</v>
      </c>
      <c r="D48" s="3" t="s">
        <v>207</v>
      </c>
      <c r="E48" s="3" t="s">
        <v>208</v>
      </c>
      <c r="F48" s="3" t="s">
        <v>209</v>
      </c>
      <c r="G48" s="3" t="str">
        <f ca="1">IFERROR(__xludf.DUMMYFUNCTION("googletranslate(D48,""en"",""ja"")"),"A. calcoaceticus-baumannii 複合体 DNA;アシネトバクター・カルコアセティクス-バウマニ複合体DNA")</f>
        <v>A. calcoaceticus-baumannii 複合体 DNA;アシネトバクター・カルコアセティクス-バウマニ複合体DNA</v>
      </c>
      <c r="H48" s="3" t="str">
        <f ca="1">IFERROR(__xludf.DUMMYFUNCTION("googletranslate(E48,""en"",""ja"")"),"生物学的標本中のアシネトバクター カルコアセティクス-バウマンニ複合体 DNA の測定。")</f>
        <v>生物学的標本中のアシネトバクター カルコアセティクス-バウマンニ複合体 DNA の測定。</v>
      </c>
      <c r="I48" s="3" t="str">
        <f ca="1">IFERROR(__xludf.DUMMYFUNCTION("googletranslate(F48,""en"",""ja"")"),"アシネトバクター・カルコアセティクス/バウマニ複合体DNA測定")</f>
        <v>アシネトバクター・カルコアセティクス/バウマニ複合体DNA測定</v>
      </c>
    </row>
    <row r="49" spans="1:9" ht="45">
      <c r="A49" s="3" t="s">
        <v>210</v>
      </c>
      <c r="B49" s="3" t="s">
        <v>211</v>
      </c>
      <c r="C49" s="3" t="s">
        <v>212</v>
      </c>
      <c r="D49" s="3" t="s">
        <v>212</v>
      </c>
      <c r="E49" s="3" t="s">
        <v>213</v>
      </c>
      <c r="F49" s="3" t="s">
        <v>214</v>
      </c>
      <c r="G49" s="3" t="str">
        <f ca="1">IFERROR(__xludf.DUMMYFUNCTION("googletranslate(D49,""en"",""ja"")"),"PPD の合計における絶対変化ベースライン")</f>
        <v>PPD の合計における絶対変化ベースライン</v>
      </c>
      <c r="H49" s="3" t="str">
        <f ca="1">IFERROR(__xludf.DUMMYFUNCTION("googletranslate(E49,""en"",""ja"")"),"垂直直径の積の現在の合計から垂直直径の積のベースライン合計を引いたもの。")</f>
        <v>垂直直径の積の現在の合計から垂直直径の積のベースライン合計を引いたもの。</v>
      </c>
      <c r="I49" s="3" t="str">
        <f ca="1">IFERROR(__xludf.DUMMYFUNCTION("googletranslate(F49,""en"",""ja"")"),"垂直直径の積の合計におけるベースラインからの絶対変化")</f>
        <v>垂直直径の積の合計におけるベースラインからの絶対変化</v>
      </c>
    </row>
    <row r="50" spans="1:9" ht="30">
      <c r="A50" s="3" t="s">
        <v>6</v>
      </c>
      <c r="B50" s="3" t="s">
        <v>215</v>
      </c>
      <c r="C50" s="3" t="s">
        <v>216</v>
      </c>
      <c r="D50" s="3" t="s">
        <v>216</v>
      </c>
      <c r="E50" s="3" t="s">
        <v>217</v>
      </c>
      <c r="F50" s="3" t="s">
        <v>218</v>
      </c>
      <c r="G50" s="3" t="str">
        <f ca="1">IFERROR(__xludf.DUMMYFUNCTION("googletranslate(D50,""en"",""ja"")"),"アンジオテンシン変換酵素")</f>
        <v>アンジオテンシン変換酵素</v>
      </c>
      <c r="H50" s="3" t="str">
        <f ca="1">IFERROR(__xludf.DUMMYFUNCTION("googletranslate(E50,""en"",""ja"")"),"生物学的標本中のアンジオテンシン変換酵素の測定。")</f>
        <v>生物学的標本中のアンジオテンシン変換酵素の測定。</v>
      </c>
      <c r="I50" s="3" t="str">
        <f ca="1">IFERROR(__xludf.DUMMYFUNCTION("googletranslate(F50,""en"",""ja"")"),"アンジオテンシン変換酵素の測定")</f>
        <v>アンジオテンシン変換酵素の測定</v>
      </c>
    </row>
    <row r="51" spans="1:9">
      <c r="A51" s="3" t="s">
        <v>51</v>
      </c>
      <c r="B51" s="3" t="s">
        <v>219</v>
      </c>
      <c r="C51" s="3" t="s">
        <v>220</v>
      </c>
      <c r="D51" s="3" t="s">
        <v>220</v>
      </c>
      <c r="E51" s="3" t="s">
        <v>221</v>
      </c>
      <c r="F51" s="3" t="s">
        <v>222</v>
      </c>
      <c r="G51" s="3" t="str">
        <f ca="1">IFERROR(__xludf.DUMMYFUNCTION("googletranslate(D51,""en"",""ja"")"),"アセトアミド")</f>
        <v>アセトアミド</v>
      </c>
      <c r="H51" s="3" t="str">
        <f ca="1">IFERROR(__xludf.DUMMYFUNCTION("googletranslate(E51,""en"",""ja"")"),"試料中のアセトアミドの測定。")</f>
        <v>試料中のアセトアミドの測定。</v>
      </c>
      <c r="I51" s="3" t="str">
        <f ca="1">IFERROR(__xludf.DUMMYFUNCTION("googletranslate(F51,""en"",""ja"")"),"アセトアミドの測定")</f>
        <v>アセトアミドの測定</v>
      </c>
    </row>
    <row r="52" spans="1:9" ht="30">
      <c r="A52" s="3" t="s">
        <v>6</v>
      </c>
      <c r="B52" s="3" t="s">
        <v>223</v>
      </c>
      <c r="C52" s="3" t="s">
        <v>224</v>
      </c>
      <c r="D52" s="3" t="s">
        <v>225</v>
      </c>
      <c r="E52" s="3" t="s">
        <v>226</v>
      </c>
      <c r="F52" s="3" t="s">
        <v>227</v>
      </c>
      <c r="G52" s="3" t="str">
        <f ca="1">IFERROR(__xludf.DUMMYFUNCTION("googletranslate(D52,""en"",""ja"")"),"アセトアミノフェン;パラセタモール")</f>
        <v>アセトアミノフェン;パラセタモール</v>
      </c>
      <c r="H52" s="3" t="str">
        <f ca="1">IFERROR(__xludf.DUMMYFUNCTION("googletranslate(E52,""en"",""ja"")"),"生物学的標本中のアセトアミノフェンの測定。")</f>
        <v>生物学的標本中のアセトアミノフェンの測定。</v>
      </c>
      <c r="I52" s="3" t="str">
        <f ca="1">IFERROR(__xludf.DUMMYFUNCTION("googletranslate(F52,""en"",""ja"")"),"アセトアミノフェンの測定")</f>
        <v>アセトアミノフェンの測定</v>
      </c>
    </row>
    <row r="53" spans="1:9">
      <c r="A53" s="3" t="s">
        <v>51</v>
      </c>
      <c r="B53" s="3" t="s">
        <v>228</v>
      </c>
      <c r="C53" s="3" t="s">
        <v>229</v>
      </c>
      <c r="D53" s="3" t="s">
        <v>230</v>
      </c>
      <c r="E53" s="3" t="s">
        <v>231</v>
      </c>
      <c r="F53" s="3" t="s">
        <v>232</v>
      </c>
      <c r="G53" s="3" t="str">
        <f ca="1">IFERROR(__xludf.DUMMYFUNCTION("googletranslate(D53,""en"",""ja"")"),"アセテート;酢酸")</f>
        <v>アセテート;酢酸</v>
      </c>
      <c r="H53" s="3" t="str">
        <f ca="1">IFERROR(__xludf.DUMMYFUNCTION("googletranslate(E53,""en"",""ja"")"),"試料中の酢酸塩の測定。")</f>
        <v>試料中の酢酸塩の測定。</v>
      </c>
      <c r="I53" s="3" t="str">
        <f ca="1">IFERROR(__xludf.DUMMYFUNCTION("googletranslate(F53,""en"",""ja"")"),"酢酸塩の測定")</f>
        <v>酢酸塩の測定</v>
      </c>
    </row>
    <row r="54" spans="1:9" ht="30">
      <c r="A54" s="3" t="s">
        <v>6</v>
      </c>
      <c r="B54" s="3" t="s">
        <v>233</v>
      </c>
      <c r="C54" s="3" t="s">
        <v>234</v>
      </c>
      <c r="D54" s="3" t="s">
        <v>235</v>
      </c>
      <c r="E54" s="3" t="s">
        <v>236</v>
      </c>
      <c r="F54" s="3" t="s">
        <v>237</v>
      </c>
      <c r="G54" s="3" t="str">
        <f ca="1">IFERROR(__xludf.DUMMYFUNCTION("googletranslate(D54,""en"",""ja"")"),"アセト酢酸;アセト酢酸")</f>
        <v>アセト酢酸;アセト酢酸</v>
      </c>
      <c r="H54" s="3" t="str">
        <f ca="1">IFERROR(__xludf.DUMMYFUNCTION("googletranslate(E54,""en"",""ja"")"),"生物学的標本中のアセト酢酸の測定。")</f>
        <v>生物学的標本中のアセト酢酸の測定。</v>
      </c>
      <c r="I54" s="3" t="str">
        <f ca="1">IFERROR(__xludf.DUMMYFUNCTION("googletranslate(F54,""en"",""ja"")"),"アセト酢酸の測定")</f>
        <v>アセト酢酸の測定</v>
      </c>
    </row>
    <row r="55" spans="1:9" ht="45">
      <c r="A55" s="3" t="s">
        <v>51</v>
      </c>
      <c r="B55" s="3" t="s">
        <v>238</v>
      </c>
      <c r="C55" s="3" t="s">
        <v>239</v>
      </c>
      <c r="D55" s="3" t="s">
        <v>240</v>
      </c>
      <c r="E55" s="3" t="s">
        <v>241</v>
      </c>
      <c r="F55" s="3" t="s">
        <v>242</v>
      </c>
      <c r="G55" s="3" t="str">
        <f ca="1">IFERROR(__xludf.DUMMYFUNCTION("googletranslate(D55,""en"",""ja"")"),"3-ヒドロキシ-2-ブタノン; 3-ヒドロキシブタノン;アセトイン;アセチルメチルカルビノール")</f>
        <v>3-ヒドロキシ-2-ブタノン; 3-ヒドロキシブタノン;アセトイン;アセチルメチルカルビノール</v>
      </c>
      <c r="H55" s="3" t="str">
        <f ca="1">IFERROR(__xludf.DUMMYFUNCTION("googletranslate(E55,""en"",""ja"")"),"検体中のアセトインの測定。")</f>
        <v>検体中のアセトインの測定。</v>
      </c>
      <c r="I55" s="3" t="str">
        <f ca="1">IFERROR(__xludf.DUMMYFUNCTION("googletranslate(F55,""en"",""ja"")"),"アセトインの測定")</f>
        <v>アセトインの測定</v>
      </c>
    </row>
    <row r="56" spans="1:9">
      <c r="A56" s="3" t="s">
        <v>51</v>
      </c>
      <c r="B56" s="3" t="s">
        <v>243</v>
      </c>
      <c r="C56" s="3" t="s">
        <v>244</v>
      </c>
      <c r="D56" s="3" t="s">
        <v>244</v>
      </c>
      <c r="E56" s="3" t="s">
        <v>245</v>
      </c>
      <c r="F56" s="3" t="s">
        <v>246</v>
      </c>
      <c r="G56" s="3" t="str">
        <f ca="1">IFERROR(__xludf.DUMMYFUNCTION("googletranslate(D56,""en"",""ja"")"),"アセトン")</f>
        <v>アセトン</v>
      </c>
      <c r="H56" s="3" t="str">
        <f ca="1">IFERROR(__xludf.DUMMYFUNCTION("googletranslate(E56,""en"",""ja"")"),"試料中のアセトンの測定。")</f>
        <v>試料中のアセトンの測定。</v>
      </c>
      <c r="I56" s="3" t="str">
        <f ca="1">IFERROR(__xludf.DUMMYFUNCTION("googletranslate(F56,""en"",""ja"")"),"アセトン測定")</f>
        <v>アセトン測定</v>
      </c>
    </row>
    <row r="57" spans="1:9">
      <c r="A57" s="3" t="s">
        <v>6</v>
      </c>
      <c r="B57" s="3" t="s">
        <v>243</v>
      </c>
      <c r="C57" s="3" t="s">
        <v>244</v>
      </c>
      <c r="D57" s="3" t="s">
        <v>244</v>
      </c>
      <c r="E57" s="3" t="s">
        <v>245</v>
      </c>
      <c r="F57" s="3" t="s">
        <v>246</v>
      </c>
      <c r="G57" s="3" t="str">
        <f ca="1">IFERROR(__xludf.DUMMYFUNCTION("googletranslate(D57,""en"",""ja"")"),"アセトン")</f>
        <v>アセトン</v>
      </c>
      <c r="H57" s="3" t="str">
        <f ca="1">IFERROR(__xludf.DUMMYFUNCTION("googletranslate(E57,""en"",""ja"")"),"試料中のアセトンの測定。")</f>
        <v>試料中のアセトンの測定。</v>
      </c>
      <c r="I57" s="3" t="str">
        <f ca="1">IFERROR(__xludf.DUMMYFUNCTION("googletranslate(F57,""en"",""ja"")"),"アセトン測定")</f>
        <v>アセトン測定</v>
      </c>
    </row>
    <row r="58" spans="1:9" ht="30">
      <c r="A58" s="3" t="s">
        <v>6</v>
      </c>
      <c r="B58" s="3" t="s">
        <v>247</v>
      </c>
      <c r="C58" s="3" t="s">
        <v>248</v>
      </c>
      <c r="D58" s="3" t="s">
        <v>248</v>
      </c>
      <c r="E58" s="3" t="s">
        <v>249</v>
      </c>
      <c r="F58" s="3" t="s">
        <v>250</v>
      </c>
      <c r="G58" s="3" t="str">
        <f ca="1">IFERROR(__xludf.DUMMYFUNCTION("googletranslate(D58,""en"",""ja"")"),"アセチルコリン")</f>
        <v>アセチルコリン</v>
      </c>
      <c r="H58" s="3" t="str">
        <f ca="1">IFERROR(__xludf.DUMMYFUNCTION("googletranslate(E58,""en"",""ja"")"),"生物学的標本中のアセチルコリン ホルモンの測定。")</f>
        <v>生物学的標本中のアセチルコリン ホルモンの測定。</v>
      </c>
      <c r="I58" s="3" t="str">
        <f ca="1">IFERROR(__xludf.DUMMYFUNCTION("googletranslate(F58,""en"",""ja"")"),"アセチルコリンの測定")</f>
        <v>アセチルコリンの測定</v>
      </c>
    </row>
    <row r="59" spans="1:9" ht="30">
      <c r="A59" s="3" t="s">
        <v>6</v>
      </c>
      <c r="B59" s="3" t="s">
        <v>251</v>
      </c>
      <c r="C59" s="3" t="s">
        <v>252</v>
      </c>
      <c r="D59" s="3" t="s">
        <v>252</v>
      </c>
      <c r="E59" s="3" t="s">
        <v>253</v>
      </c>
      <c r="F59" s="3" t="s">
        <v>254</v>
      </c>
      <c r="G59" s="3" t="str">
        <f ca="1">IFERROR(__xludf.DUMMYFUNCTION("googletranslate(D59,""en"",""ja"")"),"アセチルコリンエステラーゼ")</f>
        <v>アセチルコリンエステラーゼ</v>
      </c>
      <c r="H59" s="3" t="str">
        <f ca="1">IFERROR(__xludf.DUMMYFUNCTION("googletranslate(E59,""en"",""ja"")"),"生物学的標本中のアセチルコリンエステラーゼの測定。")</f>
        <v>生物学的標本中のアセチルコリンエステラーゼの測定。</v>
      </c>
      <c r="I59" s="3" t="str">
        <f ca="1">IFERROR(__xludf.DUMMYFUNCTION("googletranslate(F59,""en"",""ja"")"),"アセチルコリンエステラーゼの測定")</f>
        <v>アセチルコリンエステラーゼの測定</v>
      </c>
    </row>
    <row r="60" spans="1:9" ht="30">
      <c r="A60" s="3" t="s">
        <v>210</v>
      </c>
      <c r="B60" s="3" t="s">
        <v>255</v>
      </c>
      <c r="C60" s="3" t="s">
        <v>256</v>
      </c>
      <c r="D60" s="3" t="s">
        <v>256</v>
      </c>
      <c r="E60" s="3" t="s">
        <v>257</v>
      </c>
      <c r="F60" s="3" t="s">
        <v>256</v>
      </c>
      <c r="G60" s="3" t="str">
        <f ca="1">IFERROR(__xludf.DUMMYFUNCTION("googletranslate(D60,""en"",""ja"")"),"最下位からの絶対的な変化")</f>
        <v>最下位からの絶対的な変化</v>
      </c>
      <c r="H60" s="3" t="str">
        <f ca="1">IFERROR(__xludf.DUMMYFUNCTION("googletranslate(E60,""en"",""ja"")"),"現在の値から以前に記録された最低値を引いた値。")</f>
        <v>現在の値から以前に記録された最低値を引いた値。</v>
      </c>
      <c r="I60" s="3" t="str">
        <f ca="1">IFERROR(__xludf.DUMMYFUNCTION("googletranslate(F60,""en"",""ja"")"),"最下位からの絶対的な変化")</f>
        <v>最下位からの絶対的な変化</v>
      </c>
    </row>
    <row r="61" spans="1:9" ht="45">
      <c r="A61" s="3" t="s">
        <v>67</v>
      </c>
      <c r="B61" s="3" t="s">
        <v>258</v>
      </c>
      <c r="C61" s="3" t="s">
        <v>259</v>
      </c>
      <c r="D61" s="3" t="s">
        <v>259</v>
      </c>
      <c r="E61" s="3" t="s">
        <v>260</v>
      </c>
      <c r="F61" s="3" t="s">
        <v>261</v>
      </c>
      <c r="G61" s="3" t="str">
        <f ca="1">IFERROR(__xludf.DUMMYFUNCTION("googletranslate(D61,""en"",""ja"")"),"アシネトバクター")</f>
        <v>アシネトバクター</v>
      </c>
      <c r="H61" s="3" t="str">
        <f ca="1">IFERROR(__xludf.DUMMYFUNCTION("googletranslate(E61,""en"",""ja"")"),"生物学的標本において、種レベルには割り当てられていないが、アシネトバクター属レベルに割り当てられている生物の測定値。")</f>
        <v>生物学的標本において、種レベルには割り当てられていないが、アシネトバクター属レベルに割り当てられている生物の測定値。</v>
      </c>
      <c r="I61" s="3" t="str">
        <f ca="1">IFERROR(__xludf.DUMMYFUNCTION("googletranslate(F61,""en"",""ja"")"),"アシネトバクターの測定")</f>
        <v>アシネトバクターの測定</v>
      </c>
    </row>
    <row r="62" spans="1:9" ht="30">
      <c r="A62" s="3" t="s">
        <v>185</v>
      </c>
      <c r="B62" s="3" t="s">
        <v>262</v>
      </c>
      <c r="C62" s="3" t="s">
        <v>263</v>
      </c>
      <c r="D62" s="3" t="s">
        <v>263</v>
      </c>
      <c r="E62" s="3" t="s">
        <v>264</v>
      </c>
      <c r="F62" s="3" t="s">
        <v>263</v>
      </c>
      <c r="G62" s="3" t="str">
        <f ca="1">IFERROR(__xludf.DUMMYFUNCTION("googletranslate(D62,""en"",""ja"")"),"急性心筋梗塞の種類")</f>
        <v>急性心筋梗塞の種類</v>
      </c>
      <c r="H62" s="3" t="str">
        <f ca="1">IFERROR(__xludf.DUMMYFUNCTION("googletranslate(E62,""en"",""ja"")"),"急性心筋梗塞の種類の分類。")</f>
        <v>急性心筋梗塞の種類の分類。</v>
      </c>
      <c r="I62" s="3" t="str">
        <f ca="1">IFERROR(__xludf.DUMMYFUNCTION("googletranslate(F62,""en"",""ja"")"),"急性心筋梗塞の種類")</f>
        <v>急性心筋梗塞の種類</v>
      </c>
    </row>
    <row r="63" spans="1:9" ht="45">
      <c r="A63" s="3" t="s">
        <v>185</v>
      </c>
      <c r="B63" s="3" t="s">
        <v>265</v>
      </c>
      <c r="C63" s="3" t="s">
        <v>266</v>
      </c>
      <c r="D63" s="3" t="s">
        <v>266</v>
      </c>
      <c r="E63" s="3" t="s">
        <v>267</v>
      </c>
      <c r="F63" s="3" t="s">
        <v>268</v>
      </c>
      <c r="G63" s="3" t="str">
        <f ca="1">IFERROR(__xludf.DUMMYFUNCTION("googletranslate(D63,""en"",""ja"")"),"デバイスで実行されたアクション")</f>
        <v>デバイスで実行されたアクション</v>
      </c>
      <c r="H63" s="3" t="str">
        <f ca="1">IFERROR(__xludf.DUMMYFUNCTION("googletranslate(E63,""en"",""ja"")"),"研究内のデバイスに関して取られたアクション。研究対象のデバイスである場合もあれば、そうでない場合もあります。")</f>
        <v>研究内のデバイスに関して取られたアクション。研究対象のデバイスである場合もあれば、そうでない場合もあります。</v>
      </c>
      <c r="I63" s="3" t="str">
        <f ca="1">IFERROR(__xludf.DUMMYFUNCTION("googletranslate(F63,""en"",""ja"")"),"デバイスで実行されたアクション")</f>
        <v>デバイスで実行されたアクション</v>
      </c>
    </row>
    <row r="64" spans="1:9" ht="45">
      <c r="A64" s="3" t="s">
        <v>210</v>
      </c>
      <c r="B64" s="3" t="s">
        <v>269</v>
      </c>
      <c r="C64" s="3" t="s">
        <v>270</v>
      </c>
      <c r="D64" s="3" t="s">
        <v>271</v>
      </c>
      <c r="E64" s="3" t="s">
        <v>272</v>
      </c>
      <c r="F64" s="3" t="s">
        <v>273</v>
      </c>
      <c r="G64" s="3" t="str">
        <f ca="1">IFERROR(__xludf.DUMMYFUNCTION("googletranslate(D64,""en"",""ja"")"),"オルガン拡大の絶対変化の最下位。臓器拡大における絶対変化の最下点")</f>
        <v>オルガン拡大の絶対変化の最下位。臓器拡大における絶対変化の最下点</v>
      </c>
      <c r="H64" s="3" t="str">
        <f ca="1">IFERROR(__xludf.DUMMYFUNCTION("googletranslate(E64,""en"",""ja"")"),"現在の器官拡大から以前に記録された最低の器官拡大を差し引いた値。 (NCI)")</f>
        <v>現在の器官拡大から以前に記録された最低の器官拡大を差し引いた値。 (NCI)</v>
      </c>
      <c r="I64" s="3" t="str">
        <f ca="1">IFERROR(__xludf.DUMMYFUNCTION("googletranslate(F64,""en"",""ja"")"),"臓器拡大における最下位からの絶対的な変化")</f>
        <v>臓器拡大における最下位からの絶対的な変化</v>
      </c>
    </row>
    <row r="65" spans="1:9" ht="30">
      <c r="A65" s="3" t="s">
        <v>185</v>
      </c>
      <c r="B65" s="3" t="s">
        <v>274</v>
      </c>
      <c r="C65" s="3" t="s">
        <v>275</v>
      </c>
      <c r="D65" s="3" t="s">
        <v>275</v>
      </c>
      <c r="E65" s="3" t="s">
        <v>276</v>
      </c>
      <c r="F65" s="3" t="s">
        <v>275</v>
      </c>
      <c r="G65" s="3" t="str">
        <f ca="1">IFERROR(__xludf.DUMMYFUNCTION("googletranslate(D65,""en"",""ja"")"),"対象者に対して行われたアクション")</f>
        <v>対象者に対して行われたアクション</v>
      </c>
      <c r="H65" s="3" t="str">
        <f ca="1">IFERROR(__xludf.DUMMYFUNCTION("googletranslate(E65,""en"",""ja"")"),"研究の被験者に関して取られる行動。")</f>
        <v>研究の被験者に関して取られる行動。</v>
      </c>
      <c r="I65" s="3" t="str">
        <f ca="1">IFERROR(__xludf.DUMMYFUNCTION("googletranslate(F65,""en"",""ja"")"),"対象者に対して行われたアクション")</f>
        <v>対象者に対して行われたアクション</v>
      </c>
    </row>
    <row r="66" spans="1:9" ht="30">
      <c r="A66" s="3" t="s">
        <v>210</v>
      </c>
      <c r="B66" s="3" t="s">
        <v>277</v>
      </c>
      <c r="C66" s="3" t="s">
        <v>278</v>
      </c>
      <c r="D66" s="3" t="s">
        <v>278</v>
      </c>
      <c r="E66" s="3" t="s">
        <v>279</v>
      </c>
      <c r="F66" s="3" t="s">
        <v>280</v>
      </c>
      <c r="G66" s="3" t="str">
        <f ca="1">IFERROR(__xludf.DUMMYFUNCTION("googletranslate(D66,""en"",""ja"")"),"絶対変化の最低値（直径の合計）")</f>
        <v>絶対変化の最低値（直径の合計）</v>
      </c>
      <c r="H66" s="3" t="str">
        <f ca="1">IFERROR(__xludf.DUMMYFUNCTION("googletranslate(E66,""en"",""ja"")"),"現在の直径の合計から、以前に記録された最小の直径の合計を引いた値。")</f>
        <v>現在の直径の合計から、以前に記録された最小の直径の合計を引いた値。</v>
      </c>
      <c r="I66" s="3" t="str">
        <f ca="1">IFERROR(__xludf.DUMMYFUNCTION("googletranslate(F66,""en"",""ja"")"),"直径の合計における最下点からの絶対変化")</f>
        <v>直径の合計における最下点からの絶対変化</v>
      </c>
    </row>
    <row r="67" spans="1:9" ht="45">
      <c r="A67" s="3" t="s">
        <v>210</v>
      </c>
      <c r="B67" s="3" t="s">
        <v>281</v>
      </c>
      <c r="C67" s="3" t="s">
        <v>282</v>
      </c>
      <c r="D67" s="3" t="s">
        <v>282</v>
      </c>
      <c r="E67" s="3" t="s">
        <v>283</v>
      </c>
      <c r="F67" s="3" t="s">
        <v>284</v>
      </c>
      <c r="G67" s="3" t="str">
        <f ca="1">IFERROR(__xludf.DUMMYFUNCTION("googletranslate(D67,""en"",""ja"")"),"PPDの合計における絶対変化の最低値")</f>
        <v>PPDの合計における絶対変化の最低値</v>
      </c>
      <c r="H67" s="3" t="str">
        <f ca="1">IFERROR(__xludf.DUMMYFUNCTION("googletranslate(E67,""en"",""ja"")"),"現在の垂直直径の積の合計から、以前に記録された最小の垂直直径の積の合計を引いた値。")</f>
        <v>現在の垂直直径の積の合計から、以前に記録された最小の垂直直径の積の合計を引いた値。</v>
      </c>
      <c r="I67" s="3" t="str">
        <f ca="1">IFERROR(__xludf.DUMMYFUNCTION("googletranslate(F67,""en"",""ja"")"),"垂直直径の積の合計における最下点からの絶対変化")</f>
        <v>垂直直径の積の合計における最下点からの絶対変化</v>
      </c>
    </row>
    <row r="68" spans="1:9" ht="30">
      <c r="A68" s="3" t="s">
        <v>6</v>
      </c>
      <c r="B68" s="3" t="s">
        <v>285</v>
      </c>
      <c r="C68" s="3" t="s">
        <v>286</v>
      </c>
      <c r="D68" s="3" t="s">
        <v>286</v>
      </c>
      <c r="E68" s="3" t="s">
        <v>287</v>
      </c>
      <c r="F68" s="3" t="s">
        <v>288</v>
      </c>
      <c r="G68" s="3" t="str">
        <f ca="1">IFERROR(__xludf.DUMMYFUNCTION("googletranslate(D68,""en"",""ja"")"),"酸性ホスファターゼ")</f>
        <v>酸性ホスファターゼ</v>
      </c>
      <c r="H68" s="3" t="str">
        <f ca="1">IFERROR(__xludf.DUMMYFUNCTION("googletranslate(E68,""en"",""ja"")"),"生体試料中の酸性ホスファターゼの測定。")</f>
        <v>生体試料中の酸性ホスファターゼの測定。</v>
      </c>
      <c r="I68" s="3" t="str">
        <f ca="1">IFERROR(__xludf.DUMMYFUNCTION("googletranslate(F68,""en"",""ja"")"),"酸性ホスファターゼの測定")</f>
        <v>酸性ホスファターゼの測定</v>
      </c>
    </row>
    <row r="69" spans="1:9" ht="60">
      <c r="A69" s="3" t="s">
        <v>210</v>
      </c>
      <c r="B69" s="3" t="s">
        <v>289</v>
      </c>
      <c r="C69" s="3" t="s">
        <v>290</v>
      </c>
      <c r="D69" s="3" t="s">
        <v>290</v>
      </c>
      <c r="E69" s="3" t="s">
        <v>291</v>
      </c>
      <c r="F69" s="3" t="s">
        <v>292</v>
      </c>
      <c r="G69" s="3" t="str">
        <f ca="1">IFERROR(__xludf.DUMMYFUNCTION("googletranslate(D69,""en"",""ja"")"),"LDIAM における PPD の最下位からの絶対的な変化")</f>
        <v>LDIAM における PPD の最下位からの絶対的な変化</v>
      </c>
      <c r="H69" s="3" t="str">
        <f ca="1">IFERROR(__xludf.DUMMYFUNCTION("googletranslate(E69,""en"",""ja"")"),"病変の垂直直径の積が最小となる時点からの病変の最長直径の絶対変化（正または負）。")</f>
        <v>病変の垂直直径の積が最小となる時点からの病変の最長直径の絶対変化（正または負）。</v>
      </c>
      <c r="I69" s="3" t="str">
        <f ca="1">IFERROR(__xludf.DUMMYFUNCTION("googletranslate(F69,""en"",""ja"")"),"垂直直径の最底積からの最長直径の絶対変化 時点")</f>
        <v>垂直直径の最底積からの最長直径の絶対変化 時点</v>
      </c>
    </row>
    <row r="70" spans="1:9" ht="60">
      <c r="A70" s="3" t="s">
        <v>210</v>
      </c>
      <c r="B70" s="3" t="s">
        <v>293</v>
      </c>
      <c r="C70" s="3" t="s">
        <v>294</v>
      </c>
      <c r="D70" s="3" t="s">
        <v>294</v>
      </c>
      <c r="E70" s="3" t="s">
        <v>295</v>
      </c>
      <c r="F70" s="3" t="s">
        <v>296</v>
      </c>
      <c r="G70" s="3" t="str">
        <f ca="1">IFERROR(__xludf.DUMMYFUNCTION("googletranslate(D70,""en"",""ja"")"),"LPERP における PPD 最下点からの絶対変化")</f>
        <v>LPERP における PPD 最下点からの絶対変化</v>
      </c>
      <c r="H70" s="3" t="str">
        <f ca="1">IFERROR(__xludf.DUMMYFUNCTION("googletranslate(E70,""en"",""ja"")"),"病変の垂直直径の積が最小となる時点からの病変の最長垂直の絶対変化（正または負）。")</f>
        <v>病変の垂直直径の積が最小となる時点からの病変の最長垂直の絶対変化（正または負）。</v>
      </c>
      <c r="I70" s="3" t="str">
        <f ca="1">IFERROR(__xludf.DUMMYFUNCTION("googletranslate(F70,""en"",""ja"")"),"垂線直径の最下積からの最長垂線の絶対変化時間点")</f>
        <v>垂線直径の最下積からの最長垂線の絶対変化時間点</v>
      </c>
    </row>
    <row r="71" spans="1:9">
      <c r="A71" s="3" t="s">
        <v>81</v>
      </c>
      <c r="B71" s="3" t="s">
        <v>297</v>
      </c>
      <c r="C71" s="3" t="s">
        <v>298</v>
      </c>
      <c r="D71" s="3" t="s">
        <v>298</v>
      </c>
      <c r="E71" s="3" t="s">
        <v>299</v>
      </c>
      <c r="F71" s="3" t="s">
        <v>298</v>
      </c>
      <c r="G71" s="3" t="str">
        <f ca="1">IFERROR(__xludf.DUMMYFUNCTION("googletranslate(D71,""en"",""ja"")"),"大動脈狭窄インジケーター")</f>
        <v>大動脈狭窄インジケーター</v>
      </c>
      <c r="H71" s="3" t="str">
        <f ca="1">IFERROR(__xludf.DUMMYFUNCTION("googletranslate(E71,""en"",""ja"")"),"大動脈縮窄があるかどうかの指標。")</f>
        <v>大動脈縮窄があるかどうかの指標。</v>
      </c>
      <c r="I71" s="3" t="str">
        <f ca="1">IFERROR(__xludf.DUMMYFUNCTION("googletranslate(F71,""en"",""ja"")"),"大動脈狭窄インジケーター")</f>
        <v>大動脈狭窄インジケーター</v>
      </c>
    </row>
    <row r="72" spans="1:9">
      <c r="A72" s="3" t="s">
        <v>81</v>
      </c>
      <c r="B72" s="3" t="s">
        <v>300</v>
      </c>
      <c r="C72" s="3" t="s">
        <v>301</v>
      </c>
      <c r="D72" s="3" t="s">
        <v>301</v>
      </c>
      <c r="E72" s="3" t="s">
        <v>302</v>
      </c>
      <c r="F72" s="3" t="s">
        <v>301</v>
      </c>
      <c r="G72" s="3" t="str">
        <f ca="1">IFERROR(__xludf.DUMMYFUNCTION("googletranslate(D72,""en"",""ja"")"),"大動脈縮窄症の重症度")</f>
        <v>大動脈縮窄症の重症度</v>
      </c>
      <c r="H72" s="3" t="str">
        <f ca="1">IFERROR(__xludf.DUMMYFUNCTION("googletranslate(E72,""en"",""ja"")"),"大動脈縮窄症の重症度の評価。")</f>
        <v>大動脈縮窄症の重症度の評価。</v>
      </c>
      <c r="I72" s="3" t="str">
        <f ca="1">IFERROR(__xludf.DUMMYFUNCTION("googletranslate(F72,""en"",""ja"")"),"大動脈縮窄症の重症度")</f>
        <v>大動脈縮窄症の重症度</v>
      </c>
    </row>
    <row r="73" spans="1:9">
      <c r="A73" s="3" t="s">
        <v>51</v>
      </c>
      <c r="B73" s="3" t="s">
        <v>303</v>
      </c>
      <c r="C73" s="3" t="s">
        <v>304</v>
      </c>
      <c r="D73" s="3" t="s">
        <v>304</v>
      </c>
      <c r="E73" s="3" t="s">
        <v>305</v>
      </c>
      <c r="F73" s="3" t="s">
        <v>306</v>
      </c>
      <c r="G73" s="3" t="str">
        <f ca="1">IFERROR(__xludf.DUMMYFUNCTION("googletranslate(D73,""en"",""ja"")"),"アクリルアミド")</f>
        <v>アクリルアミド</v>
      </c>
      <c r="H73" s="3" t="str">
        <f ca="1">IFERROR(__xludf.DUMMYFUNCTION("googletranslate(E73,""en"",""ja"")"),"試験片中のアクリルアミドの測定。")</f>
        <v>試験片中のアクリルアミドの測定。</v>
      </c>
      <c r="I73" s="3" t="str">
        <f ca="1">IFERROR(__xludf.DUMMYFUNCTION("googletranslate(F73,""en"",""ja"")"),"アクリルアミド測定")</f>
        <v>アクリルアミド測定</v>
      </c>
    </row>
    <row r="74" spans="1:9" ht="45">
      <c r="A74" s="3" t="s">
        <v>6</v>
      </c>
      <c r="B74" s="3" t="s">
        <v>307</v>
      </c>
      <c r="C74" s="3" t="s">
        <v>308</v>
      </c>
      <c r="D74" s="3" t="s">
        <v>308</v>
      </c>
      <c r="E74" s="3" t="s">
        <v>309</v>
      </c>
      <c r="F74" s="3" t="s">
        <v>310</v>
      </c>
      <c r="G74" s="3" t="str">
        <f ca="1">IFERROR(__xludf.DUMMYFUNCTION("googletranslate(D74,""en"",""ja"")"),"アシルカルニチン/カルニチン、フリー")</f>
        <v>アシルカルニチン/カルニチン、フリー</v>
      </c>
      <c r="H74" s="3" t="str">
        <f ca="1">IFERROR(__xludf.DUMMYFUNCTION("googletranslate(E74,""en"",""ja"")"),"生物学的標本中の遊離カルニチンに対するアシルカルニチンの相対測定値 (比率またはパーセンテージ)。")</f>
        <v>生物学的標本中の遊離カルニチンに対するアシルカルニチンの相対測定値 (比率またはパーセンテージ)。</v>
      </c>
      <c r="I74" s="3" t="str">
        <f ca="1">IFERROR(__xludf.DUMMYFUNCTION("googletranslate(F74,""en"",""ja"")"),"アシルカルニチンと遊離カルニチンの比率の測定")</f>
        <v>アシルカルニチンと遊離カルニチンの比率の測定</v>
      </c>
    </row>
    <row r="75" spans="1:9">
      <c r="A75" s="3" t="s">
        <v>6</v>
      </c>
      <c r="B75" s="3" t="s">
        <v>311</v>
      </c>
      <c r="C75" s="3" t="s">
        <v>312</v>
      </c>
      <c r="D75" s="3" t="s">
        <v>312</v>
      </c>
      <c r="E75" s="3" t="s">
        <v>313</v>
      </c>
      <c r="F75" s="3" t="s">
        <v>314</v>
      </c>
      <c r="G75" s="3" t="str">
        <f ca="1">IFERROR(__xludf.DUMMYFUNCTION("googletranslate(D75,""en"",""ja"")"),"アクロレイン")</f>
        <v>アクロレイン</v>
      </c>
      <c r="H75" s="3" t="str">
        <f ca="1">IFERROR(__xludf.DUMMYFUNCTION("googletranslate(E75,""en"",""ja"")"),"試料中のアクロレインの測定。")</f>
        <v>試料中のアクロレインの測定。</v>
      </c>
      <c r="I75" s="3" t="str">
        <f ca="1">IFERROR(__xludf.DUMMYFUNCTION("googletranslate(F75,""en"",""ja"")"),"アクロレイン測定")</f>
        <v>アクロレイン測定</v>
      </c>
    </row>
    <row r="76" spans="1:9">
      <c r="A76" s="3" t="s">
        <v>51</v>
      </c>
      <c r="B76" s="3" t="s">
        <v>311</v>
      </c>
      <c r="C76" s="3" t="s">
        <v>312</v>
      </c>
      <c r="D76" s="3" t="s">
        <v>312</v>
      </c>
      <c r="E76" s="3" t="s">
        <v>313</v>
      </c>
      <c r="F76" s="3" t="s">
        <v>314</v>
      </c>
      <c r="G76" s="3" t="str">
        <f ca="1">IFERROR(__xludf.DUMMYFUNCTION("googletranslate(D76,""en"",""ja"")"),"アクロレイン")</f>
        <v>アクロレイン</v>
      </c>
      <c r="H76" s="3" t="str">
        <f ca="1">IFERROR(__xludf.DUMMYFUNCTION("googletranslate(E76,""en"",""ja"")"),"試料中のアクロレインの測定。")</f>
        <v>試料中のアクロレインの測定。</v>
      </c>
      <c r="I76" s="3" t="str">
        <f ca="1">IFERROR(__xludf.DUMMYFUNCTION("googletranslate(F76,""en"",""ja"")"),"アクロレイン測定")</f>
        <v>アクロレイン測定</v>
      </c>
    </row>
    <row r="77" spans="1:9">
      <c r="A77" s="3" t="s">
        <v>6</v>
      </c>
      <c r="B77" s="3" t="s">
        <v>315</v>
      </c>
      <c r="C77" s="3" t="s">
        <v>316</v>
      </c>
      <c r="D77" s="3" t="s">
        <v>316</v>
      </c>
      <c r="E77" s="3" t="s">
        <v>317</v>
      </c>
      <c r="F77" s="3" t="s">
        <v>318</v>
      </c>
      <c r="G77" s="3" t="str">
        <f ca="1">IFERROR(__xludf.DUMMYFUNCTION("googletranslate(D77,""en"",""ja"")"),"アクリロニトリル")</f>
        <v>アクリロニトリル</v>
      </c>
      <c r="H77" s="3" t="str">
        <f ca="1">IFERROR(__xludf.DUMMYFUNCTION("googletranslate(E77,""en"",""ja"")"),"試験片中のアクリロニトリルの測定。")</f>
        <v>試験片中のアクリロニトリルの測定。</v>
      </c>
      <c r="I77" s="3" t="str">
        <f ca="1">IFERROR(__xludf.DUMMYFUNCTION("googletranslate(F77,""en"",""ja"")"),"アクリロニトリル測定")</f>
        <v>アクリロニトリル測定</v>
      </c>
    </row>
    <row r="78" spans="1:9">
      <c r="A78" s="3" t="s">
        <v>51</v>
      </c>
      <c r="B78" s="3" t="s">
        <v>315</v>
      </c>
      <c r="C78" s="3" t="s">
        <v>316</v>
      </c>
      <c r="D78" s="3" t="s">
        <v>316</v>
      </c>
      <c r="E78" s="3" t="s">
        <v>317</v>
      </c>
      <c r="F78" s="3" t="s">
        <v>318</v>
      </c>
      <c r="G78" s="3" t="str">
        <f ca="1">IFERROR(__xludf.DUMMYFUNCTION("googletranslate(D78,""en"",""ja"")"),"アクリロニトリル")</f>
        <v>アクリロニトリル</v>
      </c>
      <c r="H78" s="3" t="str">
        <f ca="1">IFERROR(__xludf.DUMMYFUNCTION("googletranslate(E78,""en"",""ja"")"),"試験片中のアクリロニトリルの測定。")</f>
        <v>試験片中のアクリロニトリルの測定。</v>
      </c>
      <c r="I78" s="3" t="str">
        <f ca="1">IFERROR(__xludf.DUMMYFUNCTION("googletranslate(F78,""en"",""ja"")"),"アクリロニトリル測定")</f>
        <v>アクリロニトリル測定</v>
      </c>
    </row>
    <row r="79" spans="1:9" ht="30">
      <c r="A79" s="3" t="s">
        <v>6</v>
      </c>
      <c r="B79" s="3" t="s">
        <v>319</v>
      </c>
      <c r="C79" s="3" t="s">
        <v>320</v>
      </c>
      <c r="D79" s="3" t="s">
        <v>320</v>
      </c>
      <c r="E79" s="3" t="s">
        <v>321</v>
      </c>
      <c r="F79" s="3" t="s">
        <v>322</v>
      </c>
      <c r="G79" s="3" t="str">
        <f ca="1">IFERROR(__xludf.DUMMYFUNCTION("googletranslate(D79,""en"",""ja"")"),"酸性スフィンゴミエリナーゼ")</f>
        <v>酸性スフィンゴミエリナーゼ</v>
      </c>
      <c r="H79" s="3" t="str">
        <f ca="1">IFERROR(__xludf.DUMMYFUNCTION("googletranslate(E79,""en"",""ja"")"),"生物学的標本中の酸性スフィンゴミエリナーゼの測定。")</f>
        <v>生物学的標本中の酸性スフィンゴミエリナーゼの測定。</v>
      </c>
      <c r="I79" s="3" t="str">
        <f ca="1">IFERROR(__xludf.DUMMYFUNCTION("googletranslate(F79,""en"",""ja"")"),"スフィンゴミエリンホスホジエステラーゼの測定")</f>
        <v>スフィンゴミエリンホスホジエステラーゼの測定</v>
      </c>
    </row>
    <row r="80" spans="1:9" ht="30">
      <c r="A80" s="3" t="s">
        <v>6</v>
      </c>
      <c r="B80" s="3" t="s">
        <v>323</v>
      </c>
      <c r="C80" s="3" t="s">
        <v>324</v>
      </c>
      <c r="D80" s="3" t="s">
        <v>325</v>
      </c>
      <c r="E80" s="3" t="s">
        <v>326</v>
      </c>
      <c r="F80" s="3" t="s">
        <v>324</v>
      </c>
      <c r="G80" s="3" t="str">
        <f ca="1">IFERROR(__xludf.DUMMYFUNCTION("googletranslate(D80,""en"",""ja"")"),"活性化された凝固時間。活性化凝固時間")</f>
        <v>活性化された凝固時間。活性化凝固時間</v>
      </c>
      <c r="H80" s="3" t="str">
        <f ca="1">IFERROR(__xludf.DUMMYFUNCTION("googletranslate(E80,""en"",""ja"")"),"抗凝固療法に応じた血液凝固の阻害の測定。")</f>
        <v>抗凝固療法に応じた血液凝固の阻害の測定。</v>
      </c>
      <c r="I80" s="3" t="str">
        <f ca="1">IFERROR(__xludf.DUMMYFUNCTION("googletranslate(F80,""en"",""ja"")"),"活性化凝固時間")</f>
        <v>活性化凝固時間</v>
      </c>
    </row>
    <row r="81" spans="1:9" ht="45">
      <c r="A81" s="3" t="s">
        <v>6</v>
      </c>
      <c r="B81" s="3" t="s">
        <v>327</v>
      </c>
      <c r="C81" s="3" t="s">
        <v>328</v>
      </c>
      <c r="D81" s="3" t="s">
        <v>329</v>
      </c>
      <c r="E81" s="3" t="s">
        <v>330</v>
      </c>
      <c r="F81" s="3" t="s">
        <v>331</v>
      </c>
      <c r="G81" s="3" t="str">
        <f ca="1">IFERROR(__xludf.DUMMYFUNCTION("googletranslate(D81,""en"",""ja"")"),"アセト酢酸排泄率;アセト酢酸排泄率")</f>
        <v>アセト酢酸排泄率;アセト酢酸排泄率</v>
      </c>
      <c r="H81" s="3" t="str">
        <f ca="1">IFERROR(__xludf.DUMMYFUNCTION("googletranslate(E81,""en"",""ja"")"),"規定の期間（例：1 時間）にわたって生物学的標本中に排泄されるアセト酢酸の量の測定。")</f>
        <v>規定の期間（例：1 時間）にわたって生物学的標本中に排泄されるアセト酢酸の量の測定。</v>
      </c>
      <c r="I81" s="3" t="str">
        <f ca="1">IFERROR(__xludf.DUMMYFUNCTION("googletranslate(F81,""en"",""ja"")"),"アセト酢酸排泄率測定")</f>
        <v>アセト酢酸排泄率測定</v>
      </c>
    </row>
    <row r="82" spans="1:9">
      <c r="A82" s="3" t="s">
        <v>6</v>
      </c>
      <c r="B82" s="3" t="s">
        <v>332</v>
      </c>
      <c r="C82" s="3" t="s">
        <v>333</v>
      </c>
      <c r="D82" s="3" t="s">
        <v>333</v>
      </c>
      <c r="E82" s="3" t="s">
        <v>334</v>
      </c>
      <c r="F82" s="3" t="s">
        <v>335</v>
      </c>
      <c r="G82" s="3" t="str">
        <f ca="1">IFERROR(__xludf.DUMMYFUNCTION("googletranslate(D82,""en"",""ja"")"),"アセトアルデヒド")</f>
        <v>アセトアルデヒド</v>
      </c>
      <c r="H82" s="3" t="str">
        <f ca="1">IFERROR(__xludf.DUMMYFUNCTION("googletranslate(E82,""en"",""ja"")"),"試料中のアセトアルデヒドの測定。")</f>
        <v>試料中のアセトアルデヒドの測定。</v>
      </c>
      <c r="I82" s="3" t="str">
        <f ca="1">IFERROR(__xludf.DUMMYFUNCTION("googletranslate(F82,""en"",""ja"")"),"アセトアルデヒドの測定")</f>
        <v>アセトアルデヒドの測定</v>
      </c>
    </row>
    <row r="83" spans="1:9">
      <c r="A83" s="3" t="s">
        <v>51</v>
      </c>
      <c r="B83" s="3" t="s">
        <v>332</v>
      </c>
      <c r="C83" s="3" t="s">
        <v>333</v>
      </c>
      <c r="D83" s="3" t="s">
        <v>333</v>
      </c>
      <c r="E83" s="3" t="s">
        <v>334</v>
      </c>
      <c r="F83" s="3" t="s">
        <v>335</v>
      </c>
      <c r="G83" s="3" t="str">
        <f ca="1">IFERROR(__xludf.DUMMYFUNCTION("googletranslate(D83,""en"",""ja"")"),"アセトアルデヒド")</f>
        <v>アセトアルデヒド</v>
      </c>
      <c r="H83" s="3" t="str">
        <f ca="1">IFERROR(__xludf.DUMMYFUNCTION("googletranslate(E83,""en"",""ja"")"),"試料中のアセトアルデヒドの測定。")</f>
        <v>試料中のアセトアルデヒドの測定。</v>
      </c>
      <c r="I83" s="3" t="str">
        <f ca="1">IFERROR(__xludf.DUMMYFUNCTION("googletranslate(F83,""en"",""ja"")"),"アセトアルデヒドの測定")</f>
        <v>アセトアルデヒドの測定</v>
      </c>
    </row>
    <row r="84" spans="1:9" ht="30">
      <c r="A84" s="3" t="s">
        <v>6</v>
      </c>
      <c r="B84" s="3" t="s">
        <v>336</v>
      </c>
      <c r="C84" s="3" t="s">
        <v>337</v>
      </c>
      <c r="D84" s="3" t="s">
        <v>338</v>
      </c>
      <c r="E84" s="3" t="s">
        <v>339</v>
      </c>
      <c r="F84" s="3" t="s">
        <v>340</v>
      </c>
      <c r="G84" s="3" t="str">
        <f ca="1">IFERROR(__xludf.DUMMYFUNCTION("googletranslate(D84,""en"",""ja"")"),"アクチンベータ。 B-アクチン;ベータアクチン")</f>
        <v>アクチンベータ。 B-アクチン;ベータアクチン</v>
      </c>
      <c r="H84" s="3" t="str">
        <f ca="1">IFERROR(__xludf.DUMMYFUNCTION("googletranslate(E84,""en"",""ja"")"),"生物学的標本中のベータアクチンの測定。")</f>
        <v>生物学的標本中のベータアクチンの測定。</v>
      </c>
      <c r="I84" s="3" t="str">
        <f ca="1">IFERROR(__xludf.DUMMYFUNCTION("googletranslate(F84,""en"",""ja"")"),"ベータアクチンの測定")</f>
        <v>ベータアクチンの測定</v>
      </c>
    </row>
    <row r="85" spans="1:9" ht="30">
      <c r="A85" s="3" t="s">
        <v>6</v>
      </c>
      <c r="B85" s="3" t="s">
        <v>341</v>
      </c>
      <c r="C85" s="3" t="s">
        <v>342</v>
      </c>
      <c r="D85" s="3" t="s">
        <v>343</v>
      </c>
      <c r="E85" s="3" t="s">
        <v>344</v>
      </c>
      <c r="F85" s="3" t="s">
        <v>345</v>
      </c>
      <c r="G85" s="3" t="str">
        <f ca="1">IFERROR(__xludf.DUMMYFUNCTION("googletranslate(D85,""en"",""ja"")"),"副腎皮質刺激ホルモン;コルチコトロピン")</f>
        <v>副腎皮質刺激ホルモン;コルチコトロピン</v>
      </c>
      <c r="H85" s="3" t="str">
        <f ca="1">IFERROR(__xludf.DUMMYFUNCTION("googletranslate(E85,""en"",""ja"")"),"生体標本中の副腎皮質刺激ホルモンの測定。")</f>
        <v>生体標本中の副腎皮質刺激ホルモンの測定。</v>
      </c>
      <c r="I85" s="3" t="str">
        <f ca="1">IFERROR(__xludf.DUMMYFUNCTION("googletranslate(F85,""en"",""ja"")"),"副腎皮質刺激ホルモン測定")</f>
        <v>副腎皮質刺激ホルモン測定</v>
      </c>
    </row>
    <row r="86" spans="1:9" ht="45">
      <c r="A86" s="3" t="s">
        <v>51</v>
      </c>
      <c r="B86" s="3" t="s">
        <v>346</v>
      </c>
      <c r="C86" s="3" t="s">
        <v>347</v>
      </c>
      <c r="D86" s="3" t="s">
        <v>348</v>
      </c>
      <c r="E86" s="3" t="s">
        <v>349</v>
      </c>
      <c r="F86" s="3" t="s">
        <v>350</v>
      </c>
      <c r="G86" s="3" t="str">
        <f ca="1">IFERROR(__xludf.DUMMYFUNCTION("googletranslate(D86,""en"",""ja"")"),"2,3-ペンタンジオン;アセチルプロピオニル;アセチルプロピオニル")</f>
        <v>2,3-ペンタンジオン;アセチルプロピオニル;アセチルプロピオニル</v>
      </c>
      <c r="H86" s="3" t="str">
        <f ca="1">IFERROR(__xludf.DUMMYFUNCTION("googletranslate(E86,""en"",""ja"")"),"試料中のアセチルプロピオニルの測定。")</f>
        <v>試料中のアセチルプロピオニルの測定。</v>
      </c>
      <c r="I86" s="3" t="str">
        <f ca="1">IFERROR(__xludf.DUMMYFUNCTION("googletranslate(F86,""en"",""ja"")"),"アセチルプロピオニルの測定")</f>
        <v>アセチルプロピオニルの測定</v>
      </c>
    </row>
    <row r="87" spans="1:9" ht="30">
      <c r="A87" s="3" t="s">
        <v>6</v>
      </c>
      <c r="B87" s="3" t="s">
        <v>351</v>
      </c>
      <c r="C87" s="3" t="s">
        <v>352</v>
      </c>
      <c r="D87" s="3" t="s">
        <v>352</v>
      </c>
      <c r="E87" s="3" t="s">
        <v>353</v>
      </c>
      <c r="F87" s="3" t="s">
        <v>354</v>
      </c>
      <c r="G87" s="3" t="str">
        <f ca="1">IFERROR(__xludf.DUMMYFUNCTION("googletranslate(D87,""en"",""ja"")"),"アクチビンA")</f>
        <v>アクチビンA</v>
      </c>
      <c r="H87" s="3" t="str">
        <f ca="1">IFERROR(__xludf.DUMMYFUNCTION("googletranslate(E87,""en"",""ja"")"),"生物学的標本中のアクチビン A (インヒビン サブユニット ベータ A からなるホモ二量体) の測定。")</f>
        <v>生物学的標本中のアクチビン A (インヒビン サブユニット ベータ A からなるホモ二量体) の測定。</v>
      </c>
      <c r="I87" s="3" t="str">
        <f ca="1">IFERROR(__xludf.DUMMYFUNCTION("googletranslate(F87,""en"",""ja"")"),"アクチビンAの測定")</f>
        <v>アクチビンAの測定</v>
      </c>
    </row>
    <row r="88" spans="1:9" ht="45">
      <c r="A88" s="3" t="s">
        <v>6</v>
      </c>
      <c r="B88" s="3" t="s">
        <v>355</v>
      </c>
      <c r="C88" s="3" t="s">
        <v>356</v>
      </c>
      <c r="D88" s="3" t="s">
        <v>356</v>
      </c>
      <c r="E88" s="3" t="s">
        <v>357</v>
      </c>
      <c r="F88" s="3" t="s">
        <v>358</v>
      </c>
      <c r="G88" s="3" t="str">
        <f ca="1">IFERROR(__xludf.DUMMYFUNCTION("googletranslate(D88,""en"",""ja"")"),"アクチビンAB")</f>
        <v>アクチビンAB</v>
      </c>
      <c r="H88" s="3" t="str">
        <f ca="1">IFERROR(__xludf.DUMMYFUNCTION("googletranslate(E88,""en"",""ja"")"),"生物学的標本中のアクチビン AB (インヒビン サブユニット ベータ A とインヒビン サブユニット ベータ B からなるヘテロ二量体) の測定。")</f>
        <v>生物学的標本中のアクチビン AB (インヒビン サブユニット ベータ A とインヒビン サブユニット ベータ B からなるヘテロ二量体) の測定。</v>
      </c>
      <c r="I88" s="3" t="str">
        <f ca="1">IFERROR(__xludf.DUMMYFUNCTION("googletranslate(F88,""en"",""ja"")"),"アクチビンAB測定")</f>
        <v>アクチビンAB測定</v>
      </c>
    </row>
    <row r="89" spans="1:9" ht="30">
      <c r="A89" s="3" t="s">
        <v>6</v>
      </c>
      <c r="B89" s="3" t="s">
        <v>359</v>
      </c>
      <c r="C89" s="3" t="s">
        <v>360</v>
      </c>
      <c r="D89" s="3" t="s">
        <v>360</v>
      </c>
      <c r="E89" s="3" t="s">
        <v>361</v>
      </c>
      <c r="F89" s="3" t="s">
        <v>362</v>
      </c>
      <c r="G89" s="3" t="str">
        <f ca="1">IFERROR(__xludf.DUMMYFUNCTION("googletranslate(D89,""en"",""ja"")"),"アクチビンB")</f>
        <v>アクチビンB</v>
      </c>
      <c r="H89" s="3" t="str">
        <f ca="1">IFERROR(__xludf.DUMMYFUNCTION("googletranslate(E89,""en"",""ja"")"),"生物学的標本中のアクチビン B (インヒビン サブユニット ベータ B からなるホモ二量体) の測定。")</f>
        <v>生物学的標本中のアクチビン B (インヒビン サブユニット ベータ B からなるホモ二量体) の測定。</v>
      </c>
      <c r="I89" s="3" t="str">
        <f ca="1">IFERROR(__xludf.DUMMYFUNCTION("googletranslate(F89,""en"",""ja"")"),"アクチビンBの測定")</f>
        <v>アクチビンBの測定</v>
      </c>
    </row>
    <row r="90" spans="1:9" ht="45">
      <c r="A90" s="3" t="s">
        <v>185</v>
      </c>
      <c r="B90" s="3" t="s">
        <v>363</v>
      </c>
      <c r="C90" s="3" t="s">
        <v>364</v>
      </c>
      <c r="D90" s="3" t="s">
        <v>364</v>
      </c>
      <c r="E90" s="3" t="s">
        <v>365</v>
      </c>
      <c r="F90" s="3" t="s">
        <v>364</v>
      </c>
      <c r="G90" s="3" t="str">
        <f ca="1">IFERROR(__xludf.DUMMYFUNCTION("googletranslate(D90,""en"",""ja"")"),"最も重度の急性ストレッサー")</f>
        <v>最も重度の急性ストレッサー</v>
      </c>
      <c r="H90" s="3" t="str">
        <f ca="1">IFERROR(__xludf.DUMMYFUNCTION("googletranslate(E90,""en"",""ja"")"),"急性の頻度でストレスを引き起こす要因、刺激、活動、または出来事。最も深刻なレベルを持ちます。")</f>
        <v>急性の頻度でストレスを引き起こす要因、刺激、活動、または出来事。最も深刻なレベルを持ちます。</v>
      </c>
      <c r="I90" s="3" t="str">
        <f ca="1">IFERROR(__xludf.DUMMYFUNCTION("googletranslate(F90,""en"",""ja"")"),"最も重度の急性ストレッサー")</f>
        <v>最も重度の急性ストレッサー</v>
      </c>
    </row>
    <row r="91" spans="1:9">
      <c r="A91" s="3" t="s">
        <v>6</v>
      </c>
      <c r="B91" s="3" t="s">
        <v>366</v>
      </c>
      <c r="C91" s="3" t="s">
        <v>367</v>
      </c>
      <c r="D91" s="3" t="s">
        <v>367</v>
      </c>
      <c r="E91" s="3" t="s">
        <v>368</v>
      </c>
      <c r="F91" s="3" t="s">
        <v>369</v>
      </c>
      <c r="G91" s="3" t="str">
        <f ca="1">IFERROR(__xludf.DUMMYFUNCTION("googletranslate(D91,""en"",""ja"")"),"アシルカルニチン")</f>
        <v>アシルカルニチン</v>
      </c>
      <c r="H91" s="3" t="str">
        <f ca="1">IFERROR(__xludf.DUMMYFUNCTION("googletranslate(E91,""en"",""ja"")"),"生物学的標本中のアシルカルニチンの測定。")</f>
        <v>生物学的標本中のアシルカルニチンの測定。</v>
      </c>
      <c r="I91" s="3" t="str">
        <f ca="1">IFERROR(__xludf.DUMMYFUNCTION("googletranslate(F91,""en"",""ja"")"),"アシルカルニチンの測定")</f>
        <v>アシルカルニチンの測定</v>
      </c>
    </row>
    <row r="92" spans="1:9">
      <c r="A92" s="3" t="s">
        <v>6</v>
      </c>
      <c r="B92" s="3" t="s">
        <v>370</v>
      </c>
      <c r="C92" s="3" t="s">
        <v>371</v>
      </c>
      <c r="D92" s="3" t="s">
        <v>371</v>
      </c>
      <c r="E92" s="3" t="s">
        <v>372</v>
      </c>
      <c r="F92" s="3" t="s">
        <v>373</v>
      </c>
      <c r="G92" s="3" t="str">
        <f ca="1">IFERROR(__xludf.DUMMYFUNCTION("googletranslate(D92,""en"",""ja"")"),"アシルグリシン")</f>
        <v>アシルグリシン</v>
      </c>
      <c r="H92" s="3" t="str">
        <f ca="1">IFERROR(__xludf.DUMMYFUNCTION("googletranslate(E92,""en"",""ja"")"),"生物学的標本中のアシルグリシンの測定。")</f>
        <v>生物学的標本中のアシルグリシンの測定。</v>
      </c>
      <c r="I92" s="3" t="str">
        <f ca="1">IFERROR(__xludf.DUMMYFUNCTION("googletranslate(F92,""en"",""ja"")"),"アシルグリシンの測定")</f>
        <v>アシルグリシンの測定</v>
      </c>
    </row>
    <row r="93" spans="1:9" ht="60">
      <c r="A93" s="3" t="s">
        <v>6</v>
      </c>
      <c r="B93" s="3" t="s">
        <v>374</v>
      </c>
      <c r="C93" s="3" t="s">
        <v>375</v>
      </c>
      <c r="D93" s="3" t="s">
        <v>376</v>
      </c>
      <c r="E93" s="3" t="s">
        <v>377</v>
      </c>
      <c r="F93" s="3" t="s">
        <v>378</v>
      </c>
      <c r="G93" s="3" t="str">
        <f ca="1">IFERROR(__xludf.DUMMYFUNCTION("googletranslate(D93,""en"",""ja"")"),"アシルCoAオキシダーゼ;アシルコエンザイムAオキシダーゼ;脂肪アシルコエンザイムAオキシダーゼ")</f>
        <v>アシルCoAオキシダーゼ;アシルコエンザイムAオキシダーゼ;脂肪アシルコエンザイムAオキシダーゼ</v>
      </c>
      <c r="H93" s="3" t="str">
        <f ca="1">IFERROR(__xludf.DUMMYFUNCTION("googletranslate(E93,""en"",""ja"")"),"生物学的標本中のアシルコエンザイム A オキシダーゼの測定。")</f>
        <v>生物学的標本中のアシルコエンザイム A オキシダーゼの測定。</v>
      </c>
      <c r="I93" s="3" t="str">
        <f ca="1">IFERROR(__xludf.DUMMYFUNCTION("googletranslate(F93,""en"",""ja"")"),"アシルコエンザイムAオキシダーゼの測定")</f>
        <v>アシルコエンザイムAオキシダーゼの測定</v>
      </c>
    </row>
    <row r="94" spans="1:9" ht="60">
      <c r="A94" s="3" t="s">
        <v>180</v>
      </c>
      <c r="B94" s="3" t="s">
        <v>379</v>
      </c>
      <c r="C94" s="3" t="s">
        <v>380</v>
      </c>
      <c r="D94" s="3" t="s">
        <v>380</v>
      </c>
      <c r="E94" s="3" t="s">
        <v>381</v>
      </c>
      <c r="F94" s="3" t="s">
        <v>382</v>
      </c>
      <c r="G94" s="3" t="str">
        <f ca="1">IFERROR(__xludf.DUMMYFUNCTION("googletranslate(D94,""en"",""ja"")"),"抗薬物抗体の結合")</f>
        <v>抗薬物抗体の結合</v>
      </c>
      <c r="H94" s="3" t="str">
        <f ca="1">IFERROR(__xludf.DUMMYFUNCTION("googletranslate(E94,""en"",""ja"")"),"生物学的検体中の抗薬物抗体の結合の測定。結合抗薬物抗体は、試験品および／または試験品の一部に結合する抗体である。")</f>
        <v>生物学的検体中の抗薬物抗体の結合の測定。結合抗薬物抗体は、試験品および／または試験品の一部に結合する抗体である。</v>
      </c>
      <c r="I94" s="3" t="str">
        <f ca="1">IFERROR(__xludf.DUMMYFUNCTION("googletranslate(F94,""en"",""ja"")"),"結合抗薬物抗体の測定")</f>
        <v>結合抗薬物抗体の測定</v>
      </c>
    </row>
    <row r="95" spans="1:9" ht="75">
      <c r="A95" s="3" t="s">
        <v>180</v>
      </c>
      <c r="B95" s="3" t="s">
        <v>383</v>
      </c>
      <c r="C95" s="3" t="s">
        <v>384</v>
      </c>
      <c r="D95" s="3" t="s">
        <v>384</v>
      </c>
      <c r="E95" s="3" t="s">
        <v>385</v>
      </c>
      <c r="F95" s="3" t="s">
        <v>386</v>
      </c>
      <c r="G95" s="3" t="str">
        <f ca="1">IFERROR(__xludf.DUMMYFUNCTION("googletranslate(D95,""en"",""ja"")"),"結合抗薬物抗体の中和")</f>
        <v>結合抗薬物抗体の中和</v>
      </c>
      <c r="H95" s="3" t="str">
        <f ca="1">IFERROR(__xludf.DUMMYFUNCTION("googletranslate(E95,""en"",""ja"")"),"生物学的検体中の中和結合抗薬物抗体の測定。中和結合抗薬物抗体は、被験物質の機能部分に結合して薬理活性の低下または無効化をもたらすADAの一種です。")</f>
        <v>生物学的検体中の中和結合抗薬物抗体の測定。中和結合抗薬物抗体は、被験物質の機能部分に結合して薬理活性の低下または無効化をもたらすADAの一種です。</v>
      </c>
      <c r="I95" s="3" t="str">
        <f ca="1">IFERROR(__xludf.DUMMYFUNCTION("googletranslate(F95,""en"",""ja"")"),"中和結合抗薬物抗体の測定")</f>
        <v>中和結合抗薬物抗体の測定</v>
      </c>
    </row>
    <row r="96" spans="1:9" ht="75">
      <c r="A96" s="3" t="s">
        <v>180</v>
      </c>
      <c r="B96" s="3" t="s">
        <v>387</v>
      </c>
      <c r="C96" s="3" t="s">
        <v>388</v>
      </c>
      <c r="D96" s="3" t="s">
        <v>389</v>
      </c>
      <c r="E96" s="3" t="s">
        <v>390</v>
      </c>
      <c r="F96" s="3" t="s">
        <v>391</v>
      </c>
      <c r="G96" s="3" t="str">
        <f ca="1">IFERROR(__xludf.DUMMYFUNCTION("googletranslate(D96,""en"",""ja"")"),"Neutraliz Cross-React Bind Antidrug AB;交差反応性結合を中和する抗薬物抗体")</f>
        <v>Neutraliz Cross-React Bind Antidrug AB;交差反応性結合を中和する抗薬物抗体</v>
      </c>
      <c r="H96" s="3" t="str">
        <f ca="1">IFERROR(__xludf.DUMMYFUNCTION("googletranslate(E96,""en"",""ja"")"),"生物学的検体中の中和交差反応性結合抗薬物抗体の測定。中和交差反応性結合抗薬物抗体は、類似体と構造的に類似した内因性分子に結合する ADA の一種です。")</f>
        <v>生物学的検体中の中和交差反応性結合抗薬物抗体の測定。中和交差反応性結合抗薬物抗体は、類似体と構造的に類似した内因性分子に結合する ADA の一種です。</v>
      </c>
      <c r="I96" s="3" t="str">
        <f ca="1">IFERROR(__xludf.DUMMYFUNCTION("googletranslate(F96,""en"",""ja"")"),"交差反応中和結合抗薬物抗体の測定")</f>
        <v>交差反応中和結合抗薬物抗体の測定</v>
      </c>
    </row>
    <row r="97" spans="1:9" ht="75">
      <c r="A97" s="3" t="s">
        <v>180</v>
      </c>
      <c r="B97" s="3" t="s">
        <v>392</v>
      </c>
      <c r="C97" s="3" t="s">
        <v>393</v>
      </c>
      <c r="D97" s="3" t="s">
        <v>393</v>
      </c>
      <c r="E97" s="3" t="s">
        <v>394</v>
      </c>
      <c r="F97" s="3" t="s">
        <v>395</v>
      </c>
      <c r="G97" s="3" t="str">
        <f ca="1">IFERROR(__xludf.DUMMYFUNCTION("googletranslate(D97,""en"",""ja"")"),"交差反応性結合抗薬物抗体")</f>
        <v>交差反応性結合抗薬物抗体</v>
      </c>
      <c r="H97" s="3" t="str">
        <f ca="1">IFERROR(__xludf.DUMMYFUNCTION("googletranslate(E97,""en"",""ja"")"),"生物学的検体中の交差反応性結合抗薬物抗体の測定。交差反応性結合抗薬物抗体は、アナログ被験物質と構造的に類似した内因性分子に結合する ADA の一種です。")</f>
        <v>生物学的検体中の交差反応性結合抗薬物抗体の測定。交差反応性結合抗薬物抗体は、アナログ被験物質と構造的に類似した内因性分子に結合する ADA の一種です。</v>
      </c>
      <c r="I97" s="3" t="str">
        <f ca="1">IFERROR(__xludf.DUMMYFUNCTION("googletranslate(F97,""en"",""ja"")"),"交差反応性結合抗薬物抗体の測定")</f>
        <v>交差反応性結合抗薬物抗体の測定</v>
      </c>
    </row>
    <row r="98" spans="1:9" ht="60">
      <c r="A98" s="3" t="s">
        <v>6</v>
      </c>
      <c r="B98" s="3" t="s">
        <v>396</v>
      </c>
      <c r="C98" s="3" t="s">
        <v>397</v>
      </c>
      <c r="D98" s="3" t="s">
        <v>398</v>
      </c>
      <c r="E98" s="3" t="s">
        <v>399</v>
      </c>
      <c r="F98" s="3" t="s">
        <v>400</v>
      </c>
      <c r="G98" s="3" t="str">
        <f ca="1">IFERROR(__xludf.DUMMYFUNCTION("googletranslate(D98,""en"",""ja"")"),"ディスインテグリンおよびメタロプロテイナーゼ ドメイン 8; ADAM メタロペプチダーゼ ドメイン 8;可溶性CD156a")</f>
        <v>ディスインテグリンおよびメタロプロテイナーゼ ドメイン 8; ADAM メタロペプチダーゼ ドメイン 8;可溶性CD156a</v>
      </c>
      <c r="H98" s="3" t="str">
        <f ca="1">IFERROR(__xludf.DUMMYFUNCTION("googletranslate(E98,""en"",""ja"")"),"生物学的標本中の ADAM メタロペプチダーゼ ドメイン 8 タンパク質の測定。")</f>
        <v>生物学的標本中の ADAM メタロペプチダーゼ ドメイン 8 タンパク質の測定。</v>
      </c>
      <c r="I98" s="3" t="str">
        <f ca="1">IFERROR(__xludf.DUMMYFUNCTION("googletranslate(F98,""en"",""ja"")"),"ADAMメタロペプチダーゼドメイン8の測定")</f>
        <v>ADAMメタロペプチダーゼドメイン8の測定</v>
      </c>
    </row>
    <row r="99" spans="1:9" ht="135">
      <c r="A99" s="3" t="s">
        <v>6</v>
      </c>
      <c r="B99" s="3" t="s">
        <v>401</v>
      </c>
      <c r="C99" s="3" t="s">
        <v>401</v>
      </c>
      <c r="D99" s="3" t="s">
        <v>402</v>
      </c>
      <c r="E99" s="3" t="s">
        <v>403</v>
      </c>
      <c r="F99" s="3" t="s">
        <v>404</v>
      </c>
      <c r="G99" s="3" t="str">
        <f ca="1">IFERROR(__xludf.DUMMYFUNCTION("googletranslate(D99,""en"",""ja"")"),"トロンボスポンジン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f>
        <v>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v>
      </c>
      <c r="H99" s="3" t="str">
        <f ca="1">IFERROR(__xludf.DUMMYFUNCTION("googletranslate(E99,""en"",""ja"")"),"生体標本におけるフォン ヴィレブランド凝固因子切断プロテアーゼ ADAMTS13 の測定。")</f>
        <v>生体標本におけるフォン ヴィレブランド凝固因子切断プロテアーゼ ADAMTS13 の測定。</v>
      </c>
      <c r="I99" s="3" t="str">
        <f ca="1">IFERROR(__xludf.DUMMYFUNCTION("googletranslate(F99,""en"",""ja"")"),"フォン・ヴィレブランド凝固因子切断プロテアーゼの測定")</f>
        <v>フォン・ヴィレブランド凝固因子切断プロテアーゼの測定</v>
      </c>
    </row>
    <row r="100" spans="1:9" ht="30">
      <c r="A100" s="3" t="s">
        <v>180</v>
      </c>
      <c r="B100" s="3" t="s">
        <v>405</v>
      </c>
      <c r="C100" s="3" t="s">
        <v>406</v>
      </c>
      <c r="D100" s="3" t="s">
        <v>406</v>
      </c>
      <c r="E100" s="3" t="s">
        <v>407</v>
      </c>
      <c r="F100" s="3" t="s">
        <v>408</v>
      </c>
      <c r="G100" s="3" t="str">
        <f ca="1">IFERROR(__xludf.DUMMYFUNCTION("googletranslate(D100,""en"",""ja"")"),"抗薬物 IgA 抗体の結合")</f>
        <v>抗薬物 IgA 抗体の結合</v>
      </c>
      <c r="H100" s="3" t="str">
        <f ca="1">IFERROR(__xludf.DUMMYFUNCTION("googletranslate(E100,""en"",""ja"")"),"生物学的検体中の抗薬物 IgA 抗体の結合の測定。")</f>
        <v>生物学的検体中の抗薬物 IgA 抗体の結合の測定。</v>
      </c>
      <c r="I100" s="3" t="str">
        <f ca="1">IFERROR(__xludf.DUMMYFUNCTION("googletranslate(F100,""en"",""ja"")"),"結合抗薬物 IgA 抗体測定")</f>
        <v>結合抗薬物 IgA 抗体測定</v>
      </c>
    </row>
    <row r="101" spans="1:9" ht="30">
      <c r="A101" s="3" t="s">
        <v>180</v>
      </c>
      <c r="B101" s="3" t="s">
        <v>409</v>
      </c>
      <c r="C101" s="3" t="s">
        <v>410</v>
      </c>
      <c r="D101" s="3" t="s">
        <v>410</v>
      </c>
      <c r="E101" s="3" t="s">
        <v>411</v>
      </c>
      <c r="F101" s="3" t="s">
        <v>412</v>
      </c>
      <c r="G101" s="3" t="str">
        <f ca="1">IFERROR(__xludf.DUMMYFUNCTION("googletranslate(D101,""en"",""ja"")"),"抗薬物 IgE 抗体の結合")</f>
        <v>抗薬物 IgE 抗体の結合</v>
      </c>
      <c r="H101" s="3" t="str">
        <f ca="1">IFERROR(__xludf.DUMMYFUNCTION("googletranslate(E101,""en"",""ja"")"),"生物学的検体中の抗薬物 IgE 抗体の結合の測定。")</f>
        <v>生物学的検体中の抗薬物 IgE 抗体の結合の測定。</v>
      </c>
      <c r="I101" s="3" t="str">
        <f ca="1">IFERROR(__xludf.DUMMYFUNCTION("googletranslate(F101,""en"",""ja"")"),"結合抗薬物IgE抗体測定")</f>
        <v>結合抗薬物IgE抗体測定</v>
      </c>
    </row>
    <row r="102" spans="1:9" ht="30">
      <c r="A102" s="3" t="s">
        <v>180</v>
      </c>
      <c r="B102" s="3" t="s">
        <v>413</v>
      </c>
      <c r="C102" s="3" t="s">
        <v>414</v>
      </c>
      <c r="D102" s="3" t="s">
        <v>414</v>
      </c>
      <c r="E102" s="3" t="s">
        <v>415</v>
      </c>
      <c r="F102" s="3" t="s">
        <v>416</v>
      </c>
      <c r="G102" s="3" t="str">
        <f ca="1">IFERROR(__xludf.DUMMYFUNCTION("googletranslate(D102,""en"",""ja"")"),"抗薬物 IgG 抗体の結合")</f>
        <v>抗薬物 IgG 抗体の結合</v>
      </c>
      <c r="H102" s="3" t="str">
        <f ca="1">IFERROR(__xludf.DUMMYFUNCTION("googletranslate(E102,""en"",""ja"")"),"生物学的検体中の抗薬物 IgG 抗体の結合の測定。")</f>
        <v>生物学的検体中の抗薬物 IgG 抗体の結合の測定。</v>
      </c>
      <c r="I102" s="3" t="str">
        <f ca="1">IFERROR(__xludf.DUMMYFUNCTION("googletranslate(F102,""en"",""ja"")"),"結合抗薬物IgG抗体測定")</f>
        <v>結合抗薬物IgG抗体測定</v>
      </c>
    </row>
    <row r="103" spans="1:9" ht="30">
      <c r="A103" s="3" t="s">
        <v>180</v>
      </c>
      <c r="B103" s="3" t="s">
        <v>417</v>
      </c>
      <c r="C103" s="3" t="s">
        <v>418</v>
      </c>
      <c r="D103" s="3" t="s">
        <v>418</v>
      </c>
      <c r="E103" s="3" t="s">
        <v>419</v>
      </c>
      <c r="F103" s="3" t="s">
        <v>420</v>
      </c>
      <c r="G103" s="3" t="str">
        <f ca="1">IFERROR(__xludf.DUMMYFUNCTION("googletranslate(D103,""en"",""ja"")"),"抗薬物 IgG1 抗体の結合")</f>
        <v>抗薬物 IgG1 抗体の結合</v>
      </c>
      <c r="H103" s="3" t="str">
        <f ca="1">IFERROR(__xludf.DUMMYFUNCTION("googletranslate(E103,""en"",""ja"")"),"生物学的検体中の抗薬物 IgG1 抗体の結合の測定。")</f>
        <v>生物学的検体中の抗薬物 IgG1 抗体の結合の測定。</v>
      </c>
      <c r="I103" s="3" t="str">
        <f ca="1">IFERROR(__xludf.DUMMYFUNCTION("googletranslate(F103,""en"",""ja"")"),"結合抗薬物 IgG1 抗体の測定")</f>
        <v>結合抗薬物 IgG1 抗体の測定</v>
      </c>
    </row>
    <row r="104" spans="1:9" ht="30">
      <c r="A104" s="3" t="s">
        <v>180</v>
      </c>
      <c r="B104" s="3" t="s">
        <v>421</v>
      </c>
      <c r="C104" s="3" t="s">
        <v>422</v>
      </c>
      <c r="D104" s="3" t="s">
        <v>422</v>
      </c>
      <c r="E104" s="3" t="s">
        <v>423</v>
      </c>
      <c r="F104" s="3" t="s">
        <v>424</v>
      </c>
      <c r="G104" s="3" t="str">
        <f ca="1">IFERROR(__xludf.DUMMYFUNCTION("googletranslate(D104,""en"",""ja"")"),"抗薬物 IgG2 抗体の結合")</f>
        <v>抗薬物 IgG2 抗体の結合</v>
      </c>
      <c r="H104" s="3" t="str">
        <f ca="1">IFERROR(__xludf.DUMMYFUNCTION("googletranslate(E104,""en"",""ja"")"),"生物学的検体中の抗薬物 IgG2 抗体の結合の測定。")</f>
        <v>生物学的検体中の抗薬物 IgG2 抗体の結合の測定。</v>
      </c>
      <c r="I104" s="3" t="str">
        <f ca="1">IFERROR(__xludf.DUMMYFUNCTION("googletranslate(F104,""en"",""ja"")"),"結合抗薬物 IgG2 抗体の測定")</f>
        <v>結合抗薬物 IgG2 抗体の測定</v>
      </c>
    </row>
    <row r="105" spans="1:9" ht="30">
      <c r="A105" s="3" t="s">
        <v>180</v>
      </c>
      <c r="B105" s="3" t="s">
        <v>425</v>
      </c>
      <c r="C105" s="3" t="s">
        <v>426</v>
      </c>
      <c r="D105" s="3" t="s">
        <v>426</v>
      </c>
      <c r="E105" s="3" t="s">
        <v>427</v>
      </c>
      <c r="F105" s="3" t="s">
        <v>428</v>
      </c>
      <c r="G105" s="3" t="str">
        <f ca="1">IFERROR(__xludf.DUMMYFUNCTION("googletranslate(D105,""en"",""ja"")"),"抗薬物 IgG3 抗体の結合")</f>
        <v>抗薬物 IgG3 抗体の結合</v>
      </c>
      <c r="H105" s="3" t="str">
        <f ca="1">IFERROR(__xludf.DUMMYFUNCTION("googletranslate(E105,""en"",""ja"")"),"生物学的検体中の抗薬物 IgG3 抗体の結合の測定。")</f>
        <v>生物学的検体中の抗薬物 IgG3 抗体の結合の測定。</v>
      </c>
      <c r="I105" s="3" t="str">
        <f ca="1">IFERROR(__xludf.DUMMYFUNCTION("googletranslate(F105,""en"",""ja"")"),"結合抗薬物 IgG3 抗体の測定")</f>
        <v>結合抗薬物 IgG3 抗体の測定</v>
      </c>
    </row>
    <row r="106" spans="1:9" ht="30">
      <c r="A106" s="3" t="s">
        <v>180</v>
      </c>
      <c r="B106" s="3" t="s">
        <v>429</v>
      </c>
      <c r="C106" s="3" t="s">
        <v>430</v>
      </c>
      <c r="D106" s="3" t="s">
        <v>430</v>
      </c>
      <c r="E106" s="3" t="s">
        <v>431</v>
      </c>
      <c r="F106" s="3" t="s">
        <v>432</v>
      </c>
      <c r="G106" s="3" t="str">
        <f ca="1">IFERROR(__xludf.DUMMYFUNCTION("googletranslate(D106,""en"",""ja"")"),"結合抗薬物 IgG4 抗体")</f>
        <v>結合抗薬物 IgG4 抗体</v>
      </c>
      <c r="H106" s="3" t="str">
        <f ca="1">IFERROR(__xludf.DUMMYFUNCTION("googletranslate(E106,""en"",""ja"")"),"生物学的検体中の抗薬物 IgG4 抗体の結合の測定。")</f>
        <v>生物学的検体中の抗薬物 IgG4 抗体の結合の測定。</v>
      </c>
      <c r="I106" s="3" t="str">
        <f ca="1">IFERROR(__xludf.DUMMYFUNCTION("googletranslate(F106,""en"",""ja"")"),"結合抗薬物 IgG4 抗体の測定")</f>
        <v>結合抗薬物 IgG4 抗体の測定</v>
      </c>
    </row>
    <row r="107" spans="1:9" ht="30">
      <c r="A107" s="3" t="s">
        <v>180</v>
      </c>
      <c r="B107" s="3" t="s">
        <v>433</v>
      </c>
      <c r="C107" s="3" t="s">
        <v>434</v>
      </c>
      <c r="D107" s="3" t="s">
        <v>434</v>
      </c>
      <c r="E107" s="3" t="s">
        <v>435</v>
      </c>
      <c r="F107" s="3" t="s">
        <v>436</v>
      </c>
      <c r="G107" s="3" t="str">
        <f ca="1">IFERROR(__xludf.DUMMYFUNCTION("googletranslate(D107,""en"",""ja"")"),"抗薬物 IgG/IgM 抗体の結合")</f>
        <v>抗薬物 IgG/IgM 抗体の結合</v>
      </c>
      <c r="H107" s="3" t="str">
        <f ca="1">IFERROR(__xludf.DUMMYFUNCTION("googletranslate(E107,""en"",""ja"")"),"生物学的検体中の抗薬物 IgG および/または IgM 抗体の結合の測定。")</f>
        <v>生物学的検体中の抗薬物 IgG および/または IgM 抗体の結合の測定。</v>
      </c>
      <c r="I107" s="3" t="str">
        <f ca="1">IFERROR(__xludf.DUMMYFUNCTION("googletranslate(F107,""en"",""ja"")"),"結合抗薬物 IgG/IgM 抗体の測定")</f>
        <v>結合抗薬物 IgG/IgM 抗体の測定</v>
      </c>
    </row>
    <row r="108" spans="1:9" ht="30">
      <c r="A108" s="3" t="s">
        <v>180</v>
      </c>
      <c r="B108" s="3" t="s">
        <v>437</v>
      </c>
      <c r="C108" s="3" t="s">
        <v>438</v>
      </c>
      <c r="D108" s="3" t="s">
        <v>438</v>
      </c>
      <c r="E108" s="3" t="s">
        <v>439</v>
      </c>
      <c r="F108" s="3" t="s">
        <v>440</v>
      </c>
      <c r="G108" s="3" t="str">
        <f ca="1">IFERROR(__xludf.DUMMYFUNCTION("googletranslate(D108,""en"",""ja"")"),"抗薬物 IgM 抗体の結合")</f>
        <v>抗薬物 IgM 抗体の結合</v>
      </c>
      <c r="H108" s="3" t="str">
        <f ca="1">IFERROR(__xludf.DUMMYFUNCTION("googletranslate(E108,""en"",""ja"")"),"生物学的検体中の抗薬物 IgM 抗体の結合の測定。")</f>
        <v>生物学的検体中の抗薬物 IgM 抗体の結合の測定。</v>
      </c>
      <c r="I108" s="3" t="str">
        <f ca="1">IFERROR(__xludf.DUMMYFUNCTION("googletranslate(F108,""en"",""ja"")"),"結合抗薬物IgM抗体測定")</f>
        <v>結合抗薬物IgM抗体測定</v>
      </c>
    </row>
    <row r="109" spans="1:9" ht="30">
      <c r="A109" s="3" t="s">
        <v>6</v>
      </c>
      <c r="B109" s="3" t="s">
        <v>441</v>
      </c>
      <c r="C109" s="3" t="s">
        <v>442</v>
      </c>
      <c r="D109" s="3" t="s">
        <v>442</v>
      </c>
      <c r="E109" s="3" t="s">
        <v>443</v>
      </c>
      <c r="F109" s="3" t="s">
        <v>444</v>
      </c>
      <c r="G109" s="3" t="str">
        <f ca="1">IFERROR(__xludf.DUMMYFUNCTION("googletranslate(D109,""en"",""ja"")"),"ADB-ピナカ")</f>
        <v>ADB-ピナカ</v>
      </c>
      <c r="H109" s="3" t="str">
        <f ca="1">IFERROR(__xludf.DUMMYFUNCTION("googletranslate(E109,""en"",""ja"")"),"生物学的標本中の合成カンナビノイド ADB-PINACA の測定。")</f>
        <v>生物学的標本中の合成カンナビノイド ADB-PINACA の測定。</v>
      </c>
      <c r="I109" s="3" t="str">
        <f ca="1">IFERROR(__xludf.DUMMYFUNCTION("googletranslate(F109,""en"",""ja"")"),"ADB-PINACA測定")</f>
        <v>ADB-PINACA測定</v>
      </c>
    </row>
    <row r="110" spans="1:9" ht="45">
      <c r="A110" s="3" t="s">
        <v>180</v>
      </c>
      <c r="B110" s="3" t="s">
        <v>445</v>
      </c>
      <c r="C110" s="3" t="s">
        <v>446</v>
      </c>
      <c r="D110" s="3" t="s">
        <v>447</v>
      </c>
      <c r="E110" s="3" t="s">
        <v>448</v>
      </c>
      <c r="F110" s="3" t="s">
        <v>449</v>
      </c>
      <c r="G110" s="3" t="str">
        <f ca="1">IFERROR(__xludf.DUMMYFUNCTION("googletranslate(D110,""en"",""ja"")"),"交差反応性結合抗薬物 IgA AB;交差反応性結合抗薬物 IgA 抗体")</f>
        <v>交差反応性結合抗薬物 IgA AB;交差反応性結合抗薬物 IgA 抗体</v>
      </c>
      <c r="H110" s="3" t="str">
        <f ca="1">IFERROR(__xludf.DUMMYFUNCTION("googletranslate(E110,""en"",""ja"")"),"生物学的検体中の交差反応性結合抗薬物 IgA 抗体の測定。")</f>
        <v>生物学的検体中の交差反応性結合抗薬物 IgA 抗体の測定。</v>
      </c>
      <c r="I110" s="3" t="str">
        <f ca="1">IFERROR(__xludf.DUMMYFUNCTION("googletranslate(F110,""en"",""ja"")"),"交差反応性結合抗薬物 IgA 抗体の測定")</f>
        <v>交差反応性結合抗薬物 IgA 抗体の測定</v>
      </c>
    </row>
    <row r="111" spans="1:9" ht="45">
      <c r="A111" s="3" t="s">
        <v>180</v>
      </c>
      <c r="B111" s="3" t="s">
        <v>450</v>
      </c>
      <c r="C111" s="3" t="s">
        <v>451</v>
      </c>
      <c r="D111" s="3" t="s">
        <v>452</v>
      </c>
      <c r="E111" s="3" t="s">
        <v>453</v>
      </c>
      <c r="F111" s="3" t="s">
        <v>454</v>
      </c>
      <c r="G111" s="3" t="str">
        <f ca="1">IFERROR(__xludf.DUMMYFUNCTION("googletranslate(D111,""en"",""ja"")"),"交差反応性結合抗薬物 IgE AB;交差反応性結合抗薬物 IgE 抗体")</f>
        <v>交差反応性結合抗薬物 IgE AB;交差反応性結合抗薬物 IgE 抗体</v>
      </c>
      <c r="H111" s="3" t="str">
        <f ca="1">IFERROR(__xludf.DUMMYFUNCTION("googletranslate(E111,""en"",""ja"")"),"生物学的検体中の交差反応性結合抗薬物 IgE 抗体の測定。")</f>
        <v>生物学的検体中の交差反応性結合抗薬物 IgE 抗体の測定。</v>
      </c>
      <c r="I111" s="3" t="str">
        <f ca="1">IFERROR(__xludf.DUMMYFUNCTION("googletranslate(F111,""en"",""ja"")"),"交差反応性結合抗薬物 IgE 抗体の測定")</f>
        <v>交差反応性結合抗薬物 IgE 抗体の測定</v>
      </c>
    </row>
    <row r="112" spans="1:9" ht="45">
      <c r="A112" s="3" t="s">
        <v>180</v>
      </c>
      <c r="B112" s="3" t="s">
        <v>455</v>
      </c>
      <c r="C112" s="3" t="s">
        <v>456</v>
      </c>
      <c r="D112" s="3" t="s">
        <v>457</v>
      </c>
      <c r="E112" s="3" t="s">
        <v>458</v>
      </c>
      <c r="F112" s="3" t="s">
        <v>459</v>
      </c>
      <c r="G112" s="3" t="str">
        <f ca="1">IFERROR(__xludf.DUMMYFUNCTION("googletranslate(D112,""en"",""ja"")"),"交差反応性結合抗薬物 IgG AB;交差反応性結合抗薬物 IgG 抗体")</f>
        <v>交差反応性結合抗薬物 IgG AB;交差反応性結合抗薬物 IgG 抗体</v>
      </c>
      <c r="H112" s="3" t="str">
        <f ca="1">IFERROR(__xludf.DUMMYFUNCTION("googletranslate(E112,""en"",""ja"")"),"生物学的検体中の交差反応性結合抗薬物 IgG 抗体の測定。")</f>
        <v>生物学的検体中の交差反応性結合抗薬物 IgG 抗体の測定。</v>
      </c>
      <c r="I112" s="3" t="str">
        <f ca="1">IFERROR(__xludf.DUMMYFUNCTION("googletranslate(F112,""en"",""ja"")"),"交差反応性結合抗薬物 IgG 抗体の測定")</f>
        <v>交差反応性結合抗薬物 IgG 抗体の測定</v>
      </c>
    </row>
    <row r="113" spans="1:9" ht="45">
      <c r="A113" s="3" t="s">
        <v>180</v>
      </c>
      <c r="B113" s="3" t="s">
        <v>460</v>
      </c>
      <c r="C113" s="3" t="s">
        <v>461</v>
      </c>
      <c r="D113" s="3" t="s">
        <v>462</v>
      </c>
      <c r="E113" s="3" t="s">
        <v>463</v>
      </c>
      <c r="F113" s="3" t="s">
        <v>464</v>
      </c>
      <c r="G113" s="3" t="str">
        <f ca="1">IFERROR(__xludf.DUMMYFUNCTION("googletranslate(D113,""en"",""ja"")"),"交差反応性結合抗薬物 IgG1 AB;交差反応性結合抗薬物 IgG1 抗体")</f>
        <v>交差反応性結合抗薬物 IgG1 AB;交差反応性結合抗薬物 IgG1 抗体</v>
      </c>
      <c r="H113" s="3" t="str">
        <f ca="1">IFERROR(__xludf.DUMMYFUNCTION("googletranslate(E113,""en"",""ja"")"),"生物学的検体中の交差反応性結合抗薬物 IgG1 抗体の測定。")</f>
        <v>生物学的検体中の交差反応性結合抗薬物 IgG1 抗体の測定。</v>
      </c>
      <c r="I113" s="3" t="str">
        <f ca="1">IFERROR(__xludf.DUMMYFUNCTION("googletranslate(F113,""en"",""ja"")"),"交差反応性結合抗薬物 IgG1 抗体の測定")</f>
        <v>交差反応性結合抗薬物 IgG1 抗体の測定</v>
      </c>
    </row>
    <row r="114" spans="1:9" ht="45">
      <c r="A114" s="3" t="s">
        <v>180</v>
      </c>
      <c r="B114" s="3" t="s">
        <v>465</v>
      </c>
      <c r="C114" s="3" t="s">
        <v>466</v>
      </c>
      <c r="D114" s="3" t="s">
        <v>467</v>
      </c>
      <c r="E114" s="3" t="s">
        <v>468</v>
      </c>
      <c r="F114" s="3" t="s">
        <v>469</v>
      </c>
      <c r="G114" s="3" t="str">
        <f ca="1">IFERROR(__xludf.DUMMYFUNCTION("googletranslate(D114,""en"",""ja"")"),"交差反応性結合抗薬物 IgG2 AB;交差反応性結合抗薬物 IgG2 抗体")</f>
        <v>交差反応性結合抗薬物 IgG2 AB;交差反応性結合抗薬物 IgG2 抗体</v>
      </c>
      <c r="H114" s="3" t="str">
        <f ca="1">IFERROR(__xludf.DUMMYFUNCTION("googletranslate(E114,""en"",""ja"")"),"生物学的検体中の交差反応性結合抗薬物 IgG2 抗体の測定。")</f>
        <v>生物学的検体中の交差反応性結合抗薬物 IgG2 抗体の測定。</v>
      </c>
      <c r="I114" s="3" t="str">
        <f ca="1">IFERROR(__xludf.DUMMYFUNCTION("googletranslate(F114,""en"",""ja"")"),"交差反応性結合抗薬物 IgG2 抗体の測定")</f>
        <v>交差反応性結合抗薬物 IgG2 抗体の測定</v>
      </c>
    </row>
    <row r="115" spans="1:9" ht="45">
      <c r="A115" s="3" t="s">
        <v>180</v>
      </c>
      <c r="B115" s="3" t="s">
        <v>470</v>
      </c>
      <c r="C115" s="3" t="s">
        <v>471</v>
      </c>
      <c r="D115" s="3" t="s">
        <v>472</v>
      </c>
      <c r="E115" s="3" t="s">
        <v>473</v>
      </c>
      <c r="F115" s="3" t="s">
        <v>474</v>
      </c>
      <c r="G115" s="3" t="str">
        <f ca="1">IFERROR(__xludf.DUMMYFUNCTION("googletranslate(D115,""en"",""ja"")"),"交差反応性結合抗薬物 IgG3 AB;交差反応性結合抗薬物 IgG3 抗体")</f>
        <v>交差反応性結合抗薬物 IgG3 AB;交差反応性結合抗薬物 IgG3 抗体</v>
      </c>
      <c r="H115" s="3" t="str">
        <f ca="1">IFERROR(__xludf.DUMMYFUNCTION("googletranslate(E115,""en"",""ja"")"),"生物学的検体中の交差反応性結合抗薬物 IgG3 抗体の測定。")</f>
        <v>生物学的検体中の交差反応性結合抗薬物 IgG3 抗体の測定。</v>
      </c>
      <c r="I115" s="3" t="str">
        <f ca="1">IFERROR(__xludf.DUMMYFUNCTION("googletranslate(F115,""en"",""ja"")"),"交差反応性結合抗薬物 IgG3 抗体の測定")</f>
        <v>交差反応性結合抗薬物 IgG3 抗体の測定</v>
      </c>
    </row>
    <row r="116" spans="1:9" ht="45">
      <c r="A116" s="3" t="s">
        <v>180</v>
      </c>
      <c r="B116" s="3" t="s">
        <v>475</v>
      </c>
      <c r="C116" s="3" t="s">
        <v>476</v>
      </c>
      <c r="D116" s="3" t="s">
        <v>477</v>
      </c>
      <c r="E116" s="3" t="s">
        <v>478</v>
      </c>
      <c r="F116" s="3" t="s">
        <v>479</v>
      </c>
      <c r="G116" s="3" t="str">
        <f ca="1">IFERROR(__xludf.DUMMYFUNCTION("googletranslate(D116,""en"",""ja"")"),"交差反応性結合抗薬物 IgG4 AB;交差反応性結合抗薬物 IgG4 抗体")</f>
        <v>交差反応性結合抗薬物 IgG4 AB;交差反応性結合抗薬物 IgG4 抗体</v>
      </c>
      <c r="H116" s="3" t="str">
        <f ca="1">IFERROR(__xludf.DUMMYFUNCTION("googletranslate(E116,""en"",""ja"")"),"生物学的検体中の交差反応性結合抗薬物 IgG4 抗体の測定。")</f>
        <v>生物学的検体中の交差反応性結合抗薬物 IgG4 抗体の測定。</v>
      </c>
      <c r="I116" s="3" t="str">
        <f ca="1">IFERROR(__xludf.DUMMYFUNCTION("googletranslate(F116,""en"",""ja"")"),"交差反応性結合抗薬物 IgG4 抗体の測定")</f>
        <v>交差反応性結合抗薬物 IgG4 抗体の測定</v>
      </c>
    </row>
    <row r="117" spans="1:9" ht="45">
      <c r="A117" s="3" t="s">
        <v>180</v>
      </c>
      <c r="B117" s="3" t="s">
        <v>480</v>
      </c>
      <c r="C117" s="3" t="s">
        <v>481</v>
      </c>
      <c r="D117" s="3" t="s">
        <v>482</v>
      </c>
      <c r="E117" s="3" t="s">
        <v>483</v>
      </c>
      <c r="F117" s="3" t="s">
        <v>484</v>
      </c>
      <c r="G117" s="3" t="str">
        <f ca="1">IFERROR(__xludf.DUMMYFUNCTION("googletranslate(D117,""en"",""ja"")"),"交差反応性結合 ADA IgG/IgM;交差反応性結合抗薬物 IgG/IgM 抗体")</f>
        <v>交差反応性結合 ADA IgG/IgM;交差反応性結合抗薬物 IgG/IgM 抗体</v>
      </c>
      <c r="H117" s="3" t="str">
        <f ca="1">IFERROR(__xludf.DUMMYFUNCTION("googletranslate(E117,""en"",""ja"")"),"生物学的検体中の交差反応性結合抗薬物 IgG および/または IgM 抗体の測定。")</f>
        <v>生物学的検体中の交差反応性結合抗薬物 IgG および/または IgM 抗体の測定。</v>
      </c>
      <c r="I117" s="3" t="str">
        <f ca="1">IFERROR(__xludf.DUMMYFUNCTION("googletranslate(F117,""en"",""ja"")"),"交差反応性結合抗薬物抗体 IgG/IgM 測定")</f>
        <v>交差反応性結合抗薬物抗体 IgG/IgM 測定</v>
      </c>
    </row>
    <row r="118" spans="1:9" ht="45">
      <c r="A118" s="3" t="s">
        <v>180</v>
      </c>
      <c r="B118" s="3" t="s">
        <v>485</v>
      </c>
      <c r="C118" s="3" t="s">
        <v>486</v>
      </c>
      <c r="D118" s="3" t="s">
        <v>487</v>
      </c>
      <c r="E118" s="3" t="s">
        <v>488</v>
      </c>
      <c r="F118" s="3" t="s">
        <v>489</v>
      </c>
      <c r="G118" s="3" t="str">
        <f ca="1">IFERROR(__xludf.DUMMYFUNCTION("googletranslate(D118,""en"",""ja"")"),"交差反応性結合抗薬物 IgM AB;交差反応性結合抗薬物 IgM 抗体")</f>
        <v>交差反応性結合抗薬物 IgM AB;交差反応性結合抗薬物 IgM 抗体</v>
      </c>
      <c r="H118" s="3" t="str">
        <f ca="1">IFERROR(__xludf.DUMMYFUNCTION("googletranslate(E118,""en"",""ja"")"),"生物学的検体中の交差反応性結合抗薬物 IgM 抗体の測定。")</f>
        <v>生物学的検体中の交差反応性結合抗薬物 IgM 抗体の測定。</v>
      </c>
      <c r="I118" s="3" t="str">
        <f ca="1">IFERROR(__xludf.DUMMYFUNCTION("googletranslate(F118,""en"",""ja"")"),"交差反応性結合抗薬物 IgM 抗体の測定")</f>
        <v>交差反応性結合抗薬物 IgM 抗体の測定</v>
      </c>
    </row>
    <row r="119" spans="1:9" ht="60">
      <c r="A119" s="3" t="s">
        <v>490</v>
      </c>
      <c r="B119" s="3" t="s">
        <v>491</v>
      </c>
      <c r="C119" s="3" t="s">
        <v>492</v>
      </c>
      <c r="D119" s="3" t="s">
        <v>492</v>
      </c>
      <c r="E119" s="3" t="s">
        <v>493</v>
      </c>
      <c r="F119" s="3" t="s">
        <v>492</v>
      </c>
      <c r="G119" s="3" t="str">
        <f ca="1">IFERROR(__xludf.DUMMYFUNCTION("googletranslate(D119,""en"",""ja"")"),"追加の疾患関連所見")</f>
        <v>追加の疾患関連所見</v>
      </c>
      <c r="H119" s="3" t="str">
        <f ca="1">IFERROR(__xludf.DUMMYFUNCTION("googletranslate(E119,""en"",""ja"")"),"データ内で対象となる検査が特定されていない、対象疾患に関連する可能性のある追加の異常および/またはその他の観察結果の判定。")</f>
        <v>データ内で対象となる検査が特定されていない、対象疾患に関連する可能性のある追加の異常および/またはその他の観察結果の判定。</v>
      </c>
      <c r="I119" s="3" t="str">
        <f ca="1">IFERROR(__xludf.DUMMYFUNCTION("googletranslate(F119,""en"",""ja"")"),"追加の疾患関連所見")</f>
        <v>追加の疾患関連所見</v>
      </c>
    </row>
    <row r="120" spans="1:9" ht="30">
      <c r="A120" s="3" t="s">
        <v>67</v>
      </c>
      <c r="B120" s="3" t="s">
        <v>494</v>
      </c>
      <c r="C120" s="3" t="s">
        <v>495</v>
      </c>
      <c r="D120" s="3" t="s">
        <v>495</v>
      </c>
      <c r="E120" s="3" t="s">
        <v>496</v>
      </c>
      <c r="F120" s="3" t="s">
        <v>497</v>
      </c>
      <c r="G120" s="3" t="str">
        <f ca="1">IFERROR(__xludf.DUMMYFUNCTION("googletranslate(D120,""en"",""ja"")"),"アデノウイルス抗原")</f>
        <v>アデノウイルス抗原</v>
      </c>
      <c r="H120" s="3" t="str">
        <f ca="1">IFERROR(__xludf.DUMMYFUNCTION("googletranslate(E120,""en"",""ja"")"),"生物学的検体中のアデノウイルス抗原の測定。")</f>
        <v>生物学的検体中のアデノウイルス抗原の測定。</v>
      </c>
      <c r="I120" s="3" t="str">
        <f ca="1">IFERROR(__xludf.DUMMYFUNCTION("googletranslate(F120,""en"",""ja"")"),"アデノウイルス抗原測定")</f>
        <v>アデノウイルス抗原測定</v>
      </c>
    </row>
    <row r="121" spans="1:9" ht="30">
      <c r="A121" s="3" t="s">
        <v>67</v>
      </c>
      <c r="B121" s="3" t="s">
        <v>498</v>
      </c>
      <c r="C121" s="3" t="s">
        <v>499</v>
      </c>
      <c r="D121" s="3" t="s">
        <v>500</v>
      </c>
      <c r="E121" s="3" t="s">
        <v>501</v>
      </c>
      <c r="F121" s="3" t="s">
        <v>502</v>
      </c>
      <c r="G121" s="3" t="str">
        <f ca="1">IFERROR(__xludf.DUMMYFUNCTION("googletranslate(D121,""en"",""ja"")"),"アデノウイルス科。アデノウイルス")</f>
        <v>アデノウイルス科。アデノウイルス</v>
      </c>
      <c r="H121" s="3" t="str">
        <f ca="1">IFERROR(__xludf.DUMMYFUNCTION("googletranslate(E121,""en"",""ja"")"),"生物学的標本中のアデノウイルス科の測定。")</f>
        <v>生物学的標本中のアデノウイルス科の測定。</v>
      </c>
      <c r="I121" s="3" t="str">
        <f ca="1">IFERROR(__xludf.DUMMYFUNCTION("googletranslate(F121,""en"",""ja"")"),"アデノウイルス科の測定")</f>
        <v>アデノウイルス科の測定</v>
      </c>
    </row>
    <row r="122" spans="1:9" ht="45">
      <c r="A122" s="3" t="s">
        <v>503</v>
      </c>
      <c r="B122" s="3" t="s">
        <v>504</v>
      </c>
      <c r="C122" s="3" t="s">
        <v>505</v>
      </c>
      <c r="D122" s="3" t="s">
        <v>506</v>
      </c>
      <c r="E122" s="3" t="s">
        <v>507</v>
      </c>
      <c r="F122" s="3" t="s">
        <v>505</v>
      </c>
      <c r="G122" s="3" t="str">
        <f ca="1">IFERROR(__xludf.DUMMYFUNCTION("googletranslate(D122,""en"",""ja"")"),"年齢に応じた適切な発育指標。適切な発達年齢の指標")</f>
        <v>年齢に応じた適切な発育指標。適切な発達年齢の指標</v>
      </c>
      <c r="H122" s="3" t="str">
        <f ca="1">IFERROR(__xludf.DUMMYFUNCTION("googletranslate(E122,""en"",""ja"")"),"被験者の実年齢が身体的、感情的、社会的、認知的機能と一致するかどうかを示す指標。")</f>
        <v>被験者の実年齢が身体的、感情的、社会的、認知的機能と一致するかどうかを示す指標。</v>
      </c>
      <c r="I122" s="3" t="str">
        <f ca="1">IFERROR(__xludf.DUMMYFUNCTION("googletranslate(F122,""en"",""ja"")"),"適切な発達年齢の指標")</f>
        <v>適切な発達年齢の指標</v>
      </c>
    </row>
    <row r="123" spans="1:9" ht="30">
      <c r="A123" s="3" t="s">
        <v>6</v>
      </c>
      <c r="B123" s="3" t="s">
        <v>508</v>
      </c>
      <c r="C123" s="3" t="s">
        <v>509</v>
      </c>
      <c r="D123" s="3" t="s">
        <v>510</v>
      </c>
      <c r="E123" s="3" t="s">
        <v>511</v>
      </c>
      <c r="F123" s="3" t="s">
        <v>512</v>
      </c>
      <c r="G123" s="3" t="str">
        <f ca="1">IFERROR(__xludf.DUMMYFUNCTION("googletranslate(D123,""en"",""ja"")"),"抗利尿ホルモン;バソプレシン")</f>
        <v>抗利尿ホルモン;バソプレシン</v>
      </c>
      <c r="H123" s="3" t="str">
        <f ca="1">IFERROR(__xludf.DUMMYFUNCTION("googletranslate(E123,""en"",""ja"")"),"生体標本中の抗利尿ホルモンの測定。")</f>
        <v>生体標本中の抗利尿ホルモンの測定。</v>
      </c>
      <c r="I123" s="3" t="str">
        <f ca="1">IFERROR(__xludf.DUMMYFUNCTION("googletranslate(F123,""en"",""ja"")"),"抗利尿ホルモンの測定")</f>
        <v>抗利尿ホルモンの測定</v>
      </c>
    </row>
    <row r="124" spans="1:9">
      <c r="A124" s="3" t="s">
        <v>142</v>
      </c>
      <c r="B124" s="3" t="s">
        <v>513</v>
      </c>
      <c r="C124" s="3" t="s">
        <v>514</v>
      </c>
      <c r="D124" s="3" t="s">
        <v>514</v>
      </c>
      <c r="E124" s="3" t="s">
        <v>515</v>
      </c>
      <c r="F124" s="3" t="s">
        <v>514</v>
      </c>
      <c r="G124" s="3" t="str">
        <f ca="1">IFERROR(__xludf.DUMMYFUNCTION("googletranslate(D124,""en"",""ja"")"),"実際の配達日")</f>
        <v>実際の配達日</v>
      </c>
      <c r="H124" s="3" t="str">
        <f ca="1">IFERROR(__xludf.DUMMYFUNCTION("googletranslate(E124,""en"",""ja"")"),"配信イベントが発生した日付。")</f>
        <v>配信イベントが発生した日付。</v>
      </c>
      <c r="I124" s="3" t="str">
        <f ca="1">IFERROR(__xludf.DUMMYFUNCTION("googletranslate(F124,""en"",""ja"")"),"実際の配達日")</f>
        <v>実際の配達日</v>
      </c>
    </row>
    <row r="125" spans="1:9" ht="30">
      <c r="A125" s="3" t="s">
        <v>6</v>
      </c>
      <c r="B125" s="3" t="s">
        <v>516</v>
      </c>
      <c r="C125" s="3" t="s">
        <v>517</v>
      </c>
      <c r="D125" s="3" t="s">
        <v>517</v>
      </c>
      <c r="E125" s="3" t="s">
        <v>518</v>
      </c>
      <c r="F125" s="3" t="s">
        <v>519</v>
      </c>
      <c r="G125" s="3" t="str">
        <f ca="1">IFERROR(__xludf.DUMMYFUNCTION("googletranslate(D125,""en"",""ja"")"),"アドレノメデュリン")</f>
        <v>アドレノメデュリン</v>
      </c>
      <c r="H125" s="3" t="str">
        <f ca="1">IFERROR(__xludf.DUMMYFUNCTION("googletranslate(E125,""en"",""ja"")"),"生物学的標本中のアドレノメデュリンの測定。")</f>
        <v>生物学的標本中のアドレノメデュリンの測定。</v>
      </c>
      <c r="I125" s="3" t="str">
        <f ca="1">IFERROR(__xludf.DUMMYFUNCTION("googletranslate(F125,""en"",""ja"")"),"アドレノメデュリン測定")</f>
        <v>アドレノメデュリン測定</v>
      </c>
    </row>
    <row r="126" spans="1:9" ht="30">
      <c r="A126" s="3" t="s">
        <v>6</v>
      </c>
      <c r="B126" s="3" t="s">
        <v>520</v>
      </c>
      <c r="C126" s="3" t="s">
        <v>521</v>
      </c>
      <c r="D126" s="3" t="s">
        <v>522</v>
      </c>
      <c r="E126" s="3" t="s">
        <v>523</v>
      </c>
      <c r="F126" s="3" t="s">
        <v>524</v>
      </c>
      <c r="G126" s="3" t="str">
        <f ca="1">IFERROR(__xludf.DUMMYFUNCTION("googletranslate(D126,""en"",""ja"")"),"非対称ジメチルアルギニン; N,N-ジメチルアルギニン")</f>
        <v>非対称ジメチルアルギニン; N,N-ジメチルアルギニン</v>
      </c>
      <c r="H126" s="3" t="str">
        <f ca="1">IFERROR(__xludf.DUMMYFUNCTION("googletranslate(E126,""en"",""ja"")"),"生物学的標本中の非対称ジメチルアルギニンの測定。")</f>
        <v>生物学的標本中の非対称ジメチルアルギニンの測定。</v>
      </c>
      <c r="I126" s="3" t="str">
        <f ca="1">IFERROR(__xludf.DUMMYFUNCTION("googletranslate(F126,""en"",""ja"")"),"不斉ジメチルアルギニンの測定")</f>
        <v>不斉ジメチルアルギニンの測定</v>
      </c>
    </row>
    <row r="127" spans="1:9" ht="165">
      <c r="A127" s="3" t="s">
        <v>6</v>
      </c>
      <c r="B127" s="3" t="s">
        <v>525</v>
      </c>
      <c r="C127" s="3" t="s">
        <v>526</v>
      </c>
      <c r="D127" s="3" t="s">
        <v>527</v>
      </c>
      <c r="E127" s="3" t="s">
        <v>528</v>
      </c>
      <c r="F127" s="3" t="s">
        <v>529</v>
      </c>
      <c r="G127" s="3" t="str">
        <f ca="1">IFERROR(__xludf.DUMMYFUNCTION("googletranslate(D127,""en"",""ja"")"),"トロンボスポンジン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f>
        <v>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v>
      </c>
      <c r="H127" s="3" t="str">
        <f ca="1">IFERROR(__xludf.DUMMYFUNCTION("googletranslate(E127,""en"",""ja"")"),"生体試料におけるフォン ヴィレブランド凝固因子切断プロテアーゼ ADAMTS13 の生物学的活性の測定。")</f>
        <v>生体試料におけるフォン ヴィレブランド凝固因子切断プロテアーゼ ADAMTS13 の生物学的活性の測定。</v>
      </c>
      <c r="I127" s="3" t="str">
        <f ca="1">IFERROR(__xludf.DUMMYFUNCTION("googletranslate(F127,""en"",""ja"")"),"フォン・ヴィレブランド凝固因子切断プロテアーゼ活性測定")</f>
        <v>フォン・ヴィレブランド凝固因子切断プロテアーゼ活性測定</v>
      </c>
    </row>
    <row r="128" spans="1:9" ht="45">
      <c r="A128" s="3" t="s">
        <v>180</v>
      </c>
      <c r="B128" s="3" t="s">
        <v>530</v>
      </c>
      <c r="C128" s="3" t="s">
        <v>531</v>
      </c>
      <c r="D128" s="3" t="s">
        <v>532</v>
      </c>
      <c r="E128" s="3" t="s">
        <v>533</v>
      </c>
      <c r="F128" s="3" t="s">
        <v>534</v>
      </c>
      <c r="G128" s="3" t="str">
        <f ca="1">IFERROR(__xludf.DUMMYFUNCTION("googletranslate(D128,""en"",""ja"")"),"結合を中和する抗薬物 IgA AB;結合を中和する抗薬物 IgA 抗体")</f>
        <v>結合を中和する抗薬物 IgA AB;結合を中和する抗薬物 IgA 抗体</v>
      </c>
      <c r="H128" s="3" t="str">
        <f ca="1">IFERROR(__xludf.DUMMYFUNCTION("googletranslate(E128,""en"",""ja"")"),"生物学的検体中の中和結合抗薬物 IgA 抗体の測定。")</f>
        <v>生物学的検体中の中和結合抗薬物 IgA 抗体の測定。</v>
      </c>
      <c r="I128" s="3" t="str">
        <f ca="1">IFERROR(__xludf.DUMMYFUNCTION("googletranslate(F128,""en"",""ja"")"),"中和結合抗薬物 IgA 抗体測定")</f>
        <v>中和結合抗薬物 IgA 抗体測定</v>
      </c>
    </row>
    <row r="129" spans="1:9" ht="45">
      <c r="A129" s="3" t="s">
        <v>180</v>
      </c>
      <c r="B129" s="3" t="s">
        <v>535</v>
      </c>
      <c r="C129" s="3" t="s">
        <v>536</v>
      </c>
      <c r="D129" s="3" t="s">
        <v>537</v>
      </c>
      <c r="E129" s="3" t="s">
        <v>538</v>
      </c>
      <c r="F129" s="3" t="s">
        <v>539</v>
      </c>
      <c r="G129" s="3" t="str">
        <f ca="1">IFERROR(__xludf.DUMMYFUNCTION("googletranslate(D129,""en"",""ja"")"),"結合結合を中和する抗薬物 IgE AB;結合を中和する抗薬物 IgE 抗体")</f>
        <v>結合結合を中和する抗薬物 IgE AB;結合を中和する抗薬物 IgE 抗体</v>
      </c>
      <c r="H129" s="3" t="str">
        <f ca="1">IFERROR(__xludf.DUMMYFUNCTION("googletranslate(E129,""en"",""ja"")"),"生物学的検体中の中和結合抗薬物 IgE 抗体の測定。")</f>
        <v>生物学的検体中の中和結合抗薬物 IgE 抗体の測定。</v>
      </c>
      <c r="I129" s="3" t="str">
        <f ca="1">IFERROR(__xludf.DUMMYFUNCTION("googletranslate(F129,""en"",""ja"")"),"中和結合抗薬物 IgE 抗体測定")</f>
        <v>中和結合抗薬物 IgE 抗体測定</v>
      </c>
    </row>
    <row r="130" spans="1:9" ht="45">
      <c r="A130" s="3" t="s">
        <v>180</v>
      </c>
      <c r="B130" s="3" t="s">
        <v>540</v>
      </c>
      <c r="C130" s="3" t="s">
        <v>541</v>
      </c>
      <c r="D130" s="3" t="s">
        <v>542</v>
      </c>
      <c r="E130" s="3" t="s">
        <v>543</v>
      </c>
      <c r="F130" s="3" t="s">
        <v>544</v>
      </c>
      <c r="G130" s="3" t="str">
        <f ca="1">IFERROR(__xludf.DUMMYFUNCTION("googletranslate(D130,""en"",""ja"")"),"結合結合を中和する抗薬物 IgG AB;結合を中和する抗薬物 IgG 抗体")</f>
        <v>結合結合を中和する抗薬物 IgG AB;結合を中和する抗薬物 IgG 抗体</v>
      </c>
      <c r="H130" s="3" t="str">
        <f ca="1">IFERROR(__xludf.DUMMYFUNCTION("googletranslate(E130,""en"",""ja"")"),"生物学的検体中の中和結合抗薬物 IgG 抗体の測定。")</f>
        <v>生物学的検体中の中和結合抗薬物 IgG 抗体の測定。</v>
      </c>
      <c r="I130" s="3" t="str">
        <f ca="1">IFERROR(__xludf.DUMMYFUNCTION("googletranslate(F130,""en"",""ja"")"),"中和結合抗薬物IgG抗体測定")</f>
        <v>中和結合抗薬物IgG抗体測定</v>
      </c>
    </row>
    <row r="131" spans="1:9" ht="45">
      <c r="A131" s="3" t="s">
        <v>180</v>
      </c>
      <c r="B131" s="3" t="s">
        <v>545</v>
      </c>
      <c r="C131" s="3" t="s">
        <v>546</v>
      </c>
      <c r="D131" s="3" t="s">
        <v>547</v>
      </c>
      <c r="E131" s="3" t="s">
        <v>548</v>
      </c>
      <c r="F131" s="3" t="s">
        <v>549</v>
      </c>
      <c r="G131" s="3" t="str">
        <f ca="1">IFERROR(__xludf.DUMMYFUNCTION("googletranslate(D131,""en"",""ja"")"),"結合抗薬物 IgG1 AB を中和します。中和結合抗薬物 IgG1 抗体")</f>
        <v>結合抗薬物 IgG1 AB を中和します。中和結合抗薬物 IgG1 抗体</v>
      </c>
      <c r="H131" s="3" t="str">
        <f ca="1">IFERROR(__xludf.DUMMYFUNCTION("googletranslate(E131,""en"",""ja"")"),"生物学的検体中の中和結合抗薬物 IgG1 抗体の測定。")</f>
        <v>生物学的検体中の中和結合抗薬物 IgG1 抗体の測定。</v>
      </c>
      <c r="I131" s="3" t="str">
        <f ca="1">IFERROR(__xludf.DUMMYFUNCTION("googletranslate(F131,""en"",""ja"")"),"中和結合抗薬物IgG1抗体測定")</f>
        <v>中和結合抗薬物IgG1抗体測定</v>
      </c>
    </row>
    <row r="132" spans="1:9" ht="45">
      <c r="A132" s="3" t="s">
        <v>180</v>
      </c>
      <c r="B132" s="3" t="s">
        <v>550</v>
      </c>
      <c r="C132" s="3" t="s">
        <v>551</v>
      </c>
      <c r="D132" s="3" t="s">
        <v>552</v>
      </c>
      <c r="E132" s="3" t="s">
        <v>553</v>
      </c>
      <c r="F132" s="3" t="s">
        <v>554</v>
      </c>
      <c r="G132" s="3" t="str">
        <f ca="1">IFERROR(__xludf.DUMMYFUNCTION("googletranslate(D132,""en"",""ja"")"),"結合抗薬物 IgG2 AB を中和します。中和結合抗薬物 IgG2 抗体")</f>
        <v>結合抗薬物 IgG2 AB を中和します。中和結合抗薬物 IgG2 抗体</v>
      </c>
      <c r="H132" s="3" t="str">
        <f ca="1">IFERROR(__xludf.DUMMYFUNCTION("googletranslate(E132,""en"",""ja"")"),"生物学的検体中の中和結合抗薬物 IgG2 抗体の測定。")</f>
        <v>生物学的検体中の中和結合抗薬物 IgG2 抗体の測定。</v>
      </c>
      <c r="I132" s="3" t="str">
        <f ca="1">IFERROR(__xludf.DUMMYFUNCTION("googletranslate(F132,""en"",""ja"")"),"中和結合抗薬物 IgG2 抗体の測定")</f>
        <v>中和結合抗薬物 IgG2 抗体の測定</v>
      </c>
    </row>
    <row r="133" spans="1:9" ht="45">
      <c r="A133" s="3" t="s">
        <v>180</v>
      </c>
      <c r="B133" s="3" t="s">
        <v>555</v>
      </c>
      <c r="C133" s="3" t="s">
        <v>556</v>
      </c>
      <c r="D133" s="3" t="s">
        <v>557</v>
      </c>
      <c r="E133" s="3" t="s">
        <v>558</v>
      </c>
      <c r="F133" s="3" t="s">
        <v>559</v>
      </c>
      <c r="G133" s="3" t="str">
        <f ca="1">IFERROR(__xludf.DUMMYFUNCTION("googletranslate(D133,""en"",""ja"")"),"結合抗薬物 IgG3 AB を中和します。中和結合抗薬物 IgG3 抗体")</f>
        <v>結合抗薬物 IgG3 AB を中和します。中和結合抗薬物 IgG3 抗体</v>
      </c>
      <c r="H133" s="3" t="str">
        <f ca="1">IFERROR(__xludf.DUMMYFUNCTION("googletranslate(E133,""en"",""ja"")"),"生物学的検体中の中和結合抗薬物 IgG3 抗体の測定。")</f>
        <v>生物学的検体中の中和結合抗薬物 IgG3 抗体の測定。</v>
      </c>
      <c r="I133" s="3" t="str">
        <f ca="1">IFERROR(__xludf.DUMMYFUNCTION("googletranslate(F133,""en"",""ja"")"),"中和結合抗薬物 IgG3 抗体の測定")</f>
        <v>中和結合抗薬物 IgG3 抗体の測定</v>
      </c>
    </row>
    <row r="134" spans="1:9" ht="45">
      <c r="A134" s="3" t="s">
        <v>180</v>
      </c>
      <c r="B134" s="3" t="s">
        <v>560</v>
      </c>
      <c r="C134" s="3" t="s">
        <v>561</v>
      </c>
      <c r="D134" s="3" t="s">
        <v>562</v>
      </c>
      <c r="E134" s="3" t="s">
        <v>563</v>
      </c>
      <c r="F134" s="3" t="s">
        <v>564</v>
      </c>
      <c r="G134" s="3" t="str">
        <f ca="1">IFERROR(__xludf.DUMMYFUNCTION("googletranslate(D134,""en"",""ja"")"),"結合を中和する抗薬物 IgG4 AB。中和結合抗薬物 IgG4 抗体")</f>
        <v>結合を中和する抗薬物 IgG4 AB。中和結合抗薬物 IgG4 抗体</v>
      </c>
      <c r="H134" s="3" t="str">
        <f ca="1">IFERROR(__xludf.DUMMYFUNCTION("googletranslate(E134,""en"",""ja"")"),"生物学的検体中の中和結合抗薬物 IgG4 抗体の測定。")</f>
        <v>生物学的検体中の中和結合抗薬物 IgG4 抗体の測定。</v>
      </c>
      <c r="I134" s="3" t="str">
        <f ca="1">IFERROR(__xludf.DUMMYFUNCTION("googletranslate(F134,""en"",""ja"")"),"中和結合抗薬物 IgG4 抗体の測定")</f>
        <v>中和結合抗薬物 IgG4 抗体の測定</v>
      </c>
    </row>
    <row r="135" spans="1:9" ht="30">
      <c r="A135" s="3" t="s">
        <v>180</v>
      </c>
      <c r="B135" s="3" t="s">
        <v>565</v>
      </c>
      <c r="C135" s="3" t="s">
        <v>566</v>
      </c>
      <c r="D135" s="3" t="s">
        <v>566</v>
      </c>
      <c r="E135" s="3" t="s">
        <v>567</v>
      </c>
      <c r="F135" s="3" t="s">
        <v>568</v>
      </c>
      <c r="G135" s="3" t="str">
        <f ca="1">IFERROR(__xludf.DUMMYFUNCTION("googletranslate(D135,""en"",""ja"")"),"結合中和抗薬物 IgG/IgM AB")</f>
        <v>結合中和抗薬物 IgG/IgM AB</v>
      </c>
      <c r="H135" s="3" t="str">
        <f ca="1">IFERROR(__xludf.DUMMYFUNCTION("googletranslate(E135,""en"",""ja"")"),"生物学的検体中の中和結合抗薬物 IgG および/または IgM 抗体の測定。")</f>
        <v>生物学的検体中の中和結合抗薬物 IgG および/または IgM 抗体の測定。</v>
      </c>
      <c r="I135" s="3" t="str">
        <f ca="1">IFERROR(__xludf.DUMMYFUNCTION("googletranslate(F135,""en"",""ja"")"),"中和結合抗薬物 IgG/IgM 抗体測定")</f>
        <v>中和結合抗薬物 IgG/IgM 抗体測定</v>
      </c>
    </row>
    <row r="136" spans="1:9" ht="45">
      <c r="A136" s="3" t="s">
        <v>180</v>
      </c>
      <c r="B136" s="3" t="s">
        <v>569</v>
      </c>
      <c r="C136" s="3" t="s">
        <v>570</v>
      </c>
      <c r="D136" s="3" t="s">
        <v>571</v>
      </c>
      <c r="E136" s="3" t="s">
        <v>572</v>
      </c>
      <c r="F136" s="3" t="s">
        <v>573</v>
      </c>
      <c r="G136" s="3" t="str">
        <f ca="1">IFERROR(__xludf.DUMMYFUNCTION("googletranslate(D136,""en"",""ja"")"),"結合を中和する抗薬物 IgM AB;結合を中和する抗薬物 IgM 抗体")</f>
        <v>結合を中和する抗薬物 IgM AB;結合を中和する抗薬物 IgM 抗体</v>
      </c>
      <c r="H136" s="3" t="str">
        <f ca="1">IFERROR(__xludf.DUMMYFUNCTION("googletranslate(E136,""en"",""ja"")"),"生物学的検体中の中和結合抗薬物 IgM 抗体の測定。")</f>
        <v>生物学的検体中の中和結合抗薬物 IgM 抗体の測定。</v>
      </c>
      <c r="I136" s="3" t="str">
        <f ca="1">IFERROR(__xludf.DUMMYFUNCTION("googletranslate(F136,""en"",""ja"")"),"中和結合抗薬物IgM抗体測定")</f>
        <v>中和結合抗薬物IgM抗体測定</v>
      </c>
    </row>
    <row r="137" spans="1:9" ht="45">
      <c r="A137" s="3" t="s">
        <v>180</v>
      </c>
      <c r="B137" s="3" t="s">
        <v>574</v>
      </c>
      <c r="C137" s="3" t="s">
        <v>575</v>
      </c>
      <c r="D137" s="3" t="s">
        <v>576</v>
      </c>
      <c r="E137" s="3" t="s">
        <v>577</v>
      </c>
      <c r="F137" s="3" t="s">
        <v>578</v>
      </c>
      <c r="G137" s="3" t="str">
        <f ca="1">IFERROR(__xludf.DUMMYFUNCTION("googletranslate(D137,""en"",""ja"")"),"Neut 交差反応性結合 ADA IgA;交差反応性結合を中和する抗薬物 IgA 抗体")</f>
        <v>Neut 交差反応性結合 ADA IgA;交差反応性結合を中和する抗薬物 IgA 抗体</v>
      </c>
      <c r="H137" s="3" t="str">
        <f ca="1">IFERROR(__xludf.DUMMYFUNCTION("googletranslate(E137,""en"",""ja"")"),"生物学的検体中の中和交差反応性結合抗薬物 IgA 抗体の測定。")</f>
        <v>生物学的検体中の中和交差反応性結合抗薬物 IgA 抗体の測定。</v>
      </c>
      <c r="I137" s="3" t="str">
        <f ca="1">IFERROR(__xludf.DUMMYFUNCTION("googletranslate(F137,""en"",""ja"")"),"交差反応性結合の中和抗薬物抗体 IgA 測定")</f>
        <v>交差反応性結合の中和抗薬物抗体 IgA 測定</v>
      </c>
    </row>
    <row r="138" spans="1:9" ht="45">
      <c r="A138" s="3" t="s">
        <v>180</v>
      </c>
      <c r="B138" s="3" t="s">
        <v>579</v>
      </c>
      <c r="C138" s="3" t="s">
        <v>580</v>
      </c>
      <c r="D138" s="3" t="s">
        <v>581</v>
      </c>
      <c r="E138" s="3" t="s">
        <v>582</v>
      </c>
      <c r="F138" s="3" t="s">
        <v>583</v>
      </c>
      <c r="G138" s="3" t="str">
        <f ca="1">IFERROR(__xludf.DUMMYFUNCTION("googletranslate(D138,""en"",""ja"")"),"Neut 交差反応性結合 ADA IgE;交差反応性結合を中和する抗薬物 IgE 抗体")</f>
        <v>Neut 交差反応性結合 ADA IgE;交差反応性結合を中和する抗薬物 IgE 抗体</v>
      </c>
      <c r="H138" s="3" t="str">
        <f ca="1">IFERROR(__xludf.DUMMYFUNCTION("googletranslate(E138,""en"",""ja"")"),"生物学的検体中の中和交差反応性結合抗薬物 IgE 抗体の測定。")</f>
        <v>生物学的検体中の中和交差反応性結合抗薬物 IgE 抗体の測定。</v>
      </c>
      <c r="I138" s="3" t="str">
        <f ca="1">IFERROR(__xludf.DUMMYFUNCTION("googletranslate(F138,""en"",""ja"")"),"交差反応性結合の中和抗薬物抗体 IgE 測定")</f>
        <v>交差反応性結合の中和抗薬物抗体 IgE 測定</v>
      </c>
    </row>
    <row r="139" spans="1:9" ht="45">
      <c r="A139" s="3" t="s">
        <v>180</v>
      </c>
      <c r="B139" s="3" t="s">
        <v>584</v>
      </c>
      <c r="C139" s="3" t="s">
        <v>585</v>
      </c>
      <c r="D139" s="3" t="s">
        <v>586</v>
      </c>
      <c r="E139" s="3" t="s">
        <v>587</v>
      </c>
      <c r="F139" s="3" t="s">
        <v>588</v>
      </c>
      <c r="G139" s="3" t="str">
        <f ca="1">IFERROR(__xludf.DUMMYFUNCTION("googletranslate(D139,""en"",""ja"")"),"Neut 交差反応性結合 ADA IgG;交差反応性結合を中和する抗薬物 IgG 抗体")</f>
        <v>Neut 交差反応性結合 ADA IgG;交差反応性結合を中和する抗薬物 IgG 抗体</v>
      </c>
      <c r="H139" s="3" t="str">
        <f ca="1">IFERROR(__xludf.DUMMYFUNCTION("googletranslate(E139,""en"",""ja"")"),"生物学的検体中の中和交差反応性結合抗薬物 IgG 抗体の測定。")</f>
        <v>生物学的検体中の中和交差反応性結合抗薬物 IgG 抗体の測定。</v>
      </c>
      <c r="I139" s="3" t="str">
        <f ca="1">IFERROR(__xludf.DUMMYFUNCTION("googletranslate(F139,""en"",""ja"")"),"交差反応性結合の中和抗薬物抗体 IgG 測定")</f>
        <v>交差反応性結合の中和抗薬物抗体 IgG 測定</v>
      </c>
    </row>
    <row r="140" spans="1:9" ht="45">
      <c r="A140" s="3" t="s">
        <v>180</v>
      </c>
      <c r="B140" s="3" t="s">
        <v>589</v>
      </c>
      <c r="C140" s="3" t="s">
        <v>590</v>
      </c>
      <c r="D140" s="3" t="s">
        <v>591</v>
      </c>
      <c r="E140" s="3" t="s">
        <v>592</v>
      </c>
      <c r="F140" s="3" t="s">
        <v>593</v>
      </c>
      <c r="G140" s="3" t="str">
        <f ca="1">IFERROR(__xludf.DUMMYFUNCTION("googletranslate(D140,""en"",""ja"")"),"Neut 交差反応性結合 ADA IgG1;交差反応性結合を中和する抗薬物 IgG1 抗体")</f>
        <v>Neut 交差反応性結合 ADA IgG1;交差反応性結合を中和する抗薬物 IgG1 抗体</v>
      </c>
      <c r="H140" s="3" t="str">
        <f ca="1">IFERROR(__xludf.DUMMYFUNCTION("googletranslate(E140,""en"",""ja"")"),"生物学的検体中の中和交差反応性結合抗薬物 IgG1 抗体の測定。")</f>
        <v>生物学的検体中の中和交差反応性結合抗薬物 IgG1 抗体の測定。</v>
      </c>
      <c r="I140" s="3" t="str">
        <f ca="1">IFERROR(__xludf.DUMMYFUNCTION("googletranslate(F140,""en"",""ja"")"),"交差反応性結合の中和抗薬物抗体 IgG1 測定")</f>
        <v>交差反応性結合の中和抗薬物抗体 IgG1 測定</v>
      </c>
    </row>
    <row r="141" spans="1:9" ht="45">
      <c r="A141" s="3" t="s">
        <v>180</v>
      </c>
      <c r="B141" s="3" t="s">
        <v>594</v>
      </c>
      <c r="C141" s="3" t="s">
        <v>595</v>
      </c>
      <c r="D141" s="3" t="s">
        <v>596</v>
      </c>
      <c r="E141" s="3" t="s">
        <v>597</v>
      </c>
      <c r="F141" s="3" t="s">
        <v>598</v>
      </c>
      <c r="G141" s="3" t="str">
        <f ca="1">IFERROR(__xludf.DUMMYFUNCTION("googletranslate(D141,""en"",""ja"")"),"Neut 交差反応性結合 ADA IgG2;交差反応性結合を中和する抗薬物 IgG2 抗体")</f>
        <v>Neut 交差反応性結合 ADA IgG2;交差反応性結合を中和する抗薬物 IgG2 抗体</v>
      </c>
      <c r="H141" s="3" t="str">
        <f ca="1">IFERROR(__xludf.DUMMYFUNCTION("googletranslate(E141,""en"",""ja"")"),"生物学的検体中の中和交差反応性結合抗薬物 IgG2 抗体の測定。")</f>
        <v>生物学的検体中の中和交差反応性結合抗薬物 IgG2 抗体の測定。</v>
      </c>
      <c r="I141" s="3" t="str">
        <f ca="1">IFERROR(__xludf.DUMMYFUNCTION("googletranslate(F141,""en"",""ja"")"),"交差反応性結合の中和抗薬物抗体 IgG2 測定")</f>
        <v>交差反応性結合の中和抗薬物抗体 IgG2 測定</v>
      </c>
    </row>
    <row r="142" spans="1:9" ht="45">
      <c r="A142" s="3" t="s">
        <v>180</v>
      </c>
      <c r="B142" s="3" t="s">
        <v>599</v>
      </c>
      <c r="C142" s="3" t="s">
        <v>600</v>
      </c>
      <c r="D142" s="3" t="s">
        <v>601</v>
      </c>
      <c r="E142" s="3" t="s">
        <v>602</v>
      </c>
      <c r="F142" s="3" t="s">
        <v>603</v>
      </c>
      <c r="G142" s="3" t="str">
        <f ca="1">IFERROR(__xludf.DUMMYFUNCTION("googletranslate(D142,""en"",""ja"")"),"Neut 交差反応性結合 ADA IgG3;交差反応性結合を中和する抗薬物 IgG3 抗体")</f>
        <v>Neut 交差反応性結合 ADA IgG3;交差反応性結合を中和する抗薬物 IgG3 抗体</v>
      </c>
      <c r="H142" s="3" t="str">
        <f ca="1">IFERROR(__xludf.DUMMYFUNCTION("googletranslate(E142,""en"",""ja"")"),"生物学的検体中の中和交差反応性結合抗薬物 IgG3 抗体の測定。")</f>
        <v>生物学的検体中の中和交差反応性結合抗薬物 IgG3 抗体の測定。</v>
      </c>
      <c r="I142" s="3" t="str">
        <f ca="1">IFERROR(__xludf.DUMMYFUNCTION("googletranslate(F142,""en"",""ja"")"),"交差反応性結合の中和抗薬物抗体 IgG3 測定")</f>
        <v>交差反応性結合の中和抗薬物抗体 IgG3 測定</v>
      </c>
    </row>
    <row r="143" spans="1:9" ht="45">
      <c r="A143" s="3" t="s">
        <v>180</v>
      </c>
      <c r="B143" s="3" t="s">
        <v>604</v>
      </c>
      <c r="C143" s="3" t="s">
        <v>605</v>
      </c>
      <c r="D143" s="3" t="s">
        <v>606</v>
      </c>
      <c r="E143" s="3" t="s">
        <v>607</v>
      </c>
      <c r="F143" s="3" t="s">
        <v>608</v>
      </c>
      <c r="G143" s="3" t="str">
        <f ca="1">IFERROR(__xludf.DUMMYFUNCTION("googletranslate(D143,""en"",""ja"")"),"Neut 交差反応性結合 ADA IgG4;交差反応性結合を中和する抗薬物 IgG4 抗体")</f>
        <v>Neut 交差反応性結合 ADA IgG4;交差反応性結合を中和する抗薬物 IgG4 抗体</v>
      </c>
      <c r="H143" s="3" t="str">
        <f ca="1">IFERROR(__xludf.DUMMYFUNCTION("googletranslate(E143,""en"",""ja"")"),"生物学的検体中の中和交差反応性結合抗薬物 IgG4 抗体の測定。")</f>
        <v>生物学的検体中の中和交差反応性結合抗薬物 IgG4 抗体の測定。</v>
      </c>
      <c r="I143" s="3" t="str">
        <f ca="1">IFERROR(__xludf.DUMMYFUNCTION("googletranslate(F143,""en"",""ja"")"),"交差反応性結合の中和抗薬物抗体 IgG4 測定")</f>
        <v>交差反応性結合の中和抗薬物抗体 IgG4 測定</v>
      </c>
    </row>
    <row r="144" spans="1:9" ht="60">
      <c r="A144" s="3" t="s">
        <v>180</v>
      </c>
      <c r="B144" s="3" t="s">
        <v>609</v>
      </c>
      <c r="C144" s="3" t="s">
        <v>610</v>
      </c>
      <c r="D144" s="3" t="s">
        <v>611</v>
      </c>
      <c r="E144" s="3" t="s">
        <v>612</v>
      </c>
      <c r="F144" s="3" t="s">
        <v>613</v>
      </c>
      <c r="G144" s="3" t="str">
        <f ca="1">IFERROR(__xludf.DUMMYFUNCTION("googletranslate(D144,""en"",""ja"")"),"Neut 交差反応性結合 ADA IgG/IgM;交差反応性結合を中和する抗薬物 IgG/IgM 抗体")</f>
        <v>Neut 交差反応性結合 ADA IgG/IgM;交差反応性結合を中和する抗薬物 IgG/IgM 抗体</v>
      </c>
      <c r="H144" s="3" t="str">
        <f ca="1">IFERROR(__xludf.DUMMYFUNCTION("googletranslate(E144,""en"",""ja"")"),"生物学的検体中の中和交差反応性結合抗薬物 IgG および/または IgM 抗体の測定。")</f>
        <v>生物学的検体中の中和交差反応性結合抗薬物 IgG および/または IgM 抗体の測定。</v>
      </c>
      <c r="I144" s="3" t="str">
        <f ca="1">IFERROR(__xludf.DUMMYFUNCTION("googletranslate(F144,""en"",""ja"")"),"交差反応性結合の中和抗薬物抗体 IgG/IgM 測定")</f>
        <v>交差反応性結合の中和抗薬物抗体 IgG/IgM 測定</v>
      </c>
    </row>
    <row r="145" spans="1:9" ht="45">
      <c r="A145" s="3" t="s">
        <v>180</v>
      </c>
      <c r="B145" s="3" t="s">
        <v>614</v>
      </c>
      <c r="C145" s="3" t="s">
        <v>615</v>
      </c>
      <c r="D145" s="3" t="s">
        <v>616</v>
      </c>
      <c r="E145" s="3" t="s">
        <v>617</v>
      </c>
      <c r="F145" s="3" t="s">
        <v>618</v>
      </c>
      <c r="G145" s="3" t="str">
        <f ca="1">IFERROR(__xludf.DUMMYFUNCTION("googletranslate(D145,""en"",""ja"")"),"Neut 交差反応性結合 ADA IgM;交差反応性結合を中和する抗薬物 IgM 抗体")</f>
        <v>Neut 交差反応性結合 ADA IgM;交差反応性結合を中和する抗薬物 IgM 抗体</v>
      </c>
      <c r="H145" s="3" t="str">
        <f ca="1">IFERROR(__xludf.DUMMYFUNCTION("googletranslate(E145,""en"",""ja"")"),"生物学的検体中の中和交差反応性結合抗薬物 IgM 抗体の測定。")</f>
        <v>生物学的検体中の中和交差反応性結合抗薬物 IgM 抗体の測定。</v>
      </c>
      <c r="I145" s="3" t="str">
        <f ca="1">IFERROR(__xludf.DUMMYFUNCTION("googletranslate(F145,""en"",""ja"")"),"交差反応性結合の中和抗薬物抗体 IgM 測定")</f>
        <v>交差反応性結合の中和抗薬物抗体 IgM 測定</v>
      </c>
    </row>
    <row r="146" spans="1:9" ht="30">
      <c r="A146" s="3" t="s">
        <v>6</v>
      </c>
      <c r="B146" s="3" t="s">
        <v>619</v>
      </c>
      <c r="C146" s="3" t="s">
        <v>620</v>
      </c>
      <c r="D146" s="3" t="s">
        <v>620</v>
      </c>
      <c r="E146" s="3" t="s">
        <v>621</v>
      </c>
      <c r="F146" s="3" t="s">
        <v>622</v>
      </c>
      <c r="G146" s="3" t="str">
        <f ca="1">IFERROR(__xludf.DUMMYFUNCTION("googletranslate(D146,""en"",""ja"")"),"アデノシン二リン酸")</f>
        <v>アデノシン二リン酸</v>
      </c>
      <c r="H146" s="3" t="str">
        <f ca="1">IFERROR(__xludf.DUMMYFUNCTION("googletranslate(E146,""en"",""ja"")"),"生物学的標本中のアデノシン二リン酸の​​測定。")</f>
        <v>生物学的標本中のアデノシン二リン酸の​​測定。</v>
      </c>
      <c r="I146" s="3" t="str">
        <f ca="1">IFERROR(__xludf.DUMMYFUNCTION("googletranslate(F146,""en"",""ja"")"),"アデノシン二リン酸の​​測定")</f>
        <v>アデノシン二リン酸の​​測定</v>
      </c>
    </row>
    <row r="147" spans="1:9" ht="30">
      <c r="A147" s="3" t="s">
        <v>6</v>
      </c>
      <c r="B147" s="3" t="s">
        <v>623</v>
      </c>
      <c r="C147" s="3" t="s">
        <v>624</v>
      </c>
      <c r="D147" s="3" t="s">
        <v>624</v>
      </c>
      <c r="E147" s="3" t="s">
        <v>625</v>
      </c>
      <c r="F147" s="3" t="s">
        <v>626</v>
      </c>
      <c r="G147" s="3" t="str">
        <f ca="1">IFERROR(__xludf.DUMMYFUNCTION("googletranslate(D147,""en"",""ja"")"),"アディポネクチン")</f>
        <v>アディポネクチン</v>
      </c>
      <c r="H147" s="3" t="str">
        <f ca="1">IFERROR(__xludf.DUMMYFUNCTION("googletranslate(E147,""en"",""ja"")"),"生物学的標本中の総アディポネクチン ホルモンの測定。")</f>
        <v>生物学的標本中の総アディポネクチン ホルモンの測定。</v>
      </c>
      <c r="I147" s="3" t="str">
        <f ca="1">IFERROR(__xludf.DUMMYFUNCTION("googletranslate(F147,""en"",""ja"")"),"アディポネクチン測定")</f>
        <v>アディポネクチン測定</v>
      </c>
    </row>
    <row r="148" spans="1:9" ht="30">
      <c r="A148" s="3" t="s">
        <v>6</v>
      </c>
      <c r="B148" s="3" t="s">
        <v>627</v>
      </c>
      <c r="C148" s="3" t="s">
        <v>628</v>
      </c>
      <c r="D148" s="3" t="s">
        <v>628</v>
      </c>
      <c r="E148" s="3" t="s">
        <v>629</v>
      </c>
      <c r="F148" s="3" t="s">
        <v>630</v>
      </c>
      <c r="G148" s="3" t="str">
        <f ca="1">IFERROR(__xludf.DUMMYFUNCTION("googletranslate(D148,""en"",""ja"")"),"アディポネクチン、高分子量")</f>
        <v>アディポネクチン、高分子量</v>
      </c>
      <c r="H148" s="3" t="str">
        <f ca="1">IFERROR(__xludf.DUMMYFUNCTION("googletranslate(E148,""en"",""ja"")"),"生体試料中の高分子量アディポネクチン ホルモンの測定。")</f>
        <v>生体試料中の高分子量アディポネクチン ホルモンの測定。</v>
      </c>
      <c r="I148" s="3" t="str">
        <f ca="1">IFERROR(__xludf.DUMMYFUNCTION("googletranslate(F148,""en"",""ja"")"),"高分子量アディポネクチンの測定")</f>
        <v>高分子量アディポネクチンの測定</v>
      </c>
    </row>
    <row r="149" spans="1:9" ht="30">
      <c r="A149" s="3" t="s">
        <v>142</v>
      </c>
      <c r="B149" s="3" t="s">
        <v>631</v>
      </c>
      <c r="C149" s="3" t="s">
        <v>632</v>
      </c>
      <c r="D149" s="3" t="s">
        <v>632</v>
      </c>
      <c r="E149" s="3" t="s">
        <v>633</v>
      </c>
      <c r="F149" s="3" t="s">
        <v>632</v>
      </c>
      <c r="G149" s="3" t="str">
        <f ca="1">IFERROR(__xludf.DUMMYFUNCTION("googletranslate(D149,""en"",""ja"")"),"アドレナーキエイジ")</f>
        <v>アドレナーキエイジ</v>
      </c>
      <c r="H149" s="3" t="str">
        <f ca="1">IFERROR(__xludf.DUMMYFUNCTION("googletranslate(E149,""en"",""ja"")"),"副腎アンドロゲンを介した二次性徴が始まる年齢。")</f>
        <v>副腎アンドロゲンを介した二次性徴が始まる年齢。</v>
      </c>
      <c r="I149" s="3" t="str">
        <f ca="1">IFERROR(__xludf.DUMMYFUNCTION("googletranslate(F149,""en"",""ja"")"),"アドレナーキエイジ")</f>
        <v>アドレナーキエイジ</v>
      </c>
    </row>
    <row r="150" spans="1:9" ht="45">
      <c r="A150" s="3" t="s">
        <v>81</v>
      </c>
      <c r="B150" s="3" t="s">
        <v>634</v>
      </c>
      <c r="C150" s="3" t="s">
        <v>635</v>
      </c>
      <c r="D150" s="3" t="s">
        <v>636</v>
      </c>
      <c r="E150" s="3" t="s">
        <v>637</v>
      </c>
      <c r="F150" s="3" t="s">
        <v>638</v>
      </c>
      <c r="G150" s="3" t="str">
        <f ca="1">IFERROR(__xludf.DUMMYFUNCTION("googletranslate(D150,""en"",""ja"")"),"大動脈管縮窄症の重症度;大動脈近傍管狭窄症の重症度")</f>
        <v>大動脈管縮窄症の重症度;大動脈近傍管狭窄症の重症度</v>
      </c>
      <c r="H150" s="3" t="str">
        <f ca="1">IFERROR(__xludf.DUMMYFUNCTION("googletranslate(E150,""en"",""ja"")"),"大動脈管縮窄症の重症度の評価。")</f>
        <v>大動脈管縮窄症の重症度の評価。</v>
      </c>
      <c r="I150" s="3" t="str">
        <f ca="1">IFERROR(__xludf.DUMMYFUNCTION("googletranslate(F150,""en"",""ja"")"),"大動脈近傍管狭窄症の重症度")</f>
        <v>大動脈近傍管狭窄症の重症度</v>
      </c>
    </row>
    <row r="151" spans="1:9" ht="30">
      <c r="A151" s="3" t="s">
        <v>67</v>
      </c>
      <c r="B151" s="3" t="s">
        <v>639</v>
      </c>
      <c r="C151" s="3" t="s">
        <v>640</v>
      </c>
      <c r="D151" s="3" t="s">
        <v>640</v>
      </c>
      <c r="E151" s="3" t="s">
        <v>641</v>
      </c>
      <c r="F151" s="3" t="s">
        <v>642</v>
      </c>
      <c r="G151" s="3" t="str">
        <f ca="1">IFERROR(__xludf.DUMMYFUNCTION("googletranslate(D151,""en"",""ja"")"),"アデノウイルス DNA")</f>
        <v>アデノウイルス DNA</v>
      </c>
      <c r="H151" s="3" t="str">
        <f ca="1">IFERROR(__xludf.DUMMYFUNCTION("googletranslate(E151,""en"",""ja"")"),"生物学的標本中のアデノウイルス科の任意のメンバーからの DNA の測定。")</f>
        <v>生物学的標本中のアデノウイルス科の任意のメンバーからの DNA の測定。</v>
      </c>
      <c r="I151" s="3" t="str">
        <f ca="1">IFERROR(__xludf.DUMMYFUNCTION("googletranslate(F151,""en"",""ja"")"),"アデノウイルスDNA測定")</f>
        <v>アデノウイルスDNA測定</v>
      </c>
    </row>
    <row r="152" spans="1:9" ht="30">
      <c r="A152" s="3" t="s">
        <v>67</v>
      </c>
      <c r="B152" s="3" t="s">
        <v>643</v>
      </c>
      <c r="C152" s="3" t="s">
        <v>644</v>
      </c>
      <c r="D152" s="3" t="s">
        <v>644</v>
      </c>
      <c r="E152" s="3" t="s">
        <v>645</v>
      </c>
      <c r="F152" s="3" t="s">
        <v>646</v>
      </c>
      <c r="G152" s="3" t="str">
        <f ca="1">IFERROR(__xludf.DUMMYFUNCTION("googletranslate(D152,""en"",""ja"")"),"アデノウイルス核酸")</f>
        <v>アデノウイルス核酸</v>
      </c>
      <c r="H152" s="3" t="str">
        <f ca="1">IFERROR(__xludf.DUMMYFUNCTION("googletranslate(E152,""en"",""ja"")"),"生物学的標本中のアデノウイルス科の任意のメンバーからの核酸の測定。")</f>
        <v>生物学的標本中のアデノウイルス科の任意のメンバーからの核酸の測定。</v>
      </c>
      <c r="I152" s="3" t="str">
        <f ca="1">IFERROR(__xludf.DUMMYFUNCTION("googletranslate(F152,""en"",""ja"")"),"アデノウイルス核酸測定")</f>
        <v>アデノウイルス核酸測定</v>
      </c>
    </row>
    <row r="153" spans="1:9" ht="30">
      <c r="A153" s="3" t="s">
        <v>51</v>
      </c>
      <c r="B153" s="3" t="s">
        <v>647</v>
      </c>
      <c r="C153" s="3" t="s">
        <v>648</v>
      </c>
      <c r="D153" s="3" t="s">
        <v>648</v>
      </c>
      <c r="E153" s="3" t="s">
        <v>649</v>
      </c>
      <c r="F153" s="3" t="s">
        <v>648</v>
      </c>
      <c r="G153" s="3" t="str">
        <f ca="1">IFERROR(__xludf.DUMMYFUNCTION("googletranslate(D153,""en"",""ja"")"),"好気性コロニー数")</f>
        <v>好気性コロニー数</v>
      </c>
      <c r="H153" s="3" t="str">
        <f ca="1">IFERROR(__xludf.DUMMYFUNCTION("googletranslate(E153,""en"",""ja"")"),"サンプル中の好気性コロニーの数の測定値。")</f>
        <v>サンプル中の好気性コロニーの数の測定値。</v>
      </c>
      <c r="I153" s="3" t="str">
        <f ca="1">IFERROR(__xludf.DUMMYFUNCTION("googletranslate(F153,""en"",""ja"")"),"好気性コロニー数")</f>
        <v>好気性コロニー数</v>
      </c>
    </row>
    <row r="154" spans="1:9" ht="60">
      <c r="A154" s="3" t="s">
        <v>185</v>
      </c>
      <c r="B154" s="3" t="s">
        <v>650</v>
      </c>
      <c r="C154" s="3" t="s">
        <v>651</v>
      </c>
      <c r="D154" s="3" t="s">
        <v>652</v>
      </c>
      <c r="E154" s="3" t="s">
        <v>653</v>
      </c>
      <c r="F154" s="3" t="s">
        <v>654</v>
      </c>
      <c r="G154" s="3" t="str">
        <f ca="1">IFERROR(__xludf.DUMMYFUNCTION("googletranslate(D154,""en"",""ja"")"),"Dechallenge Ind による AE の改善/解決。 Dechallenge インジケーターによる AE の改善/解決")</f>
        <v>Dechallenge Ind による AE の改善/解決。 Dechallenge インジケーターによる AE の改善/解決</v>
      </c>
      <c r="H154" s="3" t="str">
        <f ca="1">IFERROR(__xludf.DUMMYFUNCTION("googletranslate(E154,""en"",""ja"")"),"研究治療を中止した後に有害事象が改善するか消失するかに関する指標。")</f>
        <v>研究治療を中止した後に有害事象が改善するか消失するかに関する指標。</v>
      </c>
      <c r="I154" s="3" t="str">
        <f ca="1">IFERROR(__xludf.DUMMYFUNCTION("googletranslate(F154,""en"",""ja"")"),"陽性脱チャレンジ反応インジケーター")</f>
        <v>陽性脱チャレンジ反応インジケーター</v>
      </c>
    </row>
    <row r="155" spans="1:9" ht="30">
      <c r="A155" s="3" t="s">
        <v>67</v>
      </c>
      <c r="B155" s="3" t="s">
        <v>655</v>
      </c>
      <c r="C155" s="3" t="s">
        <v>656</v>
      </c>
      <c r="D155" s="3" t="s">
        <v>656</v>
      </c>
      <c r="E155" s="3" t="s">
        <v>657</v>
      </c>
      <c r="F155" s="3" t="s">
        <v>658</v>
      </c>
      <c r="G155" s="3" t="str">
        <f ca="1">IFERROR(__xludf.DUMMYFUNCTION("googletranslate(D155,""en"",""ja"")"),"好気性細菌")</f>
        <v>好気性細菌</v>
      </c>
      <c r="H155" s="3" t="str">
        <f ca="1">IFERROR(__xludf.DUMMYFUNCTION("googletranslate(E155,""en"",""ja"")"),"生体試料中の好気性細菌の測定。")</f>
        <v>生体試料中の好気性細菌の測定。</v>
      </c>
      <c r="I155" s="3" t="str">
        <f ca="1">IFERROR(__xludf.DUMMYFUNCTION("googletranslate(F155,""en"",""ja"")"),"好気性細菌の測定")</f>
        <v>好気性細菌の測定</v>
      </c>
    </row>
    <row r="156" spans="1:9" ht="60">
      <c r="A156" s="3" t="s">
        <v>185</v>
      </c>
      <c r="B156" s="3" t="s">
        <v>659</v>
      </c>
      <c r="C156" s="3" t="s">
        <v>660</v>
      </c>
      <c r="D156" s="3" t="s">
        <v>661</v>
      </c>
      <c r="E156" s="3" t="s">
        <v>662</v>
      </c>
      <c r="F156" s="3" t="s">
        <v>663</v>
      </c>
      <c r="G156" s="3" t="str">
        <f ca="1">IFERROR(__xludf.DUMMYFUNCTION("googletranslate(D156,""en"",""ja"")"),"再チャレンジインドでAEが再発/悪化。再チャレンジインジケーターによるAEの再発/悪化")</f>
        <v>再チャレンジインドでAEが再発/悪化。再チャレンジインジケーターによるAEの再発/悪化</v>
      </c>
      <c r="H156" s="3" t="str">
        <f ca="1">IFERROR(__xludf.DUMMYFUNCTION("googletranslate(E156,""en"",""ja"")"),"研究治療を再開した後に有害事象が再発するか悪化するかどうかに関する指標。")</f>
        <v>研究治療を再開した後に有害事象が再発するか悪化するかどうかに関する指標。</v>
      </c>
      <c r="I156" s="3" t="str">
        <f ca="1">IFERROR(__xludf.DUMMYFUNCTION("googletranslate(F156,""en"",""ja"")"),"肯定的な再チャレンジ指標")</f>
        <v>肯定的な再チャレンジ指標</v>
      </c>
    </row>
    <row r="157" spans="1:9" ht="30">
      <c r="A157" s="3" t="s">
        <v>67</v>
      </c>
      <c r="B157" s="3" t="s">
        <v>664</v>
      </c>
      <c r="C157" s="3" t="s">
        <v>665</v>
      </c>
      <c r="D157" s="3" t="s">
        <v>665</v>
      </c>
      <c r="E157" s="3" t="s">
        <v>666</v>
      </c>
      <c r="F157" s="3" t="s">
        <v>667</v>
      </c>
      <c r="G157" s="3" t="str">
        <f ca="1">IFERROR(__xludf.DUMMYFUNCTION("googletranslate(D157,""en"",""ja"")"),"エロモナスの DNA")</f>
        <v>エロモナスの DNA</v>
      </c>
      <c r="H157" s="3" t="str">
        <f ca="1">IFERROR(__xludf.DUMMYFUNCTION("googletranslate(E157,""en"",""ja"")"),"生物学的標本中のエロモナス属のメンバーからの DNA の測定。")</f>
        <v>生物学的標本中のエロモナス属のメンバーからの DNA の測定。</v>
      </c>
      <c r="I157" s="3" t="str">
        <f ca="1">IFERROR(__xludf.DUMMYFUNCTION("googletranslate(F157,""en"",""ja"")"),"エロモナスDNA測定")</f>
        <v>エロモナスDNA測定</v>
      </c>
    </row>
    <row r="158" spans="1:9" ht="45">
      <c r="A158" s="3" t="s">
        <v>67</v>
      </c>
      <c r="B158" s="3" t="s">
        <v>668</v>
      </c>
      <c r="C158" s="3" t="s">
        <v>669</v>
      </c>
      <c r="D158" s="3" t="s">
        <v>669</v>
      </c>
      <c r="E158" s="3" t="s">
        <v>670</v>
      </c>
      <c r="F158" s="3" t="s">
        <v>671</v>
      </c>
      <c r="G158" s="3" t="str">
        <f ca="1">IFERROR(__xludf.DUMMYFUNCTION("googletranslate(D158,""en"",""ja"")"),"エロモナス")</f>
        <v>エロモナス</v>
      </c>
      <c r="H158" s="3" t="str">
        <f ca="1">IFERROR(__xludf.DUMMYFUNCTION("googletranslate(E158,""en"",""ja"")"),"生物学的標本において種レベルには割り当てられていないが、エロモナス属レベルに割り当てられている生物の測定値。")</f>
        <v>生物学的標本において種レベルには割り当てられていないが、エロモナス属レベルに割り当てられている生物の測定値。</v>
      </c>
      <c r="I158" s="3" t="str">
        <f ca="1">IFERROR(__xludf.DUMMYFUNCTION("googletranslate(F158,""en"",""ja"")"),"エロモナス測定")</f>
        <v>エロモナス測定</v>
      </c>
    </row>
    <row r="159" spans="1:9" ht="75">
      <c r="A159" s="3" t="s">
        <v>6</v>
      </c>
      <c r="B159" s="3" t="s">
        <v>672</v>
      </c>
      <c r="C159" s="3" t="s">
        <v>673</v>
      </c>
      <c r="D159" s="3" t="s">
        <v>673</v>
      </c>
      <c r="E159" s="3" t="s">
        <v>674</v>
      </c>
      <c r="F159" s="3" t="s">
        <v>675</v>
      </c>
      <c r="G159" s="3" t="str">
        <f ca="1">IFERROR(__xludf.DUMMYFUNCTION("googletranslate(D159,""en"",""ja"")"),"抗第 Xa 因子活性")</f>
        <v>抗第 Xa 因子活性</v>
      </c>
      <c r="H159" s="3" t="str">
        <f ca="1">IFERROR(__xludf.DUMMYFUNCTION("googletranslate(E159,""en"",""ja"")"),"生物学的標本の活性化された第 X 因子を不活化するアンチトロンビンの能力の測定。この検査は、生物学的検体中の低分子量ヘパリンまたは未分画ヘパリンのレベルを監視するために使用されます。")</f>
        <v>生物学的標本の活性化された第 X 因子を不活化するアンチトロンビンの能力の測定。この検査は、生物学的検体中の低分子量ヘパリンまたは未分画ヘパリンのレベルを監視するために使用されます。</v>
      </c>
      <c r="I159" s="3" t="str">
        <f ca="1">IFERROR(__xludf.DUMMYFUNCTION("googletranslate(F159,""en"",""ja"")"),"抗第Xa因子活性測定")</f>
        <v>抗第Xa因子活性測定</v>
      </c>
    </row>
    <row r="160" spans="1:9" ht="45">
      <c r="A160" s="3" t="s">
        <v>67</v>
      </c>
      <c r="B160" s="3" t="s">
        <v>676</v>
      </c>
      <c r="C160" s="3" t="s">
        <v>677</v>
      </c>
      <c r="D160" s="3" t="s">
        <v>677</v>
      </c>
      <c r="E160" s="3" t="s">
        <v>678</v>
      </c>
      <c r="F160" s="3" t="s">
        <v>679</v>
      </c>
      <c r="G160" s="3" t="str">
        <f ca="1">IFERROR(__xludf.DUMMYFUNCTION("googletranslate(D160,""en"",""ja"")"),"抗酸菌")</f>
        <v>抗酸菌</v>
      </c>
      <c r="H160" s="3" t="str">
        <f ca="1">IFERROR(__xludf.DUMMYFUNCTION("googletranslate(E160,""en"",""ja"")"),"細胞壁内のミコール酸により、水性染色溶液を受け入れた後、酸による脱色に抵抗する棒状細菌の測定。")</f>
        <v>細胞壁内のミコール酸により、水性染色溶液を受け入れた後、酸による脱色に抵抗する棒状細菌の測定。</v>
      </c>
      <c r="I160" s="3" t="str">
        <f ca="1">IFERROR(__xludf.DUMMYFUNCTION("googletranslate(F160,""en"",""ja"")"),"抗酸菌の測定")</f>
        <v>抗酸菌の測定</v>
      </c>
    </row>
    <row r="161" spans="1:9">
      <c r="A161" s="3" t="s">
        <v>51</v>
      </c>
      <c r="B161" s="3" t="s">
        <v>680</v>
      </c>
      <c r="C161" s="3" t="s">
        <v>681</v>
      </c>
      <c r="D161" s="3" t="s">
        <v>681</v>
      </c>
      <c r="E161" s="3" t="s">
        <v>682</v>
      </c>
      <c r="F161" s="3" t="s">
        <v>683</v>
      </c>
      <c r="G161" s="3" t="str">
        <f ca="1">IFERROR(__xludf.DUMMYFUNCTION("googletranslate(D161,""en"",""ja"")"),"アフラトキシンB1")</f>
        <v>アフラトキシンB1</v>
      </c>
      <c r="H161" s="3" t="str">
        <f ca="1">IFERROR(__xludf.DUMMYFUNCTION("googletranslate(E161,""en"",""ja"")"),"検体中のアフラトキシン B1 の測定。")</f>
        <v>検体中のアフラトキシン B1 の測定。</v>
      </c>
      <c r="I161" s="3" t="str">
        <f ca="1">IFERROR(__xludf.DUMMYFUNCTION("googletranslate(F161,""en"",""ja"")"),"アフラトキシンB1の測定")</f>
        <v>アフラトキシンB1の測定</v>
      </c>
    </row>
    <row r="162" spans="1:9" ht="30">
      <c r="A162" s="3" t="s">
        <v>6</v>
      </c>
      <c r="B162" s="3" t="s">
        <v>684</v>
      </c>
      <c r="C162" s="3" t="s">
        <v>685</v>
      </c>
      <c r="D162" s="3" t="s">
        <v>686</v>
      </c>
      <c r="E162" s="3" t="s">
        <v>687</v>
      </c>
      <c r="F162" s="3" t="s">
        <v>688</v>
      </c>
      <c r="G162" s="3" t="str">
        <f ca="1">IFERROR(__xludf.DUMMYFUNCTION("googletranslate(D162,""en"",""ja"")"),"アルファフェトプロテイン;アルファ-1-フェトプロテイン")</f>
        <v>アルファフェトプロテイン;アルファ-1-フェトプロテイン</v>
      </c>
      <c r="H162" s="3" t="str">
        <f ca="1">IFERROR(__xludf.DUMMYFUNCTION("googletranslate(E162,""en"",""ja"")"),"生物学的標本中のアルファフェトプロテインの測定。")</f>
        <v>生物学的標本中のアルファフェトプロテインの測定。</v>
      </c>
      <c r="I162" s="3" t="str">
        <f ca="1">IFERROR(__xludf.DUMMYFUNCTION("googletranslate(F162,""en"",""ja"")"),"アルファフェトプロテインの測定")</f>
        <v>アルファフェトプロテインの測定</v>
      </c>
    </row>
    <row r="163" spans="1:9" ht="30">
      <c r="A163" s="3" t="s">
        <v>6</v>
      </c>
      <c r="B163" s="3" t="s">
        <v>689</v>
      </c>
      <c r="C163" s="3" t="s">
        <v>690</v>
      </c>
      <c r="D163" s="3" t="s">
        <v>690</v>
      </c>
      <c r="E163" s="3" t="s">
        <v>691</v>
      </c>
      <c r="F163" s="3" t="s">
        <v>692</v>
      </c>
      <c r="G163" s="3" t="str">
        <f ca="1">IFERROR(__xludf.DUMMYFUNCTION("googletranslate(D163,""en"",""ja"")"),"体重に対するアルファフェトプロテインの調整")</f>
        <v>体重に対するアルファフェトプロテインの調整</v>
      </c>
      <c r="H163" s="3" t="str">
        <f ca="1">IFERROR(__xludf.DUMMYFUNCTION("googletranslate(E163,""en"",""ja"")"),"生物学的標本中の、体重に合わせて調整されたアルファフェトプロテインの測定。")</f>
        <v>生物学的標本中の、体重に合わせて調整されたアルファフェトプロテインの測定。</v>
      </c>
      <c r="I163" s="3" t="str">
        <f ca="1">IFERROR(__xludf.DUMMYFUNCTION("googletranslate(F163,""en"",""ja"")"),"体重測定用に調整されたアルファフェトプロテイン")</f>
        <v>体重測定用に調整されたアルファフェトプロテイン</v>
      </c>
    </row>
    <row r="164" spans="1:9" ht="30">
      <c r="A164" s="3" t="s">
        <v>6</v>
      </c>
      <c r="B164" s="3" t="s">
        <v>693</v>
      </c>
      <c r="C164" s="3" t="s">
        <v>694</v>
      </c>
      <c r="D164" s="3" t="s">
        <v>694</v>
      </c>
      <c r="E164" s="3" t="s">
        <v>695</v>
      </c>
      <c r="F164" s="3" t="s">
        <v>696</v>
      </c>
      <c r="G164" s="3" t="str">
        <f ca="1">IFERROR(__xludf.DUMMYFUNCTION("googletranslate(D164,""en"",""ja"")"),"アルファフェトプロテイン L1")</f>
        <v>アルファフェトプロテイン L1</v>
      </c>
      <c r="H164" s="3" t="str">
        <f ca="1">IFERROR(__xludf.DUMMYFUNCTION("googletranslate(E164,""en"",""ja"")"),"生物学的標本中のアルファフェトプロテイン L1 の測定。")</f>
        <v>生物学的標本中のアルファフェトプロテイン L1 の測定。</v>
      </c>
      <c r="I164" s="3" t="str">
        <f ca="1">IFERROR(__xludf.DUMMYFUNCTION("googletranslate(F164,""en"",""ja"")"),"アルファフェトプロテインL1の測定")</f>
        <v>アルファフェトプロテインL1の測定</v>
      </c>
    </row>
    <row r="165" spans="1:9" ht="30">
      <c r="A165" s="3" t="s">
        <v>6</v>
      </c>
      <c r="B165" s="3" t="s">
        <v>697</v>
      </c>
      <c r="C165" s="3" t="s">
        <v>698</v>
      </c>
      <c r="D165" s="3" t="s">
        <v>698</v>
      </c>
      <c r="E165" s="3" t="s">
        <v>699</v>
      </c>
      <c r="F165" s="3" t="s">
        <v>700</v>
      </c>
      <c r="G165" s="3" t="str">
        <f ca="1">IFERROR(__xludf.DUMMYFUNCTION("googletranslate(D165,""en"",""ja"")"),"アルファフェトプロテイン L2")</f>
        <v>アルファフェトプロテイン L2</v>
      </c>
      <c r="H165" s="3" t="str">
        <f ca="1">IFERROR(__xludf.DUMMYFUNCTION("googletranslate(E165,""en"",""ja"")"),"生物学的標本中のアルファフェトプロテイン L2 の測定。")</f>
        <v>生物学的標本中のアルファフェトプロテイン L2 の測定。</v>
      </c>
      <c r="I165" s="3" t="str">
        <f ca="1">IFERROR(__xludf.DUMMYFUNCTION("googletranslate(F165,""en"",""ja"")"),"アルファフェトプロテイン L2 測定")</f>
        <v>アルファフェトプロテイン L2 測定</v>
      </c>
    </row>
    <row r="166" spans="1:9" ht="30">
      <c r="A166" s="3" t="s">
        <v>6</v>
      </c>
      <c r="B166" s="3" t="s">
        <v>701</v>
      </c>
      <c r="C166" s="3" t="s">
        <v>702</v>
      </c>
      <c r="D166" s="3" t="s">
        <v>702</v>
      </c>
      <c r="E166" s="3" t="s">
        <v>703</v>
      </c>
      <c r="F166" s="3" t="s">
        <v>704</v>
      </c>
      <c r="G166" s="3" t="str">
        <f ca="1">IFERROR(__xludf.DUMMYFUNCTION("googletranslate(D166,""en"",""ja"")"),"アルファフェトプロテイン L3")</f>
        <v>アルファフェトプロテイン L3</v>
      </c>
      <c r="H166" s="3" t="str">
        <f ca="1">IFERROR(__xludf.DUMMYFUNCTION("googletranslate(E166,""en"",""ja"")"),"生物学的標本中のアルファフェトプロテイン L3 の測定。")</f>
        <v>生物学的標本中のアルファフェトプロテイン L3 の測定。</v>
      </c>
      <c r="I166" s="3" t="str">
        <f ca="1">IFERROR(__xludf.DUMMYFUNCTION("googletranslate(F166,""en"",""ja"")"),"アルファフェトプロテインL3の測定")</f>
        <v>アルファフェトプロテインL3の測定</v>
      </c>
    </row>
    <row r="167" spans="1:9" ht="45">
      <c r="A167" s="3" t="s">
        <v>6</v>
      </c>
      <c r="B167" s="3" t="s">
        <v>705</v>
      </c>
      <c r="C167" s="3" t="s">
        <v>706</v>
      </c>
      <c r="D167" s="3" t="s">
        <v>706</v>
      </c>
      <c r="E167" s="3" t="s">
        <v>707</v>
      </c>
      <c r="F167" s="3" t="s">
        <v>708</v>
      </c>
      <c r="G167" s="3" t="str">
        <f ca="1">IFERROR(__xludf.DUMMYFUNCTION("googletranslate(D167,""en"",""ja"")"),"A フェトプロテイン L3/A フェトプロテイン")</f>
        <v>A フェトプロテイン L3/A フェトプロテイン</v>
      </c>
      <c r="H167" s="3" t="str">
        <f ca="1">IFERROR(__xludf.DUMMYFUNCTION("googletranslate(E167,""en"",""ja"")"),"生物学的標本中の総アルファフェトプロテインに対するアルファフェトプロテイン L3 の相対測定値 (比率またはパーセンテージ)。")</f>
        <v>生物学的標本中の総アルファフェトプロテインに対するアルファフェトプロテイン L3 の相対測定値 (比率またはパーセンテージ)。</v>
      </c>
      <c r="I167" s="3" t="str">
        <f ca="1">IFERROR(__xludf.DUMMYFUNCTION("googletranslate(F167,""en"",""ja"")"),"アルファフェトプロテイン L3 と総アルファフェトプロテインの比率の測定")</f>
        <v>アルファフェトプロテイン L3 と総アルファフェトプロテインの比率の測定</v>
      </c>
    </row>
    <row r="168" spans="1:9" ht="30">
      <c r="A168" s="3" t="s">
        <v>67</v>
      </c>
      <c r="B168" s="3" t="s">
        <v>709</v>
      </c>
      <c r="C168" s="3" t="s">
        <v>710</v>
      </c>
      <c r="D168" s="3" t="s">
        <v>710</v>
      </c>
      <c r="E168" s="3" t="s">
        <v>711</v>
      </c>
      <c r="F168" s="3" t="s">
        <v>712</v>
      </c>
      <c r="G168" s="3" t="str">
        <f ca="1">IFERROR(__xludf.DUMMYFUNCTION("googletranslate(D168,""en"",""ja"")"),"アスペルギルス フミガタス")</f>
        <v>アスペルギルス フミガタス</v>
      </c>
      <c r="H168" s="3" t="str">
        <f ca="1">IFERROR(__xludf.DUMMYFUNCTION("googletranslate(E168,""en"",""ja"")"),"生物学的標本中のアスペルギルス フミガタスの測定。")</f>
        <v>生物学的標本中のアスペルギルス フミガタスの測定。</v>
      </c>
      <c r="I168" s="3" t="str">
        <f ca="1">IFERROR(__xludf.DUMMYFUNCTION("googletranslate(F168,""en"",""ja"")"),"アスペルギルス フミガタスの測定")</f>
        <v>アスペルギルス フミガタスの測定</v>
      </c>
    </row>
    <row r="169" spans="1:9" ht="30">
      <c r="A169" s="3" t="s">
        <v>6</v>
      </c>
      <c r="B169" s="3" t="s">
        <v>713</v>
      </c>
      <c r="C169" s="3" t="s">
        <v>714</v>
      </c>
      <c r="D169" s="3" t="s">
        <v>714</v>
      </c>
      <c r="E169" s="3" t="s">
        <v>715</v>
      </c>
      <c r="F169" s="3" t="s">
        <v>716</v>
      </c>
      <c r="G169" s="3" t="str">
        <f ca="1">IFERROR(__xludf.DUMMYFUNCTION("googletranslate(D169,""en"",""ja"")"),"1,5-アンヒドログルシトール")</f>
        <v>1,5-アンヒドログルシトール</v>
      </c>
      <c r="H169" s="3" t="str">
        <f ca="1">IFERROR(__xludf.DUMMYFUNCTION("googletranslate(E169,""en"",""ja"")"),"生物学的標本中の 1,5-アンヒドログルシトールの測定。")</f>
        <v>生物学的標本中の 1,5-アンヒドログルシトールの測定。</v>
      </c>
      <c r="I169" s="3" t="str">
        <f ca="1">IFERROR(__xludf.DUMMYFUNCTION("googletranslate(F169,""en"",""ja"")"),"1,5-アンヒドログルシトールの測定")</f>
        <v>1,5-アンヒドログルシトールの測定</v>
      </c>
    </row>
    <row r="170" spans="1:9">
      <c r="A170" s="3" t="s">
        <v>185</v>
      </c>
      <c r="B170" s="3" t="s">
        <v>717</v>
      </c>
      <c r="C170" s="3" t="s">
        <v>718</v>
      </c>
      <c r="D170" s="3" t="s">
        <v>718</v>
      </c>
      <c r="E170" s="3" t="s">
        <v>719</v>
      </c>
      <c r="F170" s="3" t="s">
        <v>720</v>
      </c>
      <c r="G170" s="3" t="str">
        <f ca="1">IFERROR(__xludf.DUMMYFUNCTION("googletranslate(D170,""en"",""ja"")"),"最初の年齢のエピソード")</f>
        <v>最初の年齢のエピソード</v>
      </c>
      <c r="H170" s="3" t="str">
        <f ca="1">IFERROR(__xludf.DUMMYFUNCTION("googletranslate(E170,""en"",""ja"")"),"最初のエピソードが発生した年齢。")</f>
        <v>最初のエピソードが発生した年齢。</v>
      </c>
      <c r="I170" s="3" t="str">
        <f ca="1">IFERROR(__xludf.DUMMYFUNCTION("googletranslate(F170,""en"",""ja"")"),"最初のエピソードの年齢")</f>
        <v>最初のエピソードの年齢</v>
      </c>
    </row>
    <row r="171" spans="1:9" ht="30">
      <c r="A171" s="3" t="s">
        <v>185</v>
      </c>
      <c r="B171" s="3" t="s">
        <v>721</v>
      </c>
      <c r="C171" s="3" t="s">
        <v>722</v>
      </c>
      <c r="D171" s="3" t="s">
        <v>722</v>
      </c>
      <c r="E171" s="3" t="s">
        <v>723</v>
      </c>
      <c r="F171" s="3" t="s">
        <v>722</v>
      </c>
      <c r="G171" s="3" t="str">
        <f ca="1">IFERROR(__xludf.DUMMYFUNCTION("googletranslate(D171,""en"",""ja"")"),"フルタイム使用時の年齢")</f>
        <v>フルタイム使用時の年齢</v>
      </c>
      <c r="H171" s="3" t="str">
        <f ca="1">IFERROR(__xludf.DUMMYFUNCTION("googletranslate(E171,""en"",""ja"")"),"事前に指定されたオブジェクトを初めてフルタイムで使用した年齢。")</f>
        <v>事前に指定されたオブジェクトを初めてフルタイムで使用した年齢。</v>
      </c>
      <c r="I171" s="3" t="str">
        <f ca="1">IFERROR(__xludf.DUMMYFUNCTION("googletranslate(F171,""en"",""ja"")"),"フルタイム使用時の年齢")</f>
        <v>フルタイム使用時の年齢</v>
      </c>
    </row>
    <row r="172" spans="1:9">
      <c r="A172" s="3" t="s">
        <v>185</v>
      </c>
      <c r="B172" s="3" t="s">
        <v>724</v>
      </c>
      <c r="C172" s="3" t="s">
        <v>725</v>
      </c>
      <c r="D172" s="3" t="s">
        <v>725</v>
      </c>
      <c r="E172" s="3" t="s">
        <v>726</v>
      </c>
      <c r="F172" s="3" t="s">
        <v>727</v>
      </c>
      <c r="G172" s="3" t="str">
        <f ca="1">IFERROR(__xludf.DUMMYFUNCTION("googletranslate(D172,""en"",""ja"")"),"初入院年齢")</f>
        <v>初入院年齢</v>
      </c>
      <c r="H172" s="3" t="str">
        <f ca="1">IFERROR(__xludf.DUMMYFUNCTION("googletranslate(E172,""en"",""ja"")"),"最初の入院イベントが発生した年齢。")</f>
        <v>最初の入院イベントが発生した年齢。</v>
      </c>
      <c r="I172" s="3" t="str">
        <f ca="1">IFERROR(__xludf.DUMMYFUNCTION("googletranslate(F172,""en"",""ja"")"),"初入院年齢")</f>
        <v>初入院年齢</v>
      </c>
    </row>
    <row r="173" spans="1:9" ht="30">
      <c r="A173" s="3" t="s">
        <v>503</v>
      </c>
      <c r="B173" s="3" t="s">
        <v>728</v>
      </c>
      <c r="C173" s="3" t="s">
        <v>729</v>
      </c>
      <c r="D173" s="3" t="s">
        <v>729</v>
      </c>
      <c r="E173" s="3" t="s">
        <v>730</v>
      </c>
      <c r="F173" s="3" t="s">
        <v>731</v>
      </c>
      <c r="G173" s="3" t="str">
        <f ca="1">IFERROR(__xludf.DUMMYFUNCTION("googletranslate(D173,""en"",""ja"")"),"喫煙を始めた年齢")</f>
        <v>喫煙を始めた年齢</v>
      </c>
      <c r="H173" s="3" t="str">
        <f ca="1">IFERROR(__xludf.DUMMYFUNCTION("googletranslate(E173,""en"",""ja"")"),"個人が喫煙を始めた年齢。")</f>
        <v>個人が喫煙を始めた年齢。</v>
      </c>
      <c r="I173" s="3" t="str">
        <f ca="1">IFERROR(__xludf.DUMMYFUNCTION("googletranslate(F173,""en"",""ja"")"),"初めてタバコを吸った年齢に関する質問")</f>
        <v>初めてタバコを吸った年齢に関する質問</v>
      </c>
    </row>
    <row r="174" spans="1:9">
      <c r="A174" s="3" t="s">
        <v>185</v>
      </c>
      <c r="B174" s="3" t="s">
        <v>732</v>
      </c>
      <c r="C174" s="3" t="s">
        <v>733</v>
      </c>
      <c r="D174" s="3" t="s">
        <v>733</v>
      </c>
      <c r="E174" s="3" t="s">
        <v>734</v>
      </c>
      <c r="F174" s="3" t="s">
        <v>735</v>
      </c>
      <c r="G174" s="3" t="str">
        <f ca="1">IFERROR(__xludf.DUMMYFUNCTION("googletranslate(D174,""en"",""ja"")"),"加齢による症状が出始めた")</f>
        <v>加齢による症状が出始めた</v>
      </c>
      <c r="H174" s="3" t="str">
        <f ca="1">IFERROR(__xludf.DUMMYFUNCTION("googletranslate(E174,""en"",""ja"")"),"病気特有の症状が最初に現れた年齢。")</f>
        <v>病気特有の症状が最初に現れた年齢。</v>
      </c>
      <c r="I174" s="3" t="str">
        <f ca="1">IFERROR(__xludf.DUMMYFUNCTION("googletranslate(F174,""en"",""ja"")"),"加齢による症状が出始めた")</f>
        <v>加齢による症状が出始めた</v>
      </c>
    </row>
    <row r="175" spans="1:9" ht="30">
      <c r="A175" s="3" t="s">
        <v>185</v>
      </c>
      <c r="B175" s="3" t="s">
        <v>736</v>
      </c>
      <c r="C175" s="3" t="s">
        <v>737</v>
      </c>
      <c r="D175" s="3" t="s">
        <v>737</v>
      </c>
      <c r="E175" s="3" t="s">
        <v>738</v>
      </c>
      <c r="F175" s="3" t="s">
        <v>739</v>
      </c>
      <c r="G175" s="3" t="str">
        <f ca="1">IFERROR(__xludf.DUMMYFUNCTION("googletranslate(D175,""en"",""ja"")"),"初回治療時の年齢")</f>
        <v>初回治療時の年齢</v>
      </c>
      <c r="H175" s="3" t="str">
        <f ca="1">IFERROR(__xludf.DUMMYFUNCTION("googletranslate(E175,""en"",""ja"")"),"症状の最初の治療が行われた年齢。")</f>
        <v>症状の最初の治療が行われた年齢。</v>
      </c>
      <c r="I175" s="3" t="str">
        <f ca="1">IFERROR(__xludf.DUMMYFUNCTION("googletranslate(F175,""en"",""ja"")"),"初回治療時の年齢")</f>
        <v>初回治療時の年齢</v>
      </c>
    </row>
    <row r="176" spans="1:9" ht="30">
      <c r="A176" s="3" t="s">
        <v>6</v>
      </c>
      <c r="B176" s="3" t="s">
        <v>740</v>
      </c>
      <c r="C176" s="3" t="s">
        <v>741</v>
      </c>
      <c r="D176" s="3" t="s">
        <v>741</v>
      </c>
      <c r="E176" s="3" t="s">
        <v>742</v>
      </c>
      <c r="F176" s="3" t="s">
        <v>743</v>
      </c>
      <c r="G176" s="3" t="str">
        <f ca="1">IFERROR(__xludf.DUMMYFUNCTION("googletranslate(D176,""en"",""ja"")"),"アルファヒドロキシ酪酸デヒドロゲナーゼ")</f>
        <v>アルファヒドロキシ酪酸デヒドロゲナーゼ</v>
      </c>
      <c r="H176" s="3" t="str">
        <f ca="1">IFERROR(__xludf.DUMMYFUNCTION("googletranslate(E176,""en"",""ja"")"),"生物学的標本中のα-ヒドロキシ酪酸デヒドロゲナーゼの測定。")</f>
        <v>生物学的標本中のα-ヒドロキシ酪酸デヒドロゲナーゼの測定。</v>
      </c>
      <c r="I176" s="3" t="str">
        <f ca="1">IFERROR(__xludf.DUMMYFUNCTION("googletranslate(F176,""en"",""ja"")"),"アルファヒドロキシ酪酸デヒドロゲナーゼの測定")</f>
        <v>アルファヒドロキシ酪酸デヒドロゲナーゼの測定</v>
      </c>
    </row>
    <row r="177" spans="1:9" ht="30">
      <c r="A177" s="3" t="s">
        <v>6</v>
      </c>
      <c r="B177" s="3" t="s">
        <v>744</v>
      </c>
      <c r="C177" s="3" t="s">
        <v>745</v>
      </c>
      <c r="D177" s="3" t="s">
        <v>745</v>
      </c>
      <c r="E177" s="3" t="s">
        <v>746</v>
      </c>
      <c r="F177" s="3" t="s">
        <v>747</v>
      </c>
      <c r="G177" s="3" t="str">
        <f ca="1">IFERROR(__xludf.DUMMYFUNCTION("googletranslate(D177,""en"",""ja"")"),"α-ヒドロキシトリアゾラム")</f>
        <v>α-ヒドロキシトリアゾラム</v>
      </c>
      <c r="H177" s="3" t="str">
        <f ca="1">IFERROR(__xludf.DUMMYFUNCTION("googletranslate(E177,""en"",""ja"")"),"生物学的標本のα-ヒドロキシトリアゾラムの測定。")</f>
        <v>生物学的標本のα-ヒドロキシトリアゾラムの測定。</v>
      </c>
      <c r="I177" s="3" t="str">
        <f ca="1">IFERROR(__xludf.DUMMYFUNCTION("googletranslate(F177,""en"",""ja"")"),"α-ヒドロキシトリアゾラムの測定")</f>
        <v>α-ヒドロキシトリアゾラムの測定</v>
      </c>
    </row>
    <row r="178" spans="1:9" ht="30">
      <c r="A178" s="3" t="s">
        <v>155</v>
      </c>
      <c r="B178" s="3" t="s">
        <v>748</v>
      </c>
      <c r="C178" s="3" t="s">
        <v>749</v>
      </c>
      <c r="D178" s="3" t="s">
        <v>749</v>
      </c>
      <c r="E178" s="3" t="s">
        <v>750</v>
      </c>
      <c r="F178" s="3" t="s">
        <v>749</v>
      </c>
      <c r="G178" s="3" t="str">
        <f ca="1">IFERROR(__xludf.DUMMYFUNCTION("googletranslate(D178,""en"",""ja"")"),"空気から骨への音伝導の比較")</f>
        <v>空気から骨への音伝導の比較</v>
      </c>
      <c r="H178" s="3" t="str">
        <f ca="1">IFERROR(__xludf.DUMMYFUNCTION("googletranslate(E178,""en"",""ja"")"),"気伝導と骨伝導による音の伝達の相対評価。")</f>
        <v>気伝導と骨伝導による音の伝達の相対評価。</v>
      </c>
      <c r="I178" s="3" t="str">
        <f ca="1">IFERROR(__xludf.DUMMYFUNCTION("googletranslate(F178,""en"",""ja"")"),"空気から骨への音伝導の比較")</f>
        <v>空気から骨への音伝導の比較</v>
      </c>
    </row>
    <row r="179" spans="1:9">
      <c r="A179" s="3" t="s">
        <v>51</v>
      </c>
      <c r="B179" s="3" t="s">
        <v>751</v>
      </c>
      <c r="C179" s="3" t="s">
        <v>752</v>
      </c>
      <c r="D179" s="3" t="s">
        <v>752</v>
      </c>
      <c r="E179" s="3" t="s">
        <v>753</v>
      </c>
      <c r="F179" s="3" t="s">
        <v>752</v>
      </c>
      <c r="G179" s="3" t="str">
        <f ca="1">IFERROR(__xludf.DUMMYFUNCTION("googletranslate(D179,""en"",""ja"")"),"風量")</f>
        <v>風量</v>
      </c>
      <c r="H179" s="3" t="str">
        <f ca="1">IFERROR(__xludf.DUMMYFUNCTION("googletranslate(E179,""en"",""ja"")"),"空気の動きの速さ。")</f>
        <v>空気の動きの速さ。</v>
      </c>
      <c r="I179" s="3" t="str">
        <f ca="1">IFERROR(__xludf.DUMMYFUNCTION("googletranslate(F179,""en"",""ja"")"),"風量")</f>
        <v>風量</v>
      </c>
    </row>
    <row r="180" spans="1:9">
      <c r="A180" s="3" t="s">
        <v>155</v>
      </c>
      <c r="B180" s="3" t="s">
        <v>754</v>
      </c>
      <c r="C180" s="3" t="s">
        <v>755</v>
      </c>
      <c r="D180" s="3" t="s">
        <v>755</v>
      </c>
      <c r="E180" s="3" t="s">
        <v>756</v>
      </c>
      <c r="F180" s="3" t="s">
        <v>755</v>
      </c>
      <c r="G180" s="3" t="str">
        <f ca="1">IFERROR(__xludf.DUMMYFUNCTION("googletranslate(D180,""en"",""ja"")"),"空気圧")</f>
        <v>空気圧</v>
      </c>
      <c r="H180" s="3" t="str">
        <f ca="1">IFERROR(__xludf.DUMMYFUNCTION("googletranslate(E180,""en"",""ja"")"),"空気によって表面に及ぼされる力。")</f>
        <v>空気によって表面に及ぼされる力。</v>
      </c>
      <c r="I180" s="3" t="str">
        <f ca="1">IFERROR(__xludf.DUMMYFUNCTION("googletranslate(F180,""en"",""ja"")"),"空気圧")</f>
        <v>空気圧</v>
      </c>
    </row>
    <row r="181" spans="1:9" ht="30">
      <c r="A181" s="3" t="s">
        <v>490</v>
      </c>
      <c r="B181" s="3" t="s">
        <v>757</v>
      </c>
      <c r="C181" s="3" t="s">
        <v>758</v>
      </c>
      <c r="D181" s="3" t="s">
        <v>758</v>
      </c>
      <c r="E181" s="3" t="s">
        <v>759</v>
      </c>
      <c r="F181" s="3" t="s">
        <v>760</v>
      </c>
      <c r="G181" s="3" t="str">
        <f ca="1">IFERROR(__xludf.DUMMYFUNCTION("googletranslate(D181,""en"",""ja"")"),"エアトラップ")</f>
        <v>エアトラップ</v>
      </c>
      <c r="H181" s="3" t="str">
        <f ca="1">IFERROR(__xludf.DUMMYFUNCTION("googletranslate(E181,""en"",""ja"")"),"呼気の終わりにおける特定の肺内空間内のガス滞留の測定。")</f>
        <v>呼気の終わりにおける特定の肺内空間内のガス滞留の測定。</v>
      </c>
      <c r="I181" s="3" t="str">
        <f ca="1">IFERROR(__xludf.DUMMYFUNCTION("googletranslate(F181,""en"",""ja"")"),"エアトラップ測定")</f>
        <v>エアトラップ測定</v>
      </c>
    </row>
    <row r="182" spans="1:9" ht="45">
      <c r="A182" s="3" t="s">
        <v>6</v>
      </c>
      <c r="B182" s="3" t="s">
        <v>761</v>
      </c>
      <c r="C182" s="3" t="s">
        <v>762</v>
      </c>
      <c r="D182" s="3" t="s">
        <v>763</v>
      </c>
      <c r="E182" s="3" t="s">
        <v>764</v>
      </c>
      <c r="F182" s="3" t="s">
        <v>762</v>
      </c>
      <c r="G182" s="3" t="str">
        <f ca="1">IFERROR(__xludf.DUMMYFUNCTION("googletranslate(D182,""en"",""ja"")"),"急性腎障害リスクスコア; AKI リスクスコア")</f>
        <v>急性腎障害リスクスコア; AKI リスクスコア</v>
      </c>
      <c r="H182" s="3" t="str">
        <f ca="1">IFERROR(__xludf.DUMMYFUNCTION("googletranslate(E182,""en"",""ja"")"),"尿検査パラメーターの評価を通じて急性腎障害のリスクを評価するスコアリング システム。追加の要素を考慮することもあります。")</f>
        <v>尿検査パラメーターの評価を通じて急性腎障害のリスクを評価するスコアリング システム。追加の要素を考慮することもあります。</v>
      </c>
      <c r="I182" s="3" t="str">
        <f ca="1">IFERROR(__xludf.DUMMYFUNCTION("googletranslate(F182,""en"",""ja"")"),"急性腎障害リスクスコア")</f>
        <v>急性腎障害リスクスコア</v>
      </c>
    </row>
    <row r="183" spans="1:9" ht="45">
      <c r="A183" s="3" t="s">
        <v>103</v>
      </c>
      <c r="B183" s="3" t="s">
        <v>765</v>
      </c>
      <c r="C183" s="3" t="s">
        <v>766</v>
      </c>
      <c r="D183" s="3" t="s">
        <v>767</v>
      </c>
      <c r="E183" s="3" t="s">
        <v>768</v>
      </c>
      <c r="F183" s="3" t="s">
        <v>769</v>
      </c>
      <c r="G183" s="3" t="str">
        <f ca="1">IFERROR(__xludf.DUMMYFUNCTION("googletranslate(D183,""en"",""ja"")"),"アブンカッパ+ PC。 Abn Kappa+ 形質細胞;異常なカッパ + 形質細胞")</f>
        <v>アブンカッパ+ PC。 Abn Kappa+ 形質細胞;異常なカッパ + 形質細胞</v>
      </c>
      <c r="H183" s="3" t="str">
        <f ca="1">IFERROR(__xludf.DUMMYFUNCTION("googletranslate(E183,""en"",""ja"")"),"生物学的標本中の異常なカッパ + 形質細胞の測定。")</f>
        <v>生物学的標本中の異常なカッパ + 形質細胞の測定。</v>
      </c>
      <c r="I183" s="3" t="str">
        <f ca="1">IFERROR(__xludf.DUMMYFUNCTION("googletranslate(F183,""en"",""ja"")"),"異常なカッパ陽性形質細胞数")</f>
        <v>異常なカッパ陽性形質細胞数</v>
      </c>
    </row>
    <row r="184" spans="1:9" ht="60">
      <c r="A184" s="3" t="s">
        <v>103</v>
      </c>
      <c r="B184" s="3" t="s">
        <v>770</v>
      </c>
      <c r="C184" s="3" t="s">
        <v>771</v>
      </c>
      <c r="D184" s="3" t="s">
        <v>772</v>
      </c>
      <c r="E184" s="3" t="s">
        <v>773</v>
      </c>
      <c r="F184" s="3" t="s">
        <v>774</v>
      </c>
      <c r="G184" s="3" t="str">
        <f ca="1">IFERROR(__xludf.DUMMYFUNCTION("googletranslate(D184,""en"",""ja"")"),"アブン カッパ + PC/アブン ラムダ + PC;異常なカッパ+形質細胞/異常なラムダ+形質細胞")</f>
        <v>アブン カッパ + PC/アブン ラムダ + PC;異常なカッパ+形質細胞/異常なラムダ+形質細胞</v>
      </c>
      <c r="H184" s="3" t="str">
        <f ca="1">IFERROR(__xludf.DUMMYFUNCTION("googletranslate(E184,""en"",""ja"")"),"生物学的検体中の異常なκ + 形質細胞と異常なラムダ + 形質細胞の相対測定値 (比)。")</f>
        <v>生物学的検体中の異常なκ + 形質細胞と異常なラムダ + 形質細胞の相対測定値 (比)。</v>
      </c>
      <c r="I184" s="3" t="str">
        <f ca="1">IFERROR(__xludf.DUMMYFUNCTION("googletranslate(F184,""en"",""ja"")"),"異常なカッパ陽性形質細胞と異常なラムダ陽性形質細胞の比率の測定")</f>
        <v>異常なカッパ陽性形質細胞と異常なラムダ陽性形質細胞の比率の測定</v>
      </c>
    </row>
    <row r="185" spans="1:9">
      <c r="A185" s="3" t="s">
        <v>6</v>
      </c>
      <c r="B185" s="3" t="s">
        <v>775</v>
      </c>
      <c r="C185" s="3" t="s">
        <v>776</v>
      </c>
      <c r="D185" s="3" t="s">
        <v>776</v>
      </c>
      <c r="E185" s="3" t="s">
        <v>777</v>
      </c>
      <c r="F185" s="3" t="s">
        <v>778</v>
      </c>
      <c r="G185" s="3" t="str">
        <f ca="1">IFERROR(__xludf.DUMMYFUNCTION("googletranslate(D185,""en"",""ja"")"),"アラニン")</f>
        <v>アラニン</v>
      </c>
      <c r="H185" s="3" t="str">
        <f ca="1">IFERROR(__xludf.DUMMYFUNCTION("googletranslate(E185,""en"",""ja"")"),"生物学的標本中のアラニンの測定。")</f>
        <v>生物学的標本中のアラニンの測定。</v>
      </c>
      <c r="I185" s="3" t="str">
        <f ca="1">IFERROR(__xludf.DUMMYFUNCTION("googletranslate(F185,""en"",""ja"")"),"アラニン測定")</f>
        <v>アラニン測定</v>
      </c>
    </row>
    <row r="186" spans="1:9" ht="45">
      <c r="A186" s="3" t="s">
        <v>6</v>
      </c>
      <c r="B186" s="3" t="s">
        <v>779</v>
      </c>
      <c r="C186" s="3" t="s">
        <v>780</v>
      </c>
      <c r="D186" s="3" t="s">
        <v>780</v>
      </c>
      <c r="E186" s="3" t="s">
        <v>781</v>
      </c>
      <c r="F186" s="3" t="s">
        <v>782</v>
      </c>
      <c r="G186" s="3" t="str">
        <f ca="1">IFERROR(__xludf.DUMMYFUNCTION("googletranslate(D186,""en"",""ja"")"),"アポリポタンパク質A1/アポリポタンパク質B")</f>
        <v>アポリポタンパク質A1/アポリポタンパク質B</v>
      </c>
      <c r="H186" s="3" t="str">
        <f ca="1">IFERROR(__xludf.DUMMYFUNCTION("googletranslate(E186,""en"",""ja"")"),"生物学的標本におけるアポリポタンパク質 A1 とアポリポタンパク質 B の相対測定値 (比率またはパーセンテージ)。")</f>
        <v>生物学的標本におけるアポリポタンパク質 A1 とアポリポタンパク質 B の相対測定値 (比率またはパーセンテージ)。</v>
      </c>
      <c r="I186" s="3" t="str">
        <f ca="1">IFERROR(__xludf.DUMMYFUNCTION("googletranslate(F186,""en"",""ja"")"),"アポリポタンパク質A1とアポリポタンパク質Bの比の測定")</f>
        <v>アポリポタンパク質A1とアポリポタンパク質Bの比の測定</v>
      </c>
    </row>
    <row r="187" spans="1:9" ht="30">
      <c r="A187" s="3" t="s">
        <v>6</v>
      </c>
      <c r="B187" s="3" t="s">
        <v>783</v>
      </c>
      <c r="C187" s="3" t="s">
        <v>784</v>
      </c>
      <c r="D187" s="3" t="s">
        <v>784</v>
      </c>
      <c r="E187" s="3" t="s">
        <v>785</v>
      </c>
      <c r="F187" s="3" t="s">
        <v>786</v>
      </c>
      <c r="G187" s="3" t="str">
        <f ca="1">IFERROR(__xludf.DUMMYFUNCTION("googletranslate(D187,""en"",""ja"")"),"アポリポプロテインA/アポリポプロテインB")</f>
        <v>アポリポプロテインA/アポリポプロテインB</v>
      </c>
      <c r="H187" s="3" t="str">
        <f ca="1">IFERROR(__xludf.DUMMYFUNCTION("googletranslate(E187,""en"",""ja"")"),"生物学的標本中のアポリポタンパク質 A とアポリポタンパク質 B の相対測定値 (比)。")</f>
        <v>生物学的標本中のアポリポタンパク質 A とアポリポタンパク質 B の相対測定値 (比)。</v>
      </c>
      <c r="I187" s="3" t="str">
        <f ca="1">IFERROR(__xludf.DUMMYFUNCTION("googletranslate(F187,""en"",""ja"")"),"アポリポタンパク質Aとアポリポタンパク質Bの比の測定")</f>
        <v>アポリポタンパク質Aとアポリポタンパク質Bの比の測定</v>
      </c>
    </row>
    <row r="188" spans="1:9" ht="30">
      <c r="A188" s="3" t="s">
        <v>180</v>
      </c>
      <c r="B188" s="3" t="s">
        <v>787</v>
      </c>
      <c r="C188" s="3" t="s">
        <v>788</v>
      </c>
      <c r="D188" s="3" t="s">
        <v>788</v>
      </c>
      <c r="E188" s="3" t="s">
        <v>789</v>
      </c>
      <c r="F188" s="3" t="s">
        <v>790</v>
      </c>
      <c r="G188" s="3" t="str">
        <f ca="1">IFERROR(__xludf.DUMMYFUNCTION("googletranslate(D188,""en"",""ja"")"),"同種抗体")</f>
        <v>同種抗体</v>
      </c>
      <c r="H188" s="3" t="str">
        <f ca="1">IFERROR(__xludf.DUMMYFUNCTION("googletranslate(E188,""en"",""ja"")"),"生物学的検体中の結合同種抗体の測定。")</f>
        <v>生物学的検体中の結合同種抗体の測定。</v>
      </c>
      <c r="I188" s="3" t="str">
        <f ca="1">IFERROR(__xludf.DUMMYFUNCTION("googletranslate(F188,""en"",""ja"")"),"同種抗体の測定")</f>
        <v>同種抗体の測定</v>
      </c>
    </row>
    <row r="189" spans="1:9" ht="30">
      <c r="A189" s="3" t="s">
        <v>6</v>
      </c>
      <c r="B189" s="3" t="s">
        <v>791</v>
      </c>
      <c r="C189" s="3" t="s">
        <v>792</v>
      </c>
      <c r="D189" s="3" t="s">
        <v>793</v>
      </c>
      <c r="E189" s="3" t="s">
        <v>794</v>
      </c>
      <c r="F189" s="3" t="s">
        <v>795</v>
      </c>
      <c r="G189" s="3" t="str">
        <f ca="1">IFERROR(__xludf.DUMMYFUNCTION("googletranslate(D189,""en"",""ja"")"),"アルブミン;微量アルブミン")</f>
        <v>アルブミン;微量アルブミン</v>
      </c>
      <c r="H189" s="3" t="str">
        <f ca="1">IFERROR(__xludf.DUMMYFUNCTION("googletranslate(E189,""en"",""ja"")"),"生物学的標本中のアルブミンタンパク質の測定。")</f>
        <v>生物学的標本中のアルブミンタンパク質の測定。</v>
      </c>
      <c r="I189" s="3" t="str">
        <f ca="1">IFERROR(__xludf.DUMMYFUNCTION("googletranslate(F189,""en"",""ja"")"),"アルブミン測定")</f>
        <v>アルブミン測定</v>
      </c>
    </row>
    <row r="190" spans="1:9" ht="30">
      <c r="A190" s="3" t="s">
        <v>6</v>
      </c>
      <c r="B190" s="3" t="s">
        <v>796</v>
      </c>
      <c r="C190" s="3" t="s">
        <v>797</v>
      </c>
      <c r="D190" s="3" t="s">
        <v>797</v>
      </c>
      <c r="E190" s="3" t="s">
        <v>798</v>
      </c>
      <c r="F190" s="3" t="s">
        <v>797</v>
      </c>
      <c r="G190" s="3" t="str">
        <f ca="1">IFERROR(__xludf.DUMMYFUNCTION("googletranslate(D190,""en"",""ja"")"),"アルブミンクリアランス")</f>
        <v>アルブミンクリアランス</v>
      </c>
      <c r="H190" s="3" t="str">
        <f ca="1">IFERROR(__xludf.DUMMYFUNCTION("googletranslate(E190,""en"",""ja"")"),"生物学的標本におけるアルブミンクリアランスの測定。")</f>
        <v>生物学的標本におけるアルブミンクリアランスの測定。</v>
      </c>
      <c r="I190" s="3" t="str">
        <f ca="1">IFERROR(__xludf.DUMMYFUNCTION("googletranslate(F190,""en"",""ja"")"),"アルブミンクリアランス")</f>
        <v>アルブミンクリアランス</v>
      </c>
    </row>
    <row r="191" spans="1:9" ht="30">
      <c r="A191" s="3" t="s">
        <v>6</v>
      </c>
      <c r="B191" s="3" t="s">
        <v>799</v>
      </c>
      <c r="C191" s="3" t="s">
        <v>800</v>
      </c>
      <c r="D191" s="3" t="s">
        <v>801</v>
      </c>
      <c r="E191" s="3" t="s">
        <v>802</v>
      </c>
      <c r="F191" s="3" t="s">
        <v>803</v>
      </c>
      <c r="G191" s="3" t="str">
        <f ca="1">IFERROR(__xludf.DUMMYFUNCTION("googletranslate(D191,""en"",""ja"")"),"アルブミン/クレアチニン;微量アルブミン/クレアチニン比")</f>
        <v>アルブミン/クレアチニン;微量アルブミン/クレアチニン比</v>
      </c>
      <c r="H191" s="3" t="str">
        <f ca="1">IFERROR(__xludf.DUMMYFUNCTION("googletranslate(E191,""en"",""ja"")"),"生物学的標本におけるアルブミンとクレアチニンの相対測定値 (比)。")</f>
        <v>生物学的標本におけるアルブミンとクレアチニンの相対測定値 (比)。</v>
      </c>
      <c r="I191" s="3" t="str">
        <f ca="1">IFERROR(__xludf.DUMMYFUNCTION("googletranslate(F191,""en"",""ja"")"),"アルブミンとクレアチニンのタンパク質比の測定")</f>
        <v>アルブミンとクレアチニンのタンパク質比の測定</v>
      </c>
    </row>
    <row r="192" spans="1:9" ht="45">
      <c r="A192" s="3" t="s">
        <v>6</v>
      </c>
      <c r="B192" s="3" t="s">
        <v>804</v>
      </c>
      <c r="C192" s="3" t="s">
        <v>805</v>
      </c>
      <c r="D192" s="3" t="s">
        <v>805</v>
      </c>
      <c r="E192" s="3" t="s">
        <v>806</v>
      </c>
      <c r="F192" s="3" t="s">
        <v>805</v>
      </c>
      <c r="G192" s="3" t="str">
        <f ca="1">IFERROR(__xludf.DUMMYFUNCTION("googletranslate(D192,""en"",""ja"")"),"アルブミン排泄率")</f>
        <v>アルブミン排泄率</v>
      </c>
      <c r="H192" s="3" t="str">
        <f ca="1">IFERROR(__xludf.DUMMYFUNCTION("googletranslate(E192,""en"",""ja"")"),"定義された期間（たとえば、1 時間）にわたって生物学的標本中に排泄されたアルブミンの量の測定。")</f>
        <v>定義された期間（たとえば、1 時間）にわたって生物学的標本中に排泄されたアルブミンの量の測定。</v>
      </c>
      <c r="I192" s="3" t="str">
        <f ca="1">IFERROR(__xludf.DUMMYFUNCTION("googletranslate(F192,""en"",""ja"")"),"アルブミン排泄率")</f>
        <v>アルブミン排泄率</v>
      </c>
    </row>
    <row r="193" spans="1:9" ht="45">
      <c r="A193" s="3" t="s">
        <v>6</v>
      </c>
      <c r="B193" s="3" t="s">
        <v>807</v>
      </c>
      <c r="C193" s="3" t="s">
        <v>808</v>
      </c>
      <c r="D193" s="3" t="s">
        <v>808</v>
      </c>
      <c r="E193" s="3" t="s">
        <v>809</v>
      </c>
      <c r="F193" s="3" t="s">
        <v>810</v>
      </c>
      <c r="G193" s="3" t="str">
        <f ca="1">IFERROR(__xludf.DUMMYFUNCTION("googletranslate(D193,""en"",""ja"")"),"糖化アルブミン/アルブミン")</f>
        <v>糖化アルブミン/アルブミン</v>
      </c>
      <c r="H193" s="3" t="str">
        <f ca="1">IFERROR(__xludf.DUMMYFUNCTION("googletranslate(E193,""en"",""ja"")"),"生物学的検体中の総アルブミンに対する糖化アルブミンの相対測定値 (比率またはパーセンテージ)。")</f>
        <v>生物学的検体中の総アルブミンに対する糖化アルブミンの相対測定値 (比率またはパーセンテージ)。</v>
      </c>
      <c r="I193" s="3" t="str">
        <f ca="1">IFERROR(__xludf.DUMMYFUNCTION("googletranslate(F193,""en"",""ja"")"),"糖化アルブミンとアルブミンの比率の測定")</f>
        <v>糖化アルブミンとアルブミンの比率の測定</v>
      </c>
    </row>
    <row r="194" spans="1:9" ht="30">
      <c r="A194" s="3" t="s">
        <v>6</v>
      </c>
      <c r="B194" s="3" t="s">
        <v>811</v>
      </c>
      <c r="C194" s="3" t="s">
        <v>812</v>
      </c>
      <c r="D194" s="3" t="s">
        <v>812</v>
      </c>
      <c r="E194" s="3" t="s">
        <v>813</v>
      </c>
      <c r="F194" s="3" t="s">
        <v>814</v>
      </c>
      <c r="G194" s="3" t="str">
        <f ca="1">IFERROR(__xludf.DUMMYFUNCTION("googletranslate(D194,""en"",""ja"")"),"アルブミン/グロブリン")</f>
        <v>アルブミン/グロブリン</v>
      </c>
      <c r="H194" s="3" t="str">
        <f ca="1">IFERROR(__xludf.DUMMYFUNCTION("googletranslate(E194,""en"",""ja"")"),"生物学的標本中のアルブミンとグロブリンの比率。")</f>
        <v>生物学的標本中のアルブミンとグロブリンの比率。</v>
      </c>
      <c r="I194" s="3" t="str">
        <f ca="1">IFERROR(__xludf.DUMMYFUNCTION("googletranslate(F194,""en"",""ja"")"),"アルブミン対グロブリン比の測定")</f>
        <v>アルブミン対グロブリン比の測定</v>
      </c>
    </row>
    <row r="195" spans="1:9" ht="30">
      <c r="A195" s="3" t="s">
        <v>6</v>
      </c>
      <c r="B195" s="3" t="s">
        <v>815</v>
      </c>
      <c r="C195" s="3" t="s">
        <v>816</v>
      </c>
      <c r="D195" s="3" t="s">
        <v>816</v>
      </c>
      <c r="E195" s="3" t="s">
        <v>817</v>
      </c>
      <c r="F195" s="3" t="s">
        <v>818</v>
      </c>
      <c r="G195" s="3" t="str">
        <f ca="1">IFERROR(__xludf.DUMMYFUNCTION("googletranslate(D195,""en"",""ja"")"),"糖化アルブミン")</f>
        <v>糖化アルブミン</v>
      </c>
      <c r="H195" s="3" t="str">
        <f ca="1">IFERROR(__xludf.DUMMYFUNCTION("googletranslate(E195,""en"",""ja"")"),"生物学的標本中に存在する糖化アルブミンの測定。")</f>
        <v>生物学的標本中に存在する糖化アルブミンの測定。</v>
      </c>
      <c r="I195" s="3" t="str">
        <f ca="1">IFERROR(__xludf.DUMMYFUNCTION("googletranslate(F195,""en"",""ja"")"),"糖化アルブミン測定")</f>
        <v>糖化アルブミン測定</v>
      </c>
    </row>
    <row r="196" spans="1:9" ht="45">
      <c r="A196" s="3" t="s">
        <v>6</v>
      </c>
      <c r="B196" s="3" t="s">
        <v>819</v>
      </c>
      <c r="C196" s="3" t="s">
        <v>820</v>
      </c>
      <c r="D196" s="3" t="s">
        <v>820</v>
      </c>
      <c r="E196" s="3" t="s">
        <v>821</v>
      </c>
      <c r="F196" s="3" t="s">
        <v>820</v>
      </c>
      <c r="G196" s="3" t="str">
        <f ca="1">IFERROR(__xludf.DUMMYFUNCTION("googletranslate(D196,""en"",""ja"")"),"アルブミン指数")</f>
        <v>アルブミン指数</v>
      </c>
      <c r="H196" s="3" t="str">
        <f ca="1">IFERROR(__xludf.DUMMYFUNCTION("googletranslate(E196,""en"",""ja"")"),"生物学的検体の血清または血漿中のアルブミンに対する脳脊髄液中のアルブミンの相対測定値（比）。")</f>
        <v>生物学的検体の血清または血漿中のアルブミンに対する脳脊髄液中のアルブミンの相対測定値（比）。</v>
      </c>
      <c r="I196" s="3" t="str">
        <f ca="1">IFERROR(__xludf.DUMMYFUNCTION("googletranslate(F196,""en"",""ja"")"),"アルブミン指数")</f>
        <v>アルブミン指数</v>
      </c>
    </row>
    <row r="197" spans="1:9" ht="30">
      <c r="A197" s="3" t="s">
        <v>6</v>
      </c>
      <c r="B197" s="3" t="s">
        <v>822</v>
      </c>
      <c r="C197" s="3" t="s">
        <v>823</v>
      </c>
      <c r="D197" s="3" t="s">
        <v>823</v>
      </c>
      <c r="E197" s="3" t="s">
        <v>824</v>
      </c>
      <c r="F197" s="3" t="s">
        <v>825</v>
      </c>
      <c r="G197" s="3" t="str">
        <f ca="1">IFERROR(__xludf.DUMMYFUNCTION("googletranslate(D197,""en"",""ja"")"),"アルブミン/総タンパク質")</f>
        <v>アルブミン/総タンパク質</v>
      </c>
      <c r="H197" s="3" t="str">
        <f ca="1">IFERROR(__xludf.DUMMYFUNCTION("googletranslate(E197,""en"",""ja"")"),"生物学的標本の総タンパク質に対するアルブミンの相対測定値 (比率またはパーセンテージ)。")</f>
        <v>生物学的標本の総タンパク質に対するアルブミンの相対測定値 (比率またはパーセンテージ)。</v>
      </c>
      <c r="I197" s="3" t="str">
        <f ca="1">IFERROR(__xludf.DUMMYFUNCTION("googletranslate(F197,""en"",""ja"")"),"アルブミン対総タンパク質比の測定")</f>
        <v>アルブミン対総タンパク質比の測定</v>
      </c>
    </row>
    <row r="198" spans="1:9" ht="30">
      <c r="A198" s="3" t="s">
        <v>185</v>
      </c>
      <c r="B198" s="3" t="s">
        <v>826</v>
      </c>
      <c r="C198" s="3" t="s">
        <v>827</v>
      </c>
      <c r="D198" s="3" t="s">
        <v>827</v>
      </c>
      <c r="E198" s="3" t="s">
        <v>828</v>
      </c>
      <c r="F198" s="3" t="s">
        <v>829</v>
      </c>
      <c r="G198" s="3" t="str">
        <f ca="1">IFERROR(__xludf.DUMMYFUNCTION("googletranslate(D198,""en"",""ja"")"),"アルコール飲料の数")</f>
        <v>アルコール飲料の数</v>
      </c>
      <c r="H198" s="3" t="str">
        <f ca="1">IFERROR(__xludf.DUMMYFUNCTION("googletranslate(E198,""en"",""ja"")"),"アルコール飲料の合計数。")</f>
        <v>アルコール飲料の合計数。</v>
      </c>
      <c r="I198" s="3" t="str">
        <f ca="1">IFERROR(__xludf.DUMMYFUNCTION("googletranslate(F198,""en"",""ja"")"),"飲酒量測定")</f>
        <v>飲酒量測定</v>
      </c>
    </row>
    <row r="199" spans="1:9" ht="30">
      <c r="A199" s="3" t="s">
        <v>6</v>
      </c>
      <c r="B199" s="3" t="s">
        <v>830</v>
      </c>
      <c r="C199" s="3" t="s">
        <v>831</v>
      </c>
      <c r="D199" s="3" t="s">
        <v>831</v>
      </c>
      <c r="E199" s="3" t="s">
        <v>832</v>
      </c>
      <c r="F199" s="3" t="s">
        <v>833</v>
      </c>
      <c r="G199" s="3" t="str">
        <f ca="1">IFERROR(__xludf.DUMMYFUNCTION("googletranslate(D199,""en"",""ja"")"),"アルドリンエポキシダーゼ")</f>
        <v>アルドリンエポキシダーゼ</v>
      </c>
      <c r="H199" s="3" t="str">
        <f ca="1">IFERROR(__xludf.DUMMYFUNCTION("googletranslate(E199,""en"",""ja"")"),"生物学的標本中のアルドリン エポキシダーゼの測定。")</f>
        <v>生物学的標本中のアルドリン エポキシダーゼの測定。</v>
      </c>
      <c r="I199" s="3" t="str">
        <f ca="1">IFERROR(__xludf.DUMMYFUNCTION("googletranslate(F199,""en"",""ja"")"),"アルドリンエポキシダーゼの測定")</f>
        <v>アルドリンエポキシダーゼの測定</v>
      </c>
    </row>
    <row r="200" spans="1:9" ht="30">
      <c r="A200" s="3" t="s">
        <v>6</v>
      </c>
      <c r="B200" s="3" t="s">
        <v>834</v>
      </c>
      <c r="C200" s="3" t="s">
        <v>835</v>
      </c>
      <c r="D200" s="3" t="s">
        <v>835</v>
      </c>
      <c r="E200" s="3" t="s">
        <v>836</v>
      </c>
      <c r="F200" s="3" t="s">
        <v>837</v>
      </c>
      <c r="G200" s="3" t="str">
        <f ca="1">IFERROR(__xludf.DUMMYFUNCTION("googletranslate(D200,""en"",""ja"")"),"アルドラーゼ")</f>
        <v>アルドラーゼ</v>
      </c>
      <c r="H200" s="3" t="str">
        <f ca="1">IFERROR(__xludf.DUMMYFUNCTION("googletranslate(E200,""en"",""ja"")"),"生物学的標本中のアルドラーゼ酵素の測定。")</f>
        <v>生物学的標本中のアルドラーゼ酵素の測定。</v>
      </c>
      <c r="I200" s="3" t="str">
        <f ca="1">IFERROR(__xludf.DUMMYFUNCTION("googletranslate(F200,""en"",""ja"")"),"アルドラーゼ測定")</f>
        <v>アルドラーゼ測定</v>
      </c>
    </row>
    <row r="201" spans="1:9" ht="45">
      <c r="A201" s="3" t="s">
        <v>6</v>
      </c>
      <c r="B201" s="3" t="s">
        <v>838</v>
      </c>
      <c r="C201" s="3" t="s">
        <v>839</v>
      </c>
      <c r="D201" s="3" t="s">
        <v>839</v>
      </c>
      <c r="E201" s="3" t="s">
        <v>840</v>
      </c>
      <c r="F201" s="3" t="s">
        <v>839</v>
      </c>
      <c r="G201" s="3" t="str">
        <f ca="1">IFERROR(__xludf.DUMMYFUNCTION("googletranslate(D201,""en"",""ja"")"),"アルドステロン排泄率")</f>
        <v>アルドステロン排泄率</v>
      </c>
      <c r="H201" s="3" t="str">
        <f ca="1">IFERROR(__xludf.DUMMYFUNCTION("googletranslate(E201,""en"",""ja"")"),"規定の時間 (例: 1 時間) にわたって生物学的標本中に排泄されるアルドステロンの量の測定。")</f>
        <v>規定の時間 (例: 1 時間) にわたって生物学的標本中に排泄されるアルドステロンの量の測定。</v>
      </c>
      <c r="I201" s="3" t="str">
        <f ca="1">IFERROR(__xludf.DUMMYFUNCTION("googletranslate(F201,""en"",""ja"")"),"アルドステロン排泄率")</f>
        <v>アルドステロン排泄率</v>
      </c>
    </row>
    <row r="202" spans="1:9" ht="30">
      <c r="A202" s="3" t="s">
        <v>6</v>
      </c>
      <c r="B202" s="3" t="s">
        <v>841</v>
      </c>
      <c r="C202" s="3" t="s">
        <v>842</v>
      </c>
      <c r="D202" s="3" t="s">
        <v>842</v>
      </c>
      <c r="E202" s="3" t="s">
        <v>843</v>
      </c>
      <c r="F202" s="3" t="s">
        <v>844</v>
      </c>
      <c r="G202" s="3" t="str">
        <f ca="1">IFERROR(__xludf.DUMMYFUNCTION("googletranslate(D202,""en"",""ja"")"),"アルドステロン")</f>
        <v>アルドステロン</v>
      </c>
      <c r="H202" s="3" t="str">
        <f ca="1">IFERROR(__xludf.DUMMYFUNCTION("googletranslate(E202,""en"",""ja"")"),"生物学的標本中のアルドステロン ホルモンの測定。")</f>
        <v>生物学的標本中のアルドステロン ホルモンの測定。</v>
      </c>
      <c r="I202" s="3" t="str">
        <f ca="1">IFERROR(__xludf.DUMMYFUNCTION("googletranslate(F202,""en"",""ja"")"),"アルドステロン測定")</f>
        <v>アルドステロン測定</v>
      </c>
    </row>
    <row r="203" spans="1:9">
      <c r="A203" s="3" t="s">
        <v>6</v>
      </c>
      <c r="B203" s="3" t="s">
        <v>845</v>
      </c>
      <c r="C203" s="3" t="s">
        <v>846</v>
      </c>
      <c r="D203" s="3" t="s">
        <v>846</v>
      </c>
      <c r="E203" s="3" t="s">
        <v>847</v>
      </c>
      <c r="F203" s="3" t="s">
        <v>848</v>
      </c>
      <c r="G203" s="3" t="str">
        <f ca="1">IFERROR(__xludf.DUMMYFUNCTION("googletranslate(D203,""en"",""ja"")"),"アルフェンタニル")</f>
        <v>アルフェンタニル</v>
      </c>
      <c r="H203" s="3" t="str">
        <f ca="1">IFERROR(__xludf.DUMMYFUNCTION("googletranslate(E203,""en"",""ja"")"),"生物学的標本中のアルフェンタニルの測定。")</f>
        <v>生物学的標本中のアルフェンタニルの測定。</v>
      </c>
      <c r="I203" s="3" t="str">
        <f ca="1">IFERROR(__xludf.DUMMYFUNCTION("googletranslate(F203,""en"",""ja"")"),"アルフェンタニルの測定")</f>
        <v>アルフェンタニルの測定</v>
      </c>
    </row>
    <row r="204" spans="1:9" ht="30">
      <c r="A204" s="3" t="s">
        <v>180</v>
      </c>
      <c r="B204" s="3" t="s">
        <v>849</v>
      </c>
      <c r="C204" s="3" t="s">
        <v>850</v>
      </c>
      <c r="D204" s="3" t="s">
        <v>850</v>
      </c>
      <c r="E204" s="3" t="s">
        <v>851</v>
      </c>
      <c r="F204" s="3" t="s">
        <v>852</v>
      </c>
      <c r="G204" s="3" t="str">
        <f ca="1">IFERROR(__xludf.DUMMYFUNCTION("googletranslate(D204,""en"",""ja"")"),"IgG アロ抗体")</f>
        <v>IgG アロ抗体</v>
      </c>
      <c r="H204" s="3" t="str">
        <f ca="1">IFERROR(__xludf.DUMMYFUNCTION("googletranslate(E204,""en"",""ja"")"),"生物学的検体中の結合 IgG アロ抗体の測定。")</f>
        <v>生物学的検体中の結合 IgG アロ抗体の測定。</v>
      </c>
      <c r="I204" s="3" t="str">
        <f ca="1">IFERROR(__xludf.DUMMYFUNCTION("googletranslate(F204,""en"",""ja"")"),"IgG同種抗体測定")</f>
        <v>IgG同種抗体測定</v>
      </c>
    </row>
    <row r="205" spans="1:9">
      <c r="A205" s="3" t="s">
        <v>6</v>
      </c>
      <c r="B205" s="3" t="s">
        <v>853</v>
      </c>
      <c r="C205" s="3" t="s">
        <v>854</v>
      </c>
      <c r="D205" s="3" t="s">
        <v>854</v>
      </c>
      <c r="E205" s="3" t="s">
        <v>855</v>
      </c>
      <c r="F205" s="3" t="s">
        <v>856</v>
      </c>
      <c r="G205" s="3" t="str">
        <f ca="1">IFERROR(__xludf.DUMMYFUNCTION("googletranslate(D205,""en"",""ja"")"),"アロイソロイシン")</f>
        <v>アロイソロイシン</v>
      </c>
      <c r="H205" s="3" t="str">
        <f ca="1">IFERROR(__xludf.DUMMYFUNCTION("googletranslate(E205,""en"",""ja"")"),"生物学的標本中のアロイロイシンの測定。")</f>
        <v>生物学的標本中のアロイロイシンの測定。</v>
      </c>
      <c r="I205" s="3" t="str">
        <f ca="1">IFERROR(__xludf.DUMMYFUNCTION("googletranslate(F205,""en"",""ja"")"),"アロイロイシンの測定")</f>
        <v>アロイロイシンの測定</v>
      </c>
    </row>
    <row r="206" spans="1:9" ht="45">
      <c r="A206" s="3" t="s">
        <v>6</v>
      </c>
      <c r="B206" s="3" t="s">
        <v>857</v>
      </c>
      <c r="C206" s="3" t="s">
        <v>858</v>
      </c>
      <c r="D206" s="3" t="s">
        <v>859</v>
      </c>
      <c r="E206" s="3" t="s">
        <v>860</v>
      </c>
      <c r="F206" s="3" t="s">
        <v>861</v>
      </c>
      <c r="G206" s="3" t="str">
        <f ca="1">IFERROR(__xludf.DUMMYFUNCTION("googletranslate(D206,""en"",""ja"")"),"5-リポキシゲナーゼ; 5-LO; 5-LOX;アロックス5;アラキドン酸 5-リポキシゲナーゼ")</f>
        <v>5-リポキシゲナーゼ; 5-LO; 5-LOX;アロックス5;アラキドン酸 5-リポキシゲナーゼ</v>
      </c>
      <c r="H206" s="3" t="str">
        <f ca="1">IFERROR(__xludf.DUMMYFUNCTION("googletranslate(E206,""en"",""ja"")"),"生物学的標本中のアラキドン酸 5-リポキシゲナーゼの測定。")</f>
        <v>生物学的標本中のアラキドン酸 5-リポキシゲナーゼの測定。</v>
      </c>
      <c r="I206" s="3" t="str">
        <f ca="1">IFERROR(__xludf.DUMMYFUNCTION("googletranslate(F206,""en"",""ja"")"),"アラキドン酸 5-リポキシゲナーゼの測定")</f>
        <v>アラキドン酸 5-リポキシゲナーゼの測定</v>
      </c>
    </row>
    <row r="207" spans="1:9" ht="30">
      <c r="A207" s="3" t="s">
        <v>6</v>
      </c>
      <c r="B207" s="3" t="s">
        <v>862</v>
      </c>
      <c r="C207" s="3" t="s">
        <v>863</v>
      </c>
      <c r="D207" s="3" t="s">
        <v>863</v>
      </c>
      <c r="E207" s="3" t="s">
        <v>864</v>
      </c>
      <c r="F207" s="3" t="s">
        <v>865</v>
      </c>
      <c r="G207" s="3" t="str">
        <f ca="1">IFERROR(__xludf.DUMMYFUNCTION("googletranslate(D207,""en"",""ja"")"),"アルカリホスファターゼ")</f>
        <v>アルカリホスファターゼ</v>
      </c>
      <c r="H207" s="3" t="str">
        <f ca="1">IFERROR(__xludf.DUMMYFUNCTION("googletranslate(E207,""en"",""ja"")"),"生体試料中のアルカリホスファターゼの測定。")</f>
        <v>生体試料中のアルカリホスファターゼの測定。</v>
      </c>
      <c r="I207" s="3" t="str">
        <f ca="1">IFERROR(__xludf.DUMMYFUNCTION("googletranslate(F207,""en"",""ja"")"),"アルカリホスファターゼの測定")</f>
        <v>アルカリホスファターゼの測定</v>
      </c>
    </row>
    <row r="208" spans="1:9" ht="60">
      <c r="A208" s="3" t="s">
        <v>6</v>
      </c>
      <c r="B208" s="3" t="s">
        <v>866</v>
      </c>
      <c r="C208" s="3" t="s">
        <v>867</v>
      </c>
      <c r="D208" s="3" t="s">
        <v>868</v>
      </c>
      <c r="E208" s="3" t="s">
        <v>869</v>
      </c>
      <c r="F208" s="3" t="s">
        <v>870</v>
      </c>
      <c r="G208" s="3" t="str">
        <f ca="1">IFERROR(__xludf.DUMMYFUNCTION("googletranslate(D208,""en"",""ja"")"),"Alk フォス、骨/総 Alk フォス;アルカリホスファターゼ、骨/総アルカリホスファターゼ")</f>
        <v>Alk フォス、骨/総 Alk フォス;アルカリホスファターゼ、骨/総アルカリホスファターゼ</v>
      </c>
      <c r="H208" s="3" t="str">
        <f ca="1">IFERROR(__xludf.DUMMYFUNCTION("googletranslate(E208,""en"",""ja"")"),"生物学的標本中の総アルカリホスファターゼに対する骨特異的アルカリホスファターゼアイソフォームの相対測定値（比率またはパーセンテージ）。")</f>
        <v>生物学的標本中の総アルカリホスファターゼに対する骨特異的アルカリホスファターゼアイソフォームの相対測定値（比率またはパーセンテージ）。</v>
      </c>
      <c r="I208" s="3" t="str">
        <f ca="1">IFERROR(__xludf.DUMMYFUNCTION("googletranslate(F208,""en"",""ja"")"),"骨アルカリホスファターゼと総アルカリホスファターゼの比の測定")</f>
        <v>骨アルカリホスファターゼと総アルカリホスファターゼの比の測定</v>
      </c>
    </row>
    <row r="209" spans="1:9" ht="30">
      <c r="A209" s="3" t="s">
        <v>6</v>
      </c>
      <c r="B209" s="3" t="s">
        <v>871</v>
      </c>
      <c r="C209" s="3" t="s">
        <v>872</v>
      </c>
      <c r="D209" s="3" t="s">
        <v>872</v>
      </c>
      <c r="E209" s="3" t="s">
        <v>873</v>
      </c>
      <c r="F209" s="3" t="s">
        <v>874</v>
      </c>
      <c r="G209" s="3" t="str">
        <f ca="1">IFERROR(__xludf.DUMMYFUNCTION("googletranslate(D209,""en"",""ja"")"),"骨特異的アルカリホスファターゼ")</f>
        <v>骨特異的アルカリホスファターゼ</v>
      </c>
      <c r="H209" s="3" t="str">
        <f ca="1">IFERROR(__xludf.DUMMYFUNCTION("googletranslate(E209,""en"",""ja"")"),"生物学的標本中の骨特異的アルカリホスファターゼアイソフォームの測定。")</f>
        <v>生物学的標本中の骨特異的アルカリホスファターゼアイソフォームの測定。</v>
      </c>
      <c r="I209" s="3" t="str">
        <f ca="1">IFERROR(__xludf.DUMMYFUNCTION("googletranslate(F209,""en"",""ja"")"),"骨特異的アルカリホスファターゼの測定")</f>
        <v>骨特異的アルカリホスファターゼの測定</v>
      </c>
    </row>
    <row r="210" spans="1:9" ht="45">
      <c r="A210" s="3" t="s">
        <v>103</v>
      </c>
      <c r="B210" s="3" t="s">
        <v>875</v>
      </c>
      <c r="C210" s="3" t="s">
        <v>876</v>
      </c>
      <c r="D210" s="3" t="s">
        <v>877</v>
      </c>
      <c r="E210" s="3" t="s">
        <v>878</v>
      </c>
      <c r="F210" s="3" t="s">
        <v>879</v>
      </c>
      <c r="G210" s="3" t="str">
        <f ca="1">IFERROR(__xludf.DUMMYFUNCTION("googletranslate(D210,""en"",""ja"")"),"アブンラムダ+ PC; Abn Lambda+ 形質細胞;異常なラムダ + 形質細胞")</f>
        <v>アブンラムダ+ PC; Abn Lambda+ 形質細胞;異常なラムダ + 形質細胞</v>
      </c>
      <c r="H210" s="3" t="str">
        <f ca="1">IFERROR(__xludf.DUMMYFUNCTION("googletranslate(E210,""en"",""ja"")"),"生物学的標本中の異常なラムダ + 形質細胞の測定。")</f>
        <v>生物学的標本中の異常なラムダ + 形質細胞の測定。</v>
      </c>
      <c r="I210" s="3" t="str">
        <f ca="1">IFERROR(__xludf.DUMMYFUNCTION("googletranslate(F210,""en"",""ja"")"),"異常なラムダ陽性形質細胞数")</f>
        <v>異常なラムダ陽性形質細胞数</v>
      </c>
    </row>
    <row r="211" spans="1:9" ht="45">
      <c r="A211" s="3" t="s">
        <v>6</v>
      </c>
      <c r="B211" s="3" t="s">
        <v>880</v>
      </c>
      <c r="C211" s="3" t="s">
        <v>881</v>
      </c>
      <c r="D211" s="3" t="s">
        <v>881</v>
      </c>
      <c r="E211" s="3" t="s">
        <v>882</v>
      </c>
      <c r="F211" s="3" t="s">
        <v>883</v>
      </c>
      <c r="G211" s="3" t="str">
        <f ca="1">IFERROR(__xludf.DUMMYFUNCTION("googletranslate(D211,""en"",""ja"")"),"アルカリホスファターゼ/クレアチニン")</f>
        <v>アルカリホスファターゼ/クレアチニン</v>
      </c>
      <c r="H211" s="3" t="str">
        <f ca="1">IFERROR(__xludf.DUMMYFUNCTION("googletranslate(E211,""en"",""ja"")"),"生物学的標本中のクレアチニンに対するアルカリホスファターゼの相対測定値 (比率またはパーセンテージ)。")</f>
        <v>生物学的標本中のクレアチニンに対するアルカリホスファターゼの相対測定値 (比率またはパーセンテージ)。</v>
      </c>
      <c r="I211" s="3" t="str">
        <f ca="1">IFERROR(__xludf.DUMMYFUNCTION("googletranslate(F211,""en"",""ja"")"),"アルカリホスファターゼとクレアチニンの比の測定")</f>
        <v>アルカリホスファターゼとクレアチニンの比の測定</v>
      </c>
    </row>
    <row r="212" spans="1:9" ht="45">
      <c r="A212" s="3" t="s">
        <v>6</v>
      </c>
      <c r="B212" s="3" t="s">
        <v>884</v>
      </c>
      <c r="C212" s="3" t="s">
        <v>885</v>
      </c>
      <c r="D212" s="3" t="s">
        <v>885</v>
      </c>
      <c r="E212" s="3" t="s">
        <v>886</v>
      </c>
      <c r="F212" s="3" t="s">
        <v>885</v>
      </c>
      <c r="G212" s="3" t="str">
        <f ca="1">IFERROR(__xludf.DUMMYFUNCTION("googletranslate(D212,""en"",""ja"")"),"アルカリホスファターゼの排泄率")</f>
        <v>アルカリホスファターゼの排泄率</v>
      </c>
      <c r="H212" s="3" t="str">
        <f ca="1">IFERROR(__xludf.DUMMYFUNCTION("googletranslate(E212,""en"",""ja"")"),"規定の時間 (例: 1 時間) にわたって生物学的検体中に排泄されるアルカリホスファターゼの量の測定。")</f>
        <v>規定の時間 (例: 1 時間) にわたって生物学的検体中に排泄されるアルカリホスファターゼの量の測定。</v>
      </c>
      <c r="I212" s="3" t="str">
        <f ca="1">IFERROR(__xludf.DUMMYFUNCTION("googletranslate(F212,""en"",""ja"")"),"アルカリホスファターゼの排泄率")</f>
        <v>アルカリホスファターゼの排泄率</v>
      </c>
    </row>
    <row r="213" spans="1:9" ht="60">
      <c r="A213" s="3" t="s">
        <v>6</v>
      </c>
      <c r="B213" s="3" t="s">
        <v>887</v>
      </c>
      <c r="C213" s="3" t="s">
        <v>888</v>
      </c>
      <c r="D213" s="3" t="s">
        <v>889</v>
      </c>
      <c r="E213" s="3" t="s">
        <v>890</v>
      </c>
      <c r="F213" s="3" t="s">
        <v>891</v>
      </c>
      <c r="G213" s="3" t="str">
        <f ca="1">IFERROR(__xludf.DUMMYFUNCTION("googletranslate(D213,""en"",""ja"")"),"Alk フォス、腸内/総 Alk フォス;アルカリホスファターゼ、腸管/総アルカリホスファターゼ")</f>
        <v>Alk フォス、腸内/総 Alk フォス;アルカリホスファターゼ、腸管/総アルカリホスファターゼ</v>
      </c>
      <c r="H213" s="3" t="str">
        <f ca="1">IFERROR(__xludf.DUMMYFUNCTION("googletranslate(E213,""en"",""ja"")"),"生物学的検体中の総アルカリホスファターゼに対する腸特異的アルカリホスファターゼアイソフォームの相対測定値（比率またはパーセンテージ）。")</f>
        <v>生物学的検体中の総アルカリホスファターゼに対する腸特異的アルカリホスファターゼアイソフォームの相対測定値（比率またはパーセンテージ）。</v>
      </c>
      <c r="I213" s="3" t="str">
        <f ca="1">IFERROR(__xludf.DUMMYFUNCTION("googletranslate(F213,""en"",""ja"")"),"腸管アルカリホスファターゼ対総アルカリホスファターゼ比の測定")</f>
        <v>腸管アルカリホスファターゼ対総アルカリホスファターゼ比の測定</v>
      </c>
    </row>
    <row r="214" spans="1:9" ht="30">
      <c r="A214" s="3" t="s">
        <v>6</v>
      </c>
      <c r="B214" s="3" t="s">
        <v>892</v>
      </c>
      <c r="C214" s="3" t="s">
        <v>893</v>
      </c>
      <c r="D214" s="3" t="s">
        <v>893</v>
      </c>
      <c r="E214" s="3" t="s">
        <v>894</v>
      </c>
      <c r="F214" s="3" t="s">
        <v>895</v>
      </c>
      <c r="G214" s="3" t="str">
        <f ca="1">IFERROR(__xludf.DUMMYFUNCTION("googletranslate(D214,""en"",""ja"")"),"腸特異的アルカリホスファターゼ")</f>
        <v>腸特異的アルカリホスファターゼ</v>
      </c>
      <c r="H214" s="3" t="str">
        <f ca="1">IFERROR(__xludf.DUMMYFUNCTION("googletranslate(E214,""en"",""ja"")"),"生物学的標本中の腸特異的なアルカリホスファターゼアイソフォームの測定。")</f>
        <v>生物学的標本中の腸特異的なアルカリホスファターゼアイソフォームの測定。</v>
      </c>
      <c r="I214" s="3" t="str">
        <f ca="1">IFERROR(__xludf.DUMMYFUNCTION("googletranslate(F214,""en"",""ja"")"),"腸特異的アルカリホスファターゼの測定")</f>
        <v>腸特異的アルカリホスファターゼの測定</v>
      </c>
    </row>
    <row r="215" spans="1:9" ht="30">
      <c r="A215" s="3" t="s">
        <v>6</v>
      </c>
      <c r="B215" s="3" t="s">
        <v>896</v>
      </c>
      <c r="C215" s="3" t="s">
        <v>897</v>
      </c>
      <c r="D215" s="3" t="s">
        <v>897</v>
      </c>
      <c r="E215" s="3" t="s">
        <v>898</v>
      </c>
      <c r="F215" s="3" t="s">
        <v>899</v>
      </c>
      <c r="G215" s="3" t="str">
        <f ca="1">IFERROR(__xludf.DUMMYFUNCTION("googletranslate(D215,""en"",""ja"")"),"アルカリホスファターゼアイソザイム")</f>
        <v>アルカリホスファターゼアイソザイム</v>
      </c>
      <c r="H215" s="3" t="str">
        <f ca="1">IFERROR(__xludf.DUMMYFUNCTION("googletranslate(E215,""en"",""ja"")"),"生物学的標本中のアルカリホスファターゼアイソザイムの測定。")</f>
        <v>生物学的標本中のアルカリホスファターゼアイソザイムの測定。</v>
      </c>
      <c r="I215" s="3" t="str">
        <f ca="1">IFERROR(__xludf.DUMMYFUNCTION("googletranslate(F215,""en"",""ja"")"),"アルカリホスファターゼアイソザイム測定")</f>
        <v>アルカリホスファターゼアイソザイム測定</v>
      </c>
    </row>
    <row r="216" spans="1:9" ht="60">
      <c r="A216" s="3" t="s">
        <v>6</v>
      </c>
      <c r="B216" s="3" t="s">
        <v>900</v>
      </c>
      <c r="C216" s="3" t="s">
        <v>901</v>
      </c>
      <c r="D216" s="3" t="s">
        <v>902</v>
      </c>
      <c r="E216" s="3" t="s">
        <v>903</v>
      </c>
      <c r="F216" s="3" t="s">
        <v>904</v>
      </c>
      <c r="G216" s="3" t="str">
        <f ca="1">IFERROR(__xludf.DUMMYFUNCTION("googletranslate(D216,""en"",""ja"")"),"Alk フォス、肝臓/総 Alk フォス;アルカリホスファターゼ、肝臓/総アルカリホスファターゼ")</f>
        <v>Alk フォス、肝臓/総 Alk フォス;アルカリホスファターゼ、肝臓/総アルカリホスファターゼ</v>
      </c>
      <c r="H216" s="3" t="str">
        <f ca="1">IFERROR(__xludf.DUMMYFUNCTION("googletranslate(E216,""en"",""ja"")"),"生物学的検体中の総アルカリホスファターゼに対する肝臓特異的アルカリホスファターゼアイソフォームの相対測定値（比率またはパーセンテージ）。")</f>
        <v>生物学的検体中の総アルカリホスファターゼに対する肝臓特異的アルカリホスファターゼアイソフォームの相対測定値（比率またはパーセンテージ）。</v>
      </c>
      <c r="I216" s="3" t="str">
        <f ca="1">IFERROR(__xludf.DUMMYFUNCTION("googletranslate(F216,""en"",""ja"")"),"肝臓アルカリホスファターゼ対総アルカリホスファターゼ比の測定")</f>
        <v>肝臓アルカリホスファターゼ対総アルカリホスファターゼ比の測定</v>
      </c>
    </row>
    <row r="217" spans="1:9" ht="60">
      <c r="A217" s="3" t="s">
        <v>6</v>
      </c>
      <c r="B217" s="3" t="s">
        <v>905</v>
      </c>
      <c r="C217" s="3" t="s">
        <v>906</v>
      </c>
      <c r="D217" s="3" t="s">
        <v>906</v>
      </c>
      <c r="E217" s="3" t="s">
        <v>907</v>
      </c>
      <c r="F217" s="3" t="s">
        <v>908</v>
      </c>
      <c r="G217" s="3" t="str">
        <f ca="1">IFERROR(__xludf.DUMMYFUNCTION("googletranslate(D217,""en"",""ja"")"),"Alk フォス、肝臓 + 骨/総 Alk フォス")</f>
        <v>Alk フォス、肝臓 + 骨/総 Alk フォス</v>
      </c>
      <c r="H217" s="3" t="str">
        <f ca="1">IFERROR(__xludf.DUMMYFUNCTION("googletranslate(E217,""en"",""ja"")"),"生体試料中の総アルカリホスファターゼに対する肝臓および骨に特異的なアルカリホスファターゼアイソフォームの相対測定値（比率またはパーセンテージ）。")</f>
        <v>生体試料中の総アルカリホスファターゼに対する肝臓および骨に特異的なアルカリホスファターゼアイソフォームの相対測定値（比率またはパーセンテージ）。</v>
      </c>
      <c r="I217" s="3" t="str">
        <f ca="1">IFERROR(__xludf.DUMMYFUNCTION("googletranslate(F217,""en"",""ja"")"),"肝臓および骨に特異的なアルカリホスファターゼアイソフォームとアルカリホスファターゼの比の測定")</f>
        <v>肝臓および骨に特異的なアルカリホスファターゼアイソフォームとアルカリホスファターゼの比の測定</v>
      </c>
    </row>
    <row r="218" spans="1:9" ht="30">
      <c r="A218" s="3" t="s">
        <v>6</v>
      </c>
      <c r="B218" s="3" t="s">
        <v>909</v>
      </c>
      <c r="C218" s="3" t="s">
        <v>910</v>
      </c>
      <c r="D218" s="3" t="s">
        <v>910</v>
      </c>
      <c r="E218" s="3" t="s">
        <v>911</v>
      </c>
      <c r="F218" s="3" t="s">
        <v>912</v>
      </c>
      <c r="G218" s="3" t="str">
        <f ca="1">IFERROR(__xludf.DUMMYFUNCTION("googletranslate(D218,""en"",""ja"")"),"肝臓特異的アルカリホスファターゼ")</f>
        <v>肝臓特異的アルカリホスファターゼ</v>
      </c>
      <c r="H218" s="3" t="str">
        <f ca="1">IFERROR(__xludf.DUMMYFUNCTION("googletranslate(E218,""en"",""ja"")"),"生体試料中の肝臓に特有のアルカリホスファターゼアイソフォームの測定。")</f>
        <v>生体試料中の肝臓に特有のアルカリホスファターゼアイソフォームの測定。</v>
      </c>
      <c r="I218" s="3" t="str">
        <f ca="1">IFERROR(__xludf.DUMMYFUNCTION("googletranslate(F218,""en"",""ja"")"),"肝臓特異的アルカリホスファターゼの測定")</f>
        <v>肝臓特異的アルカリホスファターゼの測定</v>
      </c>
    </row>
    <row r="219" spans="1:9" ht="60">
      <c r="A219" s="3" t="s">
        <v>6</v>
      </c>
      <c r="B219" s="3" t="s">
        <v>913</v>
      </c>
      <c r="C219" s="3" t="s">
        <v>914</v>
      </c>
      <c r="D219" s="3" t="s">
        <v>915</v>
      </c>
      <c r="E219" s="3" t="s">
        <v>916</v>
      </c>
      <c r="F219" s="3" t="s">
        <v>917</v>
      </c>
      <c r="G219" s="3" t="str">
        <f ca="1">IFERROR(__xludf.DUMMYFUNCTION("googletranslate(D219,""en"",""ja"")"),"Alk フォス、胎盤/総 Alk フォス;アルカリホスファターゼ、胎盤/総アルカリホスファターゼ")</f>
        <v>Alk フォス、胎盤/総 Alk フォス;アルカリホスファターゼ、胎盤/総アルカリホスファターゼ</v>
      </c>
      <c r="H219" s="3" t="str">
        <f ca="1">IFERROR(__xludf.DUMMYFUNCTION("googletranslate(E219,""en"",""ja"")"),"生体試料中の総アルカリホスファターゼに対する胎盤特異的アルカリホスファターゼアイソフォームの相対測定値（比率またはパーセンテージ）。")</f>
        <v>生体試料中の総アルカリホスファターゼに対する胎盤特異的アルカリホスファターゼアイソフォームの相対測定値（比率またはパーセンテージ）。</v>
      </c>
      <c r="I219" s="3" t="str">
        <f ca="1">IFERROR(__xludf.DUMMYFUNCTION("googletranslate(F219,""en"",""ja"")"),"胎盤アルカリホスファターゼと総アルカリホスファターゼの測定")</f>
        <v>胎盤アルカリホスファターゼと総アルカリホスファターゼの測定</v>
      </c>
    </row>
    <row r="220" spans="1:9" ht="30">
      <c r="A220" s="3" t="s">
        <v>6</v>
      </c>
      <c r="B220" s="3" t="s">
        <v>918</v>
      </c>
      <c r="C220" s="3" t="s">
        <v>919</v>
      </c>
      <c r="D220" s="3" t="s">
        <v>919</v>
      </c>
      <c r="E220" s="3" t="s">
        <v>920</v>
      </c>
      <c r="F220" s="3" t="s">
        <v>921</v>
      </c>
      <c r="G220" s="3" t="str">
        <f ca="1">IFERROR(__xludf.DUMMYFUNCTION("googletranslate(D220,""en"",""ja"")"),"胎盤特異的アルカリホスファターゼ")</f>
        <v>胎盤特異的アルカリホスファターゼ</v>
      </c>
      <c r="H220" s="3" t="str">
        <f ca="1">IFERROR(__xludf.DUMMYFUNCTION("googletranslate(E220,""en"",""ja"")"),"生物学的標本中の胎盤特異的アルカリホスファターゼアイソフォームの測定。")</f>
        <v>生物学的標本中の胎盤特異的アルカリホスファターゼアイソフォームの測定。</v>
      </c>
      <c r="I220" s="3" t="str">
        <f ca="1">IFERROR(__xludf.DUMMYFUNCTION("googletranslate(F220,""en"",""ja"")"),"胎盤特異的アルカリホスファターゼの測定")</f>
        <v>胎盤特異的アルカリホスファターゼの測定</v>
      </c>
    </row>
    <row r="221" spans="1:9" ht="30">
      <c r="A221" s="3" t="s">
        <v>6</v>
      </c>
      <c r="B221" s="3" t="s">
        <v>922</v>
      </c>
      <c r="C221" s="3" t="s">
        <v>923</v>
      </c>
      <c r="D221" s="3" t="s">
        <v>923</v>
      </c>
      <c r="E221" s="3" t="s">
        <v>924</v>
      </c>
      <c r="F221" s="3" t="s">
        <v>925</v>
      </c>
      <c r="G221" s="3" t="str">
        <f ca="1">IFERROR(__xludf.DUMMYFUNCTION("googletranslate(D221,""en"",""ja"")"),"アルプラゾラム")</f>
        <v>アルプラゾラム</v>
      </c>
      <c r="H221" s="3" t="str">
        <f ca="1">IFERROR(__xludf.DUMMYFUNCTION("googletranslate(E221,""en"",""ja"")"),"生物学的標本中に存在するアルプラゾラムの測定。")</f>
        <v>生物学的標本中に存在するアルプラゾラムの測定。</v>
      </c>
      <c r="I221" s="3" t="str">
        <f ca="1">IFERROR(__xludf.DUMMYFUNCTION("googletranslate(F221,""en"",""ja"")"),"アルプラゾラムの測定")</f>
        <v>アルプラゾラムの測定</v>
      </c>
    </row>
    <row r="222" spans="1:9" ht="60">
      <c r="A222" s="3" t="s">
        <v>6</v>
      </c>
      <c r="B222" s="3" t="s">
        <v>926</v>
      </c>
      <c r="C222" s="3" t="s">
        <v>927</v>
      </c>
      <c r="D222" s="3" t="s">
        <v>928</v>
      </c>
      <c r="E222" s="3" t="s">
        <v>929</v>
      </c>
      <c r="F222" s="3" t="s">
        <v>930</v>
      </c>
      <c r="G222" s="3" t="str">
        <f ca="1">IFERROR(__xludf.DUMMYFUNCTION("googletranslate(D222,""en"",""ja"")"),"酸不安定性サブユニット。 ALS;イグファルス;インスリン様成長因子結合タンパク質酸不安定サブユニット")</f>
        <v>酸不安定性サブユニット。 ALS;イグファルス;インスリン様成長因子結合タンパク質酸不安定サブユニット</v>
      </c>
      <c r="H222" s="3" t="str">
        <f ca="1">IFERROR(__xludf.DUMMYFUNCTION("googletranslate(E222,""en"",""ja"")"),"生物学的標本中の酸に不安定なサブユニットの測定。")</f>
        <v>生物学的標本中の酸に不安定なサブユニットの測定。</v>
      </c>
      <c r="I222" s="3" t="str">
        <f ca="1">IFERROR(__xludf.DUMMYFUNCTION("googletranslate(F222,""en"",""ja"")"),"酸不安定性サブユニットの測定")</f>
        <v>酸不安定性サブユニットの測定</v>
      </c>
    </row>
    <row r="223" spans="1:9" ht="30">
      <c r="A223" s="3" t="s">
        <v>6</v>
      </c>
      <c r="B223" s="3" t="s">
        <v>931</v>
      </c>
      <c r="C223" s="3" t="s">
        <v>932</v>
      </c>
      <c r="D223" s="3" t="s">
        <v>933</v>
      </c>
      <c r="E223" s="3" t="s">
        <v>934</v>
      </c>
      <c r="F223" s="3" t="s">
        <v>935</v>
      </c>
      <c r="G223" s="3" t="str">
        <f ca="1">IFERROR(__xludf.DUMMYFUNCTION("googletranslate(D223,""en"",""ja"")"),"アラニンアミノトランスフェラーゼ; SGPT")</f>
        <v>アラニンアミノトランスフェラーゼ; SGPT</v>
      </c>
      <c r="H223" s="3" t="str">
        <f ca="1">IFERROR(__xludf.DUMMYFUNCTION("googletranslate(E223,""en"",""ja"")"),"生物学的標本中のアラニンアミノトランスフェラーゼの測定。")</f>
        <v>生物学的標本中のアラニンアミノトランスフェラーゼの測定。</v>
      </c>
      <c r="I223" s="3" t="str">
        <f ca="1">IFERROR(__xludf.DUMMYFUNCTION("googletranslate(F223,""en"",""ja"")"),"アラニンアミノトランスフェラーゼの測定")</f>
        <v>アラニンアミノトランスフェラーゼの測定</v>
      </c>
    </row>
    <row r="224" spans="1:9" ht="60">
      <c r="A224" s="3" t="s">
        <v>6</v>
      </c>
      <c r="B224" s="3" t="s">
        <v>936</v>
      </c>
      <c r="C224" s="3" t="s">
        <v>937</v>
      </c>
      <c r="D224" s="3" t="s">
        <v>937</v>
      </c>
      <c r="E224" s="3" t="s">
        <v>938</v>
      </c>
      <c r="F224" s="3" t="s">
        <v>939</v>
      </c>
      <c r="G224" s="3" t="str">
        <f ca="1">IFERROR(__xludf.DUMMYFUNCTION("googletranslate(D224,""en"",""ja"")"),"代替/AST")</f>
        <v>代替/AST</v>
      </c>
      <c r="H224" s="3" t="str">
        <f ca="1">IFERROR(__xludf.DUMMYFUNCTION("googletranslate(E224,""en"",""ja"")"),"サンプル中に存在するアスパラギン酸アミノトランスフェラーゼ (AST) に対するアラニン アミノトランスフェラーゼ (ALT) の相対測定値 (比率またはパーセンテージ)。")</f>
        <v>サンプル中に存在するアスパラギン酸アミノトランスフェラーゼ (AST) に対するアラニン アミノトランスフェラーゼ (ALT) の相対測定値 (比率またはパーセンテージ)。</v>
      </c>
      <c r="I224" s="3" t="str">
        <f ca="1">IFERROR(__xludf.DUMMYFUNCTION("googletranslate(F224,""en"",""ja"")"),"アラニンアミノトランスフェラーゼとアスパラギン酸アミノトランスフェラーゼの比の測定")</f>
        <v>アラニンアミノトランスフェラーゼとアスパラギン酸アミノトランスフェラーゼの比の測定</v>
      </c>
    </row>
    <row r="225" spans="1:9" ht="30">
      <c r="A225" s="3" t="s">
        <v>6</v>
      </c>
      <c r="B225" s="3" t="s">
        <v>940</v>
      </c>
      <c r="C225" s="3" t="s">
        <v>941</v>
      </c>
      <c r="D225" s="3" t="s">
        <v>941</v>
      </c>
      <c r="E225" s="3" t="s">
        <v>942</v>
      </c>
      <c r="F225" s="3" t="s">
        <v>943</v>
      </c>
      <c r="G225" s="3" t="str">
        <f ca="1">IFERROR(__xludf.DUMMYFUNCTION("googletranslate(D225,""en"",""ja"")"),"アルファトコフェロール")</f>
        <v>アルファトコフェロール</v>
      </c>
      <c r="H225" s="3" t="str">
        <f ca="1">IFERROR(__xludf.DUMMYFUNCTION("googletranslate(E225,""en"",""ja"")"),"生物学的標本中のαトコフェロールの測定。")</f>
        <v>生物学的標本中のαトコフェロールの測定。</v>
      </c>
      <c r="I225" s="3" t="str">
        <f ca="1">IFERROR(__xludf.DUMMYFUNCTION("googletranslate(F225,""en"",""ja"")"),"アルファトコフェロールの測定")</f>
        <v>アルファトコフェロールの測定</v>
      </c>
    </row>
    <row r="226" spans="1:9">
      <c r="A226" s="3" t="s">
        <v>6</v>
      </c>
      <c r="B226" s="3" t="s">
        <v>944</v>
      </c>
      <c r="C226" s="3" t="s">
        <v>945</v>
      </c>
      <c r="D226" s="3" t="s">
        <v>946</v>
      </c>
      <c r="E226" s="3" t="s">
        <v>947</v>
      </c>
      <c r="F226" s="3" t="s">
        <v>948</v>
      </c>
      <c r="G226" s="3" t="str">
        <f ca="1">IFERROR(__xludf.DUMMYFUNCTION("googletranslate(D226,""en"",""ja"")"),"アル;アルミニウム")</f>
        <v>アル;アルミニウム</v>
      </c>
      <c r="H226" s="3" t="str">
        <f ca="1">IFERROR(__xludf.DUMMYFUNCTION("googletranslate(E226,""en"",""ja"")"),"生物学的標本中のアルミニウムの測定。")</f>
        <v>生物学的標本中のアルミニウムの測定。</v>
      </c>
      <c r="I226" s="3" t="str">
        <f ca="1">IFERROR(__xludf.DUMMYFUNCTION("googletranslate(F226,""en"",""ja"")"),"アルミニウムの測定")</f>
        <v>アルミニウムの測定</v>
      </c>
    </row>
    <row r="227" spans="1:9">
      <c r="A227" s="3" t="s">
        <v>490</v>
      </c>
      <c r="B227" s="3" t="s">
        <v>949</v>
      </c>
      <c r="C227" s="3" t="s">
        <v>950</v>
      </c>
      <c r="D227" s="3" t="s">
        <v>951</v>
      </c>
      <c r="E227" s="3" t="s">
        <v>952</v>
      </c>
      <c r="F227" s="3" t="s">
        <v>950</v>
      </c>
      <c r="G227" s="3" t="str">
        <f ca="1">IFERROR(__xludf.DUMMYFUNCTION("googletranslate(D227,""en"",""ja"")"),"肺胞容積;バージニア州")</f>
        <v>肺胞容積;バージニア州</v>
      </c>
      <c r="H227" s="3" t="str">
        <f ca="1">IFERROR(__xludf.DUMMYFUNCTION("googletranslate(E227,""en"",""ja"")"),"吸気中に肺胞に入るガスの量。")</f>
        <v>吸気中に肺胞に入るガスの量。</v>
      </c>
      <c r="I227" s="3" t="str">
        <f ca="1">IFERROR(__xludf.DUMMYFUNCTION("googletranslate(F227,""en"",""ja"")"),"肺胞容積")</f>
        <v>肺胞容積</v>
      </c>
    </row>
    <row r="228" spans="1:9" ht="30">
      <c r="A228" s="3" t="s">
        <v>67</v>
      </c>
      <c r="B228" s="3" t="s">
        <v>953</v>
      </c>
      <c r="C228" s="3" t="s">
        <v>954</v>
      </c>
      <c r="D228" s="3" t="s">
        <v>954</v>
      </c>
      <c r="E228" s="3" t="s">
        <v>955</v>
      </c>
      <c r="F228" s="3" t="s">
        <v>956</v>
      </c>
      <c r="G228" s="3" t="str">
        <f ca="1">IFERROR(__xludf.DUMMYFUNCTION("googletranslate(D228,""en"",""ja"")"),"アシネトバクター lwoffii")</f>
        <v>アシネトバクター lwoffii</v>
      </c>
      <c r="H228" s="3" t="str">
        <f ca="1">IFERROR(__xludf.DUMMYFUNCTION("googletranslate(E228,""en"",""ja"")"),"生物学的標本中のアシネトバクター lwoffii の測定。")</f>
        <v>生物学的標本中のアシネトバクター lwoffii の測定。</v>
      </c>
      <c r="I228" s="3" t="str">
        <f ca="1">IFERROR(__xludf.DUMMYFUNCTION("googletranslate(F228,""en"",""ja"")"),"アシネトバクター・イウォフィの測定")</f>
        <v>アシネトバクター・イウォフィの測定</v>
      </c>
    </row>
    <row r="229" spans="1:9" ht="30">
      <c r="A229" s="3" t="s">
        <v>6</v>
      </c>
      <c r="B229" s="3" t="s">
        <v>957</v>
      </c>
      <c r="C229" s="3" t="s">
        <v>958</v>
      </c>
      <c r="D229" s="3" t="s">
        <v>959</v>
      </c>
      <c r="E229" s="3" t="s">
        <v>960</v>
      </c>
      <c r="F229" s="3" t="s">
        <v>961</v>
      </c>
      <c r="G229" s="3" t="str">
        <f ca="1">IFERROR(__xludf.DUMMYFUNCTION("googletranslate(D229,""en"",""ja"")"),"AM-2201; AM2201")</f>
        <v>AM-2201; AM2201</v>
      </c>
      <c r="H229" s="3" t="str">
        <f ca="1">IFERROR(__xludf.DUMMYFUNCTION("googletranslate(E229,""en"",""ja"")"),"生物学的標本中の合成カンナビノイド AM-2201 の測定。")</f>
        <v>生物学的標本中の合成カンナビノイド AM-2201 の測定。</v>
      </c>
      <c r="I229" s="3" t="str">
        <f ca="1">IFERROR(__xludf.DUMMYFUNCTION("googletranslate(F229,""en"",""ja"")"),"AM-2201 測定")</f>
        <v>AM-2201 測定</v>
      </c>
    </row>
    <row r="230" spans="1:9" ht="30">
      <c r="A230" s="3" t="s">
        <v>6</v>
      </c>
      <c r="B230" s="3" t="s">
        <v>962</v>
      </c>
      <c r="C230" s="3" t="s">
        <v>963</v>
      </c>
      <c r="D230" s="3" t="s">
        <v>963</v>
      </c>
      <c r="E230" s="3" t="s">
        <v>964</v>
      </c>
      <c r="F230" s="3" t="s">
        <v>965</v>
      </c>
      <c r="G230" s="3" t="str">
        <f ca="1">IFERROR(__xludf.DUMMYFUNCTION("googletranslate(D230,""en"",""ja"")"),"AM694 N-5-ヒドロキシペンチル")</f>
        <v>AM694 N-5-ヒドロキシペンチル</v>
      </c>
      <c r="H230" s="3" t="str">
        <f ca="1">IFERROR(__xludf.DUMMYFUNCTION("googletranslate(E230,""en"",""ja"")"),"生物学的標本中の合成カンナビノイド代謝産物 AM694 N-5-ヒドロキシペンチルの測定。")</f>
        <v>生物学的標本中の合成カンナビノイド代謝産物 AM694 N-5-ヒドロキシペンチルの測定。</v>
      </c>
      <c r="I230" s="3" t="str">
        <f ca="1">IFERROR(__xludf.DUMMYFUNCTION("googletranslate(F230,""en"",""ja"")"),"AM694 N-5-ヒドロキシペンチル測定")</f>
        <v>AM694 N-5-ヒドロキシペンチル測定</v>
      </c>
    </row>
    <row r="231" spans="1:9" ht="30">
      <c r="A231" s="3" t="s">
        <v>6</v>
      </c>
      <c r="B231" s="3" t="s">
        <v>966</v>
      </c>
      <c r="C231" s="3" t="s">
        <v>967</v>
      </c>
      <c r="D231" s="3" t="s">
        <v>967</v>
      </c>
      <c r="E231" s="3" t="s">
        <v>968</v>
      </c>
      <c r="F231" s="3" t="s">
        <v>969</v>
      </c>
      <c r="G231" s="3" t="str">
        <f ca="1">IFERROR(__xludf.DUMMYFUNCTION("googletranslate(D231,""en"",""ja"")"),"α-メチルアシルコエンザイムAラセマーゼ")</f>
        <v>α-メチルアシルコエンザイムAラセマーゼ</v>
      </c>
      <c r="H231" s="3" t="str">
        <f ca="1">IFERROR(__xludf.DUMMYFUNCTION("googletranslate(E231,""en"",""ja"")"),"生物学的標本中のα-メチルアシルコエンザイムAラセマーゼの測定。")</f>
        <v>生物学的標本中のα-メチルアシルコエンザイムAラセマーゼの測定。</v>
      </c>
      <c r="I231" s="3" t="str">
        <f ca="1">IFERROR(__xludf.DUMMYFUNCTION("googletranslate(F231,""en"",""ja"")"),"α-メチルアシルコエンザイムAラセマーゼの測定")</f>
        <v>α-メチルアシルコエンザイムAラセマーゼの測定</v>
      </c>
    </row>
    <row r="232" spans="1:9" ht="30">
      <c r="A232" s="3" t="s">
        <v>6</v>
      </c>
      <c r="B232" s="3" t="s">
        <v>970</v>
      </c>
      <c r="C232" s="3" t="s">
        <v>971</v>
      </c>
      <c r="D232" s="3" t="s">
        <v>971</v>
      </c>
      <c r="E232" s="3" t="s">
        <v>972</v>
      </c>
      <c r="F232" s="3" t="s">
        <v>973</v>
      </c>
      <c r="G232" s="3" t="str">
        <f ca="1">IFERROR(__xludf.DUMMYFUNCTION("googletranslate(D232,""en"",""ja"")"),"アモバルビタール")</f>
        <v>アモバルビタール</v>
      </c>
      <c r="H232" s="3" t="str">
        <f ca="1">IFERROR(__xludf.DUMMYFUNCTION("googletranslate(E232,""en"",""ja"")"),"生物学的標本中に存在するアモバルビタールの測定。")</f>
        <v>生物学的標本中に存在するアモバルビタールの測定。</v>
      </c>
      <c r="I232" s="3" t="str">
        <f ca="1">IFERROR(__xludf.DUMMYFUNCTION("googletranslate(F232,""en"",""ja"")"),"アモバルビタールの測定")</f>
        <v>アモバルビタールの測定</v>
      </c>
    </row>
    <row r="233" spans="1:9" ht="30">
      <c r="A233" s="3" t="s">
        <v>6</v>
      </c>
      <c r="B233" s="3" t="s">
        <v>974</v>
      </c>
      <c r="C233" s="3" t="s">
        <v>975</v>
      </c>
      <c r="D233" s="3" t="s">
        <v>975</v>
      </c>
      <c r="E233" s="3" t="s">
        <v>976</v>
      </c>
      <c r="F233" s="3" t="s">
        <v>977</v>
      </c>
      <c r="G233" s="3" t="str">
        <f ca="1">IFERROR(__xludf.DUMMYFUNCTION("googletranslate(D233,""en"",""ja"")"),"AMACR mRNA")</f>
        <v>AMACR mRNA</v>
      </c>
      <c r="H233" s="3" t="str">
        <f ca="1">IFERROR(__xludf.DUMMYFUNCTION("googletranslate(E233,""en"",""ja"")"),"生物学的標本中のα-メチルアシルコエンザイムAラセマーゼmRNAの測定。")</f>
        <v>生物学的標本中のα-メチルアシルコエンザイムAラセマーゼmRNAの測定。</v>
      </c>
      <c r="I233" s="3" t="str">
        <f ca="1">IFERROR(__xludf.DUMMYFUNCTION("googletranslate(F233,""en"",""ja"")"),"α-メチルアシルコエンザイムAラセマーゼmRNAの測定")</f>
        <v>α-メチルアシルコエンザイムAラセマーゼmRNAの測定</v>
      </c>
    </row>
    <row r="234" spans="1:9" ht="30">
      <c r="A234" s="3" t="s">
        <v>142</v>
      </c>
      <c r="B234" s="3" t="s">
        <v>978</v>
      </c>
      <c r="C234" s="3" t="s">
        <v>979</v>
      </c>
      <c r="D234" s="3" t="s">
        <v>979</v>
      </c>
      <c r="E234" s="3" t="s">
        <v>980</v>
      </c>
      <c r="F234" s="3" t="s">
        <v>979</v>
      </c>
      <c r="G234" s="3" t="str">
        <f ca="1">IFERROR(__xludf.DUMMYFUNCTION("googletranslate(D234,""en"",""ja"")"),"活発な月経インジケーター")</f>
        <v>活発な月経インジケーター</v>
      </c>
      <c r="H234" s="3" t="str">
        <f ca="1">IFERROR(__xludf.DUMMYFUNCTION("googletranslate(E234,""en"",""ja"")"),"質問が行われた時点で対象者が月経中であるかどうかを示すもの。")</f>
        <v>質問が行われた時点で対象者が月経中であるかどうかを示すもの。</v>
      </c>
      <c r="I234" s="3" t="str">
        <f ca="1">IFERROR(__xludf.DUMMYFUNCTION("googletranslate(F234,""en"",""ja"")"),"活発な月経インジケーター")</f>
        <v>活発な月経インジケーター</v>
      </c>
    </row>
    <row r="235" spans="1:9" ht="30">
      <c r="A235" s="3" t="s">
        <v>6</v>
      </c>
      <c r="B235" s="3" t="s">
        <v>981</v>
      </c>
      <c r="C235" s="3" t="s">
        <v>982</v>
      </c>
      <c r="D235" s="3" t="s">
        <v>982</v>
      </c>
      <c r="E235" s="3" t="s">
        <v>983</v>
      </c>
      <c r="F235" s="3" t="s">
        <v>984</v>
      </c>
      <c r="G235" s="3" t="str">
        <f ca="1">IFERROR(__xludf.DUMMYFUNCTION("googletranslate(D235,""en"",""ja"")"),"抗ミュラー管ホルモン")</f>
        <v>抗ミュラー管ホルモン</v>
      </c>
      <c r="H235" s="3" t="str">
        <f ca="1">IFERROR(__xludf.DUMMYFUNCTION("googletranslate(E235,""en"",""ja"")"),"生物学的標本中の抗ミュラー管ホルモンの測定。")</f>
        <v>生物学的標本中の抗ミュラー管ホルモンの測定。</v>
      </c>
      <c r="I235" s="3" t="str">
        <f ca="1">IFERROR(__xludf.DUMMYFUNCTION("googletranslate(F235,""en"",""ja"")"),"抗ミュラー管ホルモンの測定")</f>
        <v>抗ミュラー管ホルモンの測定</v>
      </c>
    </row>
    <row r="236" spans="1:9" ht="75">
      <c r="A236" s="3" t="s">
        <v>985</v>
      </c>
      <c r="B236" s="3" t="s">
        <v>986</v>
      </c>
      <c r="C236" s="3" t="s">
        <v>987</v>
      </c>
      <c r="D236" s="3" t="s">
        <v>987</v>
      </c>
      <c r="E236" s="3" t="s">
        <v>988</v>
      </c>
      <c r="F236" s="3" t="s">
        <v>989</v>
      </c>
      <c r="G236" s="3" t="str">
        <f ca="1">IFERROR(__xludf.DUMMYFUNCTION("googletranslate(D236,""en"",""ja"")"),"急性心筋虚血の心電図変化")</f>
        <v>急性心筋虚血の心電図変化</v>
      </c>
      <c r="H236" s="3" t="str">
        <f ca="1">IFERROR(__xludf.DUMMYFUNCTION("googletranslate(E236,""en"",""ja"")"),"急性心筋虚血と一致する新たなまたは新たな重大なSTセグメントT波（ST-T）変化または新たな左脚ブロックの心電図所見評価。 (Thygesen K、Alpert JS、Jaffe AS、Simoons ML、他; Joint ESC/ACCF/")</f>
        <v>急性心筋虚血と一致する新たなまたは新たな重大なSTセグメントT波（ST-T）変化または新たな左脚ブロックの心電図所見評価。 (Thygesen K、Alpert JS、Jaffe AS、Simoons ML、他; Joint ESC/ACCF/</v>
      </c>
      <c r="I236" s="3" t="str">
        <f ca="1">IFERROR(__xludf.DUMMYFUNCTION("googletranslate(F236,""en"",""ja"")"),"ECG評価による急性心筋虚血")</f>
        <v>ECG評価による急性心筋虚血</v>
      </c>
    </row>
    <row r="237" spans="1:9">
      <c r="A237" s="3" t="s">
        <v>6</v>
      </c>
      <c r="B237" s="3" t="s">
        <v>990</v>
      </c>
      <c r="C237" s="3" t="s">
        <v>991</v>
      </c>
      <c r="D237" s="3" t="s">
        <v>991</v>
      </c>
      <c r="E237" s="3" t="s">
        <v>992</v>
      </c>
      <c r="F237" s="3" t="s">
        <v>993</v>
      </c>
      <c r="G237" s="3" t="str">
        <f ca="1">IFERROR(__xludf.DUMMYFUNCTION("googletranslate(D237,""en"",""ja"")"),"アミトリプチリン")</f>
        <v>アミトリプチリン</v>
      </c>
      <c r="H237" s="3" t="str">
        <f ca="1">IFERROR(__xludf.DUMMYFUNCTION("googletranslate(E237,""en"",""ja"")"),"生物学的標本中のアミトリプチリンの測定。")</f>
        <v>生物学的標本中のアミトリプチリンの測定。</v>
      </c>
      <c r="I237" s="3" t="str">
        <f ca="1">IFERROR(__xludf.DUMMYFUNCTION("googletranslate(F237,""en"",""ja"")"),"アミトリプチリンの測定")</f>
        <v>アミトリプチリンの測定</v>
      </c>
    </row>
    <row r="238" spans="1:9">
      <c r="A238" s="3" t="s">
        <v>51</v>
      </c>
      <c r="B238" s="3" t="s">
        <v>994</v>
      </c>
      <c r="C238" s="3" t="s">
        <v>995</v>
      </c>
      <c r="D238" s="3" t="s">
        <v>996</v>
      </c>
      <c r="E238" s="3" t="s">
        <v>997</v>
      </c>
      <c r="F238" s="3" t="s">
        <v>998</v>
      </c>
      <c r="G238" s="3" t="str">
        <f ca="1">IFERROR(__xludf.DUMMYFUNCTION("googletranslate(D238,""en"",""ja"")"),"アンモニア; NH3")</f>
        <v>アンモニア; NH3</v>
      </c>
      <c r="H238" s="3" t="str">
        <f ca="1">IFERROR(__xludf.DUMMYFUNCTION("googletranslate(E238,""en"",""ja"")"),"試料中のアンモニアの測定。")</f>
        <v>試料中のアンモニアの測定。</v>
      </c>
      <c r="I238" s="3" t="str">
        <f ca="1">IFERROR(__xludf.DUMMYFUNCTION("googletranslate(F238,""en"",""ja"")"),"アンモニア測定")</f>
        <v>アンモニア測定</v>
      </c>
    </row>
    <row r="239" spans="1:9">
      <c r="A239" s="3" t="s">
        <v>6</v>
      </c>
      <c r="B239" s="3" t="s">
        <v>994</v>
      </c>
      <c r="C239" s="3" t="s">
        <v>995</v>
      </c>
      <c r="D239" s="3" t="s">
        <v>996</v>
      </c>
      <c r="E239" s="3" t="s">
        <v>997</v>
      </c>
      <c r="F239" s="3" t="s">
        <v>998</v>
      </c>
      <c r="G239" s="3" t="str">
        <f ca="1">IFERROR(__xludf.DUMMYFUNCTION("googletranslate(D239,""en"",""ja"")"),"アンモニア; NH3")</f>
        <v>アンモニア; NH3</v>
      </c>
      <c r="H239" s="3" t="str">
        <f ca="1">IFERROR(__xludf.DUMMYFUNCTION("googletranslate(E239,""en"",""ja"")"),"試料中のアンモニアの測定。")</f>
        <v>試料中のアンモニアの測定。</v>
      </c>
      <c r="I239" s="3" t="str">
        <f ca="1">IFERROR(__xludf.DUMMYFUNCTION("googletranslate(F239,""en"",""ja"")"),"アンモニア測定")</f>
        <v>アンモニア測定</v>
      </c>
    </row>
    <row r="240" spans="1:9" ht="30">
      <c r="A240" s="3" t="s">
        <v>6</v>
      </c>
      <c r="B240" s="3" t="s">
        <v>999</v>
      </c>
      <c r="C240" s="3" t="s">
        <v>1000</v>
      </c>
      <c r="D240" s="3" t="s">
        <v>1001</v>
      </c>
      <c r="E240" s="3" t="s">
        <v>1002</v>
      </c>
      <c r="F240" s="3" t="s">
        <v>1003</v>
      </c>
      <c r="G240" s="3" t="str">
        <f ca="1">IFERROR(__xludf.DUMMYFUNCTION("googletranslate(D240,""en"",""ja"")"),"アンモニウム;アンモニウムイオン; NH4+")</f>
        <v>アンモニウム;アンモニウムイオン; NH4+</v>
      </c>
      <c r="H240" s="3" t="str">
        <f ca="1">IFERROR(__xludf.DUMMYFUNCTION("googletranslate(E240,""en"",""ja"")"),"生体試料中のアンモニウムイオン (NH4+) の測定。")</f>
        <v>生体試料中のアンモニウムイオン (NH4+) の測定。</v>
      </c>
      <c r="I240" s="3" t="str">
        <f ca="1">IFERROR(__xludf.DUMMYFUNCTION("googletranslate(F240,""en"",""ja"")"),"アンモニウム測定")</f>
        <v>アンモニウム測定</v>
      </c>
    </row>
    <row r="241" spans="1:9" ht="30">
      <c r="A241" s="3" t="s">
        <v>6</v>
      </c>
      <c r="B241" s="3" t="s">
        <v>1004</v>
      </c>
      <c r="C241" s="3" t="s">
        <v>1005</v>
      </c>
      <c r="D241" s="3" t="s">
        <v>1005</v>
      </c>
      <c r="E241" s="3" t="s">
        <v>1006</v>
      </c>
      <c r="F241" s="3" t="s">
        <v>1007</v>
      </c>
      <c r="G241" s="3" t="str">
        <f ca="1">IFERROR(__xludf.DUMMYFUNCTION("googletranslate(D241,""en"",""ja"")"),"アンモニウム/クレアチニン")</f>
        <v>アンモニウム/クレアチニン</v>
      </c>
      <c r="H241" s="3" t="str">
        <f ca="1">IFERROR(__xludf.DUMMYFUNCTION("googletranslate(E241,""en"",""ja"")"),"生物学的標本中のアンモニウムとクレアチニンの相対測定値 (比)。")</f>
        <v>生物学的標本中のアンモニウムとクレアチニンの相対測定値 (比)。</v>
      </c>
      <c r="I241" s="3" t="str">
        <f ca="1">IFERROR(__xludf.DUMMYFUNCTION("googletranslate(F241,""en"",""ja"")"),"アンモニウムとクレアチニンの比率の測定")</f>
        <v>アンモニウムとクレアチニンの比率の測定</v>
      </c>
    </row>
    <row r="242" spans="1:9" ht="30">
      <c r="A242" s="3" t="s">
        <v>6</v>
      </c>
      <c r="B242" s="3" t="s">
        <v>1008</v>
      </c>
      <c r="C242" s="3" t="s">
        <v>1009</v>
      </c>
      <c r="D242" s="3" t="s">
        <v>1010</v>
      </c>
      <c r="E242" s="3" t="s">
        <v>1011</v>
      </c>
      <c r="F242" s="3" t="s">
        <v>1012</v>
      </c>
      <c r="G242" s="3" t="str">
        <f ca="1">IFERROR(__xludf.DUMMYFUNCTION("googletranslate(D242,""en"",""ja"")"),"AA;アミノ酸")</f>
        <v>AA;アミノ酸</v>
      </c>
      <c r="H242" s="3" t="str">
        <f ca="1">IFERROR(__xludf.DUMMYFUNCTION("googletranslate(E242,""en"",""ja"")"),"生物学的標本中の総アミノ酸の測定。")</f>
        <v>生物学的標本中の総アミノ酸の測定。</v>
      </c>
      <c r="I242" s="3" t="str">
        <f ca="1">IFERROR(__xludf.DUMMYFUNCTION("googletranslate(F242,""en"",""ja"")"),"アミノ酸測定")</f>
        <v>アミノ酸測定</v>
      </c>
    </row>
    <row r="243" spans="1:9" ht="30">
      <c r="A243" s="3" t="s">
        <v>51</v>
      </c>
      <c r="B243" s="3" t="s">
        <v>1013</v>
      </c>
      <c r="C243" s="3" t="s">
        <v>1014</v>
      </c>
      <c r="D243" s="3" t="s">
        <v>1015</v>
      </c>
      <c r="E243" s="3" t="s">
        <v>1016</v>
      </c>
      <c r="F243" s="3" t="s">
        <v>1017</v>
      </c>
      <c r="G243" s="3" t="str">
        <f ca="1">IFERROR(__xludf.DUMMYFUNCTION("googletranslate(D243,""en"",""ja"")"),"1-アミノナフタレン; 1-ナフチルアミン")</f>
        <v>1-アミノナフタレン; 1-ナフチルアミン</v>
      </c>
      <c r="H243" s="3" t="str">
        <f ca="1">IFERROR(__xludf.DUMMYFUNCTION("googletranslate(E243,""en"",""ja"")"),"試料中の 1-アミノナフタレンの測定。")</f>
        <v>試料中の 1-アミノナフタレンの測定。</v>
      </c>
      <c r="I243" s="3" t="str">
        <f ca="1">IFERROR(__xludf.DUMMYFUNCTION("googletranslate(F243,""en"",""ja"")"),"1-アミノナフタレンの測定")</f>
        <v>1-アミノナフタレンの測定</v>
      </c>
    </row>
    <row r="244" spans="1:9" ht="30">
      <c r="A244" s="3" t="s">
        <v>6</v>
      </c>
      <c r="B244" s="3" t="s">
        <v>1013</v>
      </c>
      <c r="C244" s="3" t="s">
        <v>1014</v>
      </c>
      <c r="D244" s="3" t="s">
        <v>1015</v>
      </c>
      <c r="E244" s="3" t="s">
        <v>1016</v>
      </c>
      <c r="F244" s="3" t="s">
        <v>1017</v>
      </c>
      <c r="G244" s="3" t="str">
        <f ca="1">IFERROR(__xludf.DUMMYFUNCTION("googletranslate(D244,""en"",""ja"")"),"1-アミノナフタレン; 1-ナフチルアミン")</f>
        <v>1-アミノナフタレン; 1-ナフチルアミン</v>
      </c>
      <c r="H244" s="3" t="str">
        <f ca="1">IFERROR(__xludf.DUMMYFUNCTION("googletranslate(E244,""en"",""ja"")"),"試料中の 1-アミノナフタレンの測定。")</f>
        <v>試料中の 1-アミノナフタレンの測定。</v>
      </c>
      <c r="I244" s="3" t="str">
        <f ca="1">IFERROR(__xludf.DUMMYFUNCTION("googletranslate(F244,""en"",""ja"")"),"1-アミノナフタレンの測定")</f>
        <v>1-アミノナフタレンの測定</v>
      </c>
    </row>
    <row r="245" spans="1:9" ht="30">
      <c r="A245" s="3" t="s">
        <v>51</v>
      </c>
      <c r="B245" s="3" t="s">
        <v>1018</v>
      </c>
      <c r="C245" s="3" t="s">
        <v>1019</v>
      </c>
      <c r="D245" s="3" t="s">
        <v>1020</v>
      </c>
      <c r="E245" s="3" t="s">
        <v>1021</v>
      </c>
      <c r="F245" s="3" t="s">
        <v>1022</v>
      </c>
      <c r="G245" s="3" t="str">
        <f ca="1">IFERROR(__xludf.DUMMYFUNCTION("googletranslate(D245,""en"",""ja"")"),"2-アミノナフタレン; 2-ナフチルアミン")</f>
        <v>2-アミノナフタレン; 2-ナフチルアミン</v>
      </c>
      <c r="H245" s="3" t="str">
        <f ca="1">IFERROR(__xludf.DUMMYFUNCTION("googletranslate(E245,""en"",""ja"")"),"試料中の 2-アミノナフタレンの測定。")</f>
        <v>試料中の 2-アミノナフタレンの測定。</v>
      </c>
      <c r="I245" s="3" t="str">
        <f ca="1">IFERROR(__xludf.DUMMYFUNCTION("googletranslate(F245,""en"",""ja"")"),"2-アミノナフタレンの測定")</f>
        <v>2-アミノナフタレンの測定</v>
      </c>
    </row>
    <row r="246" spans="1:9" ht="30">
      <c r="A246" s="3" t="s">
        <v>6</v>
      </c>
      <c r="B246" s="3" t="s">
        <v>1018</v>
      </c>
      <c r="C246" s="3" t="s">
        <v>1019</v>
      </c>
      <c r="D246" s="3" t="s">
        <v>1020</v>
      </c>
      <c r="E246" s="3" t="s">
        <v>1021</v>
      </c>
      <c r="F246" s="3" t="s">
        <v>1022</v>
      </c>
      <c r="G246" s="3" t="str">
        <f ca="1">IFERROR(__xludf.DUMMYFUNCTION("googletranslate(D246,""en"",""ja"")"),"2-アミノナフタレン; 2-ナフチルアミン")</f>
        <v>2-アミノナフタレン; 2-ナフチルアミン</v>
      </c>
      <c r="H246" s="3" t="str">
        <f ca="1">IFERROR(__xludf.DUMMYFUNCTION("googletranslate(E246,""en"",""ja"")"),"試料中の 2-アミノナフタレンの測定。")</f>
        <v>試料中の 2-アミノナフタレンの測定。</v>
      </c>
      <c r="I246" s="3" t="str">
        <f ca="1">IFERROR(__xludf.DUMMYFUNCTION("googletranslate(F246,""en"",""ja"")"),"2-アミノナフタレンの測定")</f>
        <v>2-アミノナフタレンの測定</v>
      </c>
    </row>
    <row r="247" spans="1:9" ht="30">
      <c r="A247" s="3" t="s">
        <v>6</v>
      </c>
      <c r="B247" s="3" t="s">
        <v>1023</v>
      </c>
      <c r="C247" s="3" t="s">
        <v>1024</v>
      </c>
      <c r="D247" s="3" t="s">
        <v>1025</v>
      </c>
      <c r="E247" s="3" t="s">
        <v>1026</v>
      </c>
      <c r="F247" s="3" t="s">
        <v>1027</v>
      </c>
      <c r="G247" s="3" t="str">
        <f ca="1">IFERROR(__xludf.DUMMYFUNCTION("googletranslate(D247,""en"",""ja"")"),"非晶質の破片。非晶質の堆積物")</f>
        <v>非晶質の破片。非晶質の堆積物</v>
      </c>
      <c r="H247" s="3" t="str">
        <f ca="1">IFERROR(__xludf.DUMMYFUNCTION("googletranslate(E247,""en"",""ja"")"),"生物学的標本中に存在する非晶質の沈殿物の測定。")</f>
        <v>生物学的標本中に存在する非晶質の沈殿物の測定。</v>
      </c>
      <c r="I247" s="3" t="str">
        <f ca="1">IFERROR(__xludf.DUMMYFUNCTION("googletranslate(F247,""en"",""ja"")"),"非晶質堆積物の測定")</f>
        <v>非晶質堆積物の測定</v>
      </c>
    </row>
    <row r="248" spans="1:9" ht="30">
      <c r="A248" s="3" t="s">
        <v>6</v>
      </c>
      <c r="B248" s="3" t="s">
        <v>1028</v>
      </c>
      <c r="C248" s="3" t="s">
        <v>1029</v>
      </c>
      <c r="D248" s="3" t="s">
        <v>1030</v>
      </c>
      <c r="E248" s="3" t="s">
        <v>1031</v>
      </c>
      <c r="F248" s="3" t="s">
        <v>1032</v>
      </c>
      <c r="G248" s="3" t="str">
        <f ca="1">IFERROR(__xludf.DUMMYFUNCTION("googletranslate(D248,""en"",""ja"")"),"アルファ-メチルフェネチルアミン;アンフェタミン")</f>
        <v>アルファ-メチルフェネチルアミン;アンフェタミン</v>
      </c>
      <c r="H248" s="3" t="str">
        <f ca="1">IFERROR(__xludf.DUMMYFUNCTION("googletranslate(E248,""en"",""ja"")"),"生物学的標本中のα-メチルフェネチルアミンの測定。")</f>
        <v>生物学的標本中のα-メチルフェネチルアミンの測定。</v>
      </c>
      <c r="I248" s="3" t="str">
        <f ca="1">IFERROR(__xludf.DUMMYFUNCTION("googletranslate(F248,""en"",""ja"")"),"アンフェタミンの測定")</f>
        <v>アンフェタミンの測定</v>
      </c>
    </row>
    <row r="249" spans="1:9" ht="30">
      <c r="A249" s="3" t="s">
        <v>6</v>
      </c>
      <c r="B249" s="3" t="s">
        <v>1033</v>
      </c>
      <c r="C249" s="3" t="s">
        <v>1034</v>
      </c>
      <c r="D249" s="3" t="s">
        <v>1035</v>
      </c>
      <c r="E249" s="3" t="s">
        <v>1036</v>
      </c>
      <c r="F249" s="3" t="s">
        <v>1037</v>
      </c>
      <c r="G249" s="3" t="str">
        <f ca="1">IFERROR(__xludf.DUMMYFUNCTION("googletranslate(D249,""en"",""ja"")"),"アンフェタミン;アンフェタミン")</f>
        <v>アンフェタミン;アンフェタミン</v>
      </c>
      <c r="H249" s="3" t="str">
        <f ca="1">IFERROR(__xludf.DUMMYFUNCTION("googletranslate(E249,""en"",""ja"")"),"生物学的検体中に存在するアンフェタミン系薬物の測定。")</f>
        <v>生物学的検体中に存在するアンフェタミン系薬物の測定。</v>
      </c>
      <c r="I249" s="3" t="str">
        <f ca="1">IFERROR(__xludf.DUMMYFUNCTION("googletranslate(F249,""en"",""ja"")"),"アンフェタミン薬物クラスの測定")</f>
        <v>アンフェタミン薬物クラスの測定</v>
      </c>
    </row>
    <row r="250" spans="1:9" ht="30">
      <c r="A250" s="3" t="s">
        <v>6</v>
      </c>
      <c r="B250" s="3" t="s">
        <v>1038</v>
      </c>
      <c r="C250" s="3" t="s">
        <v>1039</v>
      </c>
      <c r="D250" s="3" t="s">
        <v>1040</v>
      </c>
      <c r="E250" s="3" t="s">
        <v>1041</v>
      </c>
      <c r="F250" s="3" t="s">
        <v>1042</v>
      </c>
      <c r="G250" s="3" t="str">
        <f ca="1">IFERROR(__xludf.DUMMYFUNCTION("googletranslate(D250,""en"",""ja"")"),"d-アンフェタミン;デキストロアンフェタミン")</f>
        <v>d-アンフェタミン;デキストロアンフェタミン</v>
      </c>
      <c r="H250" s="3" t="str">
        <f ca="1">IFERROR(__xludf.DUMMYFUNCTION("googletranslate(E250,""en"",""ja"")"),"生物学的標本中のデキストロアンフェタミンの測定。")</f>
        <v>生物学的標本中のデキストロアンフェタミンの測定。</v>
      </c>
      <c r="I250" s="3" t="str">
        <f ca="1">IFERROR(__xludf.DUMMYFUNCTION("googletranslate(F250,""en"",""ja"")"),"デキストロアンフェタミンの測定")</f>
        <v>デキストロアンフェタミンの測定</v>
      </c>
    </row>
    <row r="251" spans="1:9" ht="30">
      <c r="A251" s="3" t="s">
        <v>6</v>
      </c>
      <c r="B251" s="3" t="s">
        <v>1043</v>
      </c>
      <c r="C251" s="3" t="s">
        <v>1044</v>
      </c>
      <c r="D251" s="3" t="s">
        <v>1044</v>
      </c>
      <c r="E251" s="3" t="s">
        <v>1045</v>
      </c>
      <c r="F251" s="3" t="s">
        <v>1046</v>
      </c>
      <c r="G251" s="3" t="str">
        <f ca="1">IFERROR(__xludf.DUMMYFUNCTION("googletranslate(D251,""en"",""ja"")"),"アミラーゼ")</f>
        <v>アミラーゼ</v>
      </c>
      <c r="H251" s="3" t="str">
        <f ca="1">IFERROR(__xludf.DUMMYFUNCTION("googletranslate(E251,""en"",""ja"")"),"生物学的標本中の総酵素アミラーゼの測定。")</f>
        <v>生物学的標本中の総酵素アミラーゼの測定。</v>
      </c>
      <c r="I251" s="3" t="str">
        <f ca="1">IFERROR(__xludf.DUMMYFUNCTION("googletranslate(F251,""en"",""ja"")"),"アミラーゼ測定")</f>
        <v>アミラーゼ測定</v>
      </c>
    </row>
    <row r="252" spans="1:9">
      <c r="A252" s="3" t="s">
        <v>6</v>
      </c>
      <c r="B252" s="3" t="s">
        <v>1047</v>
      </c>
      <c r="C252" s="3" t="s">
        <v>1048</v>
      </c>
      <c r="D252" s="3" t="s">
        <v>1048</v>
      </c>
      <c r="E252" s="3" t="s">
        <v>1049</v>
      </c>
      <c r="F252" s="3" t="s">
        <v>1050</v>
      </c>
      <c r="G252" s="3" t="str">
        <f ca="1">IFERROR(__xludf.DUMMYFUNCTION("googletranslate(D252,""en"",""ja"")"),"マクロアミラーゼ")</f>
        <v>マクロアミラーゼ</v>
      </c>
      <c r="H252" s="3" t="str">
        <f ca="1">IFERROR(__xludf.DUMMYFUNCTION("googletranslate(E252,""en"",""ja"")"),"生物学的標本中のマクロアミラーゼの測定。")</f>
        <v>生物学的標本中のマクロアミラーゼの測定。</v>
      </c>
      <c r="I252" s="3" t="str">
        <f ca="1">IFERROR(__xludf.DUMMYFUNCTION("googletranslate(F252,""en"",""ja"")"),"マクロアミラーゼの測定")</f>
        <v>マクロアミラーゼの測定</v>
      </c>
    </row>
    <row r="253" spans="1:9" ht="30">
      <c r="A253" s="3" t="s">
        <v>6</v>
      </c>
      <c r="B253" s="3" t="s">
        <v>1051</v>
      </c>
      <c r="C253" s="3" t="s">
        <v>1052</v>
      </c>
      <c r="D253" s="3" t="s">
        <v>1053</v>
      </c>
      <c r="E253" s="3" t="s">
        <v>1054</v>
      </c>
      <c r="F253" s="3" t="s">
        <v>1055</v>
      </c>
      <c r="G253" s="3" t="str">
        <f ca="1">IFERROR(__xludf.DUMMYFUNCTION("googletranslate(D253,""en"",""ja"")"),"アミラーゼ、膵臓。膵臓アミラーゼアイソザイム")</f>
        <v>アミラーゼ、膵臓。膵臓アミラーゼアイソザイム</v>
      </c>
      <c r="H253" s="3" t="str">
        <f ca="1">IFERROR(__xludf.DUMMYFUNCTION("googletranslate(E253,""en"",""ja"")"),"生物学的標本中の膵臓酵素アミラーゼの測定。")</f>
        <v>生物学的標本中の膵臓酵素アミラーゼの測定。</v>
      </c>
      <c r="I253" s="3" t="str">
        <f ca="1">IFERROR(__xludf.DUMMYFUNCTION("googletranslate(F253,""en"",""ja"")"),"膵臓アミラーゼ測定")</f>
        <v>膵臓アミラーゼ測定</v>
      </c>
    </row>
    <row r="254" spans="1:9" ht="30">
      <c r="A254" s="3" t="s">
        <v>6</v>
      </c>
      <c r="B254" s="3" t="s">
        <v>1056</v>
      </c>
      <c r="C254" s="3" t="s">
        <v>1057</v>
      </c>
      <c r="D254" s="3" t="s">
        <v>1058</v>
      </c>
      <c r="E254" s="3" t="s">
        <v>1059</v>
      </c>
      <c r="F254" s="3" t="s">
        <v>1060</v>
      </c>
      <c r="G254" s="3" t="str">
        <f ca="1">IFERROR(__xludf.DUMMYFUNCTION("googletranslate(D254,""en"",""ja"")"),"アミラーゼ、唾液;唾液アミラーゼアイソザイム")</f>
        <v>アミラーゼ、唾液;唾液アミラーゼアイソザイム</v>
      </c>
      <c r="H254" s="3" t="str">
        <f ca="1">IFERROR(__xludf.DUMMYFUNCTION("googletranslate(E254,""en"",""ja"")"),"生物学的標本中の唾液酵素アミラーゼの測定。")</f>
        <v>生物学的標本中の唾液酵素アミラーゼの測定。</v>
      </c>
      <c r="I254" s="3" t="str">
        <f ca="1">IFERROR(__xludf.DUMMYFUNCTION("googletranslate(F254,""en"",""ja"")"),"唾液アミラーゼ測定")</f>
        <v>唾液アミラーゼ測定</v>
      </c>
    </row>
    <row r="255" spans="1:9" ht="45">
      <c r="A255" s="3" t="s">
        <v>6</v>
      </c>
      <c r="B255" s="3" t="s">
        <v>1061</v>
      </c>
      <c r="C255" s="3" t="s">
        <v>1062</v>
      </c>
      <c r="D255" s="3" t="s">
        <v>1063</v>
      </c>
      <c r="E255" s="3" t="s">
        <v>1064</v>
      </c>
      <c r="F255" s="3" t="s">
        <v>1065</v>
      </c>
      <c r="G255" s="3" t="str">
        <f ca="1">IFERROR(__xludf.DUMMYFUNCTION("googletranslate(D255,""en"",""ja"")"),"アミロイドベータ1-38;アミロイドベータ38;アミロイドベータ38タンパク質")</f>
        <v>アミロイドベータ1-38;アミロイドベータ38;アミロイドベータ38タンパク質</v>
      </c>
      <c r="H255" s="3" t="str">
        <f ca="1">IFERROR(__xludf.DUMMYFUNCTION("googletranslate(E255,""en"",""ja"")"),"生物学的検体中のペプチド 1 ～ 38 で構成されるアミロイド ベータ タンパク質の測定。")</f>
        <v>生物学的検体中のペプチド 1 ～ 38 で構成されるアミロイド ベータ タンパク質の測定。</v>
      </c>
      <c r="I255" s="3" t="str">
        <f ca="1">IFERROR(__xludf.DUMMYFUNCTION("googletranslate(F255,""en"",""ja"")"),"アミロイドベータ1-38の測定")</f>
        <v>アミロイドベータ1-38の測定</v>
      </c>
    </row>
    <row r="256" spans="1:9" ht="45">
      <c r="A256" s="3" t="s">
        <v>6</v>
      </c>
      <c r="B256" s="3" t="s">
        <v>1066</v>
      </c>
      <c r="C256" s="3" t="s">
        <v>1067</v>
      </c>
      <c r="D256" s="3" t="s">
        <v>1068</v>
      </c>
      <c r="E256" s="3" t="s">
        <v>1069</v>
      </c>
      <c r="F256" s="3" t="s">
        <v>1070</v>
      </c>
      <c r="G256" s="3" t="str">
        <f ca="1">IFERROR(__xludf.DUMMYFUNCTION("googletranslate(D256,""en"",""ja"")"),"アミロイドベータ1-40;アミロイドベータ40;アミロイドベータ40タンパク質")</f>
        <v>アミロイドベータ1-40;アミロイドベータ40;アミロイドベータ40タンパク質</v>
      </c>
      <c r="H256" s="3" t="str">
        <f ca="1">IFERROR(__xludf.DUMMYFUNCTION("googletranslate(E256,""en"",""ja"")"),"生物学的検体中のペプチド 1 ～ 40 で構成されるアミロイド ベータ タンパク質の測定。")</f>
        <v>生物学的検体中のペプチド 1 ～ 40 で構成されるアミロイド ベータ タンパク質の測定。</v>
      </c>
      <c r="I256" s="3" t="str">
        <f ca="1">IFERROR(__xludf.DUMMYFUNCTION("googletranslate(F256,""en"",""ja"")"),"アミロイドベータ1-40の測定")</f>
        <v>アミロイドベータ1-40の測定</v>
      </c>
    </row>
    <row r="257" spans="1:9" ht="45">
      <c r="A257" s="3" t="s">
        <v>6</v>
      </c>
      <c r="B257" s="3" t="s">
        <v>1071</v>
      </c>
      <c r="C257" s="3" t="s">
        <v>1072</v>
      </c>
      <c r="D257" s="3" t="s">
        <v>1073</v>
      </c>
      <c r="E257" s="3" t="s">
        <v>1074</v>
      </c>
      <c r="F257" s="3" t="s">
        <v>1075</v>
      </c>
      <c r="G257" s="3" t="str">
        <f ca="1">IFERROR(__xludf.DUMMYFUNCTION("googletranslate(D257,""en"",""ja"")"),"アミロイドベータ1-41;アミロイドベータ41;アミロイドベータ41タンパク質")</f>
        <v>アミロイドベータ1-41;アミロイドベータ41;アミロイドベータ41タンパク質</v>
      </c>
      <c r="H257" s="3" t="str">
        <f ca="1">IFERROR(__xludf.DUMMYFUNCTION("googletranslate(E257,""en"",""ja"")"),"生物学的検体中のペプチド 1 ～ 41 で構成されるアミロイド ベータ タンパク質の測定。")</f>
        <v>生物学的検体中のペプチド 1 ～ 41 で構成されるアミロイド ベータ タンパク質の測定。</v>
      </c>
      <c r="I257" s="3" t="str">
        <f ca="1">IFERROR(__xludf.DUMMYFUNCTION("googletranslate(F257,""en"",""ja"")"),"アミロイドベータ1-41の測定")</f>
        <v>アミロイドベータ1-41の測定</v>
      </c>
    </row>
    <row r="258" spans="1:9" ht="45">
      <c r="A258" s="3" t="s">
        <v>6</v>
      </c>
      <c r="B258" s="3" t="s">
        <v>1076</v>
      </c>
      <c r="C258" s="3" t="s">
        <v>1077</v>
      </c>
      <c r="D258" s="3" t="s">
        <v>1078</v>
      </c>
      <c r="E258" s="3" t="s">
        <v>1079</v>
      </c>
      <c r="F258" s="3" t="s">
        <v>1080</v>
      </c>
      <c r="G258" s="3" t="str">
        <f ca="1">IFERROR(__xludf.DUMMYFUNCTION("googletranslate(D258,""en"",""ja"")"),"アミロイドベータ1-42;アミロイドベータ42;アミロイドベータ42タンパク質")</f>
        <v>アミロイドベータ1-42;アミロイドベータ42;アミロイドベータ42タンパク質</v>
      </c>
      <c r="H258" s="3" t="str">
        <f ca="1">IFERROR(__xludf.DUMMYFUNCTION("googletranslate(E258,""en"",""ja"")"),"生物学的検体中のペプチド 1 ～ 42 で構成されるアミロイド ベータ タンパク質の測定。")</f>
        <v>生物学的検体中のペプチド 1 ～ 42 で構成されるアミロイド ベータ タンパク質の測定。</v>
      </c>
      <c r="I258" s="3" t="str">
        <f ca="1">IFERROR(__xludf.DUMMYFUNCTION("googletranslate(F258,""en"",""ja"")"),"ベータアミロイド42の測定")</f>
        <v>ベータアミロイド42の測定</v>
      </c>
    </row>
    <row r="259" spans="1:9" ht="30">
      <c r="A259" s="3" t="s">
        <v>6</v>
      </c>
      <c r="B259" s="3" t="s">
        <v>1081</v>
      </c>
      <c r="C259" s="3" t="s">
        <v>1082</v>
      </c>
      <c r="D259" s="3" t="s">
        <v>1082</v>
      </c>
      <c r="E259" s="3" t="s">
        <v>1083</v>
      </c>
      <c r="F259" s="3" t="s">
        <v>1084</v>
      </c>
      <c r="G259" s="3" t="str">
        <f ca="1">IFERROR(__xludf.DUMMYFUNCTION("googletranslate(D259,""en"",""ja"")"),"アミロイドA")</f>
        <v>アミロイドA</v>
      </c>
      <c r="H259" s="3" t="str">
        <f ca="1">IFERROR(__xludf.DUMMYFUNCTION("googletranslate(E259,""en"",""ja"")"),"生物学的標本中の総アミロイド A の測定。")</f>
        <v>生物学的標本中の総アミロイド A の測定。</v>
      </c>
      <c r="I259" s="3" t="str">
        <f ca="1">IFERROR(__xludf.DUMMYFUNCTION("googletranslate(F259,""en"",""ja"")"),"アミロイドAの測定")</f>
        <v>アミロイドAの測定</v>
      </c>
    </row>
    <row r="260" spans="1:9" ht="30">
      <c r="A260" s="3" t="s">
        <v>6</v>
      </c>
      <c r="B260" s="3" t="s">
        <v>1085</v>
      </c>
      <c r="C260" s="3" t="s">
        <v>1086</v>
      </c>
      <c r="D260" s="3" t="s">
        <v>1087</v>
      </c>
      <c r="E260" s="3" t="s">
        <v>1088</v>
      </c>
      <c r="F260" s="3" t="s">
        <v>1089</v>
      </c>
      <c r="G260" s="3" t="str">
        <f ca="1">IFERROR(__xludf.DUMMYFUNCTION("googletranslate(D260,""en"",""ja"")"),"アミロイド、ベータ。ベータアミロイド")</f>
        <v>アミロイド、ベータ。ベータアミロイド</v>
      </c>
      <c r="H260" s="3" t="str">
        <f ca="1">IFERROR(__xludf.DUMMYFUNCTION("googletranslate(E260,""en"",""ja"")"),"生物学的標本中の総アミロイド ベータの測定。")</f>
        <v>生物学的標本中の総アミロイド ベータの測定。</v>
      </c>
      <c r="I260" s="3" t="str">
        <f ca="1">IFERROR(__xludf.DUMMYFUNCTION("googletranslate(F260,""en"",""ja"")"),"βアミロイド測定")</f>
        <v>βアミロイド測定</v>
      </c>
    </row>
    <row r="261" spans="1:9" ht="30">
      <c r="A261" s="3" t="s">
        <v>6</v>
      </c>
      <c r="B261" s="3" t="s">
        <v>1090</v>
      </c>
      <c r="C261" s="3" t="s">
        <v>1091</v>
      </c>
      <c r="D261" s="3" t="s">
        <v>1092</v>
      </c>
      <c r="E261" s="3" t="s">
        <v>1093</v>
      </c>
      <c r="F261" s="3" t="s">
        <v>1094</v>
      </c>
      <c r="G261" s="3" t="str">
        <f ca="1">IFERROR(__xludf.DUMMYFUNCTION("googletranslate(D261,""en"",""ja"")"),"アミロイドP;アミロイドP成分; SAP;血清アミロイドP成分")</f>
        <v>アミロイドP;アミロイドP成分; SAP;血清アミロイドP成分</v>
      </c>
      <c r="H261" s="3" t="str">
        <f ca="1">IFERROR(__xludf.DUMMYFUNCTION("googletranslate(E261,""en"",""ja"")"),"生物学的標本中の総アミロイド P の測定。")</f>
        <v>生物学的標本中の総アミロイド P の測定。</v>
      </c>
      <c r="I261" s="3" t="str">
        <f ca="1">IFERROR(__xludf.DUMMYFUNCTION("googletranslate(F261,""en"",""ja"")"),"アミロイドPの測定")</f>
        <v>アミロイドPの測定</v>
      </c>
    </row>
    <row r="262" spans="1:9" ht="30">
      <c r="A262" s="3" t="s">
        <v>180</v>
      </c>
      <c r="B262" s="3" t="s">
        <v>1095</v>
      </c>
      <c r="C262" s="3" t="s">
        <v>1096</v>
      </c>
      <c r="D262" s="3" t="s">
        <v>1097</v>
      </c>
      <c r="E262" s="3" t="s">
        <v>1098</v>
      </c>
      <c r="F262" s="3" t="s">
        <v>1099</v>
      </c>
      <c r="G262" s="3" t="str">
        <f ca="1">IFERROR(__xludf.DUMMYFUNCTION("googletranslate(D262,""en"",""ja"")"),"抗好中球抗体;抗好中球自己抗体")</f>
        <v>抗好中球抗体;抗好中球自己抗体</v>
      </c>
      <c r="H262" s="3" t="str">
        <f ca="1">IFERROR(__xludf.DUMMYFUNCTION("googletranslate(E262,""en"",""ja"")"),"生物学的検体中の総抗好中球抗体の測定。")</f>
        <v>生物学的検体中の総抗好中球抗体の測定。</v>
      </c>
      <c r="I262" s="3" t="str">
        <f ca="1">IFERROR(__xludf.DUMMYFUNCTION("googletranslate(F262,""en"",""ja"")"),"抗好中球抗体測定")</f>
        <v>抗好中球抗体測定</v>
      </c>
    </row>
    <row r="263" spans="1:9">
      <c r="A263" s="3" t="s">
        <v>6</v>
      </c>
      <c r="B263" s="3" t="s">
        <v>1100</v>
      </c>
      <c r="C263" s="3" t="s">
        <v>1101</v>
      </c>
      <c r="D263" s="3" t="s">
        <v>1101</v>
      </c>
      <c r="E263" s="3" t="s">
        <v>1102</v>
      </c>
      <c r="F263" s="3" t="s">
        <v>1103</v>
      </c>
      <c r="G263" s="3" t="str">
        <f ca="1">IFERROR(__xludf.DUMMYFUNCTION("googletranslate(D263,""en"",""ja"")"),"アナバシン")</f>
        <v>アナバシン</v>
      </c>
      <c r="H263" s="3" t="str">
        <f ca="1">IFERROR(__xludf.DUMMYFUNCTION("googletranslate(E263,""en"",""ja"")"),"標本中のアナバシンの測定。")</f>
        <v>標本中のアナバシンの測定。</v>
      </c>
      <c r="I263" s="3" t="str">
        <f ca="1">IFERROR(__xludf.DUMMYFUNCTION("googletranslate(F263,""en"",""ja"")"),"アナバシン測定")</f>
        <v>アナバシン測定</v>
      </c>
    </row>
    <row r="264" spans="1:9">
      <c r="A264" s="3" t="s">
        <v>51</v>
      </c>
      <c r="B264" s="3" t="s">
        <v>1104</v>
      </c>
      <c r="C264" s="3" t="s">
        <v>1101</v>
      </c>
      <c r="D264" s="3" t="s">
        <v>1101</v>
      </c>
      <c r="E264" s="3" t="s">
        <v>1102</v>
      </c>
      <c r="F264" s="3" t="s">
        <v>1103</v>
      </c>
      <c r="G264" s="3" t="str">
        <f ca="1">IFERROR(__xludf.DUMMYFUNCTION("googletranslate(D264,""en"",""ja"")"),"アナバシン")</f>
        <v>アナバシン</v>
      </c>
      <c r="H264" s="3" t="str">
        <f ca="1">IFERROR(__xludf.DUMMYFUNCTION("googletranslate(E264,""en"",""ja"")"),"標本中のアナバシンの測定。")</f>
        <v>標本中のアナバシンの測定。</v>
      </c>
      <c r="I264" s="3" t="str">
        <f ca="1">IFERROR(__xludf.DUMMYFUNCTION("googletranslate(F264,""en"",""ja"")"),"アナバシン測定")</f>
        <v>アナバシン測定</v>
      </c>
    </row>
    <row r="265" spans="1:9" ht="30">
      <c r="A265" s="3" t="s">
        <v>6</v>
      </c>
      <c r="B265" s="3" t="s">
        <v>1105</v>
      </c>
      <c r="C265" s="3" t="s">
        <v>1106</v>
      </c>
      <c r="D265" s="3" t="s">
        <v>1106</v>
      </c>
      <c r="E265" s="3" t="s">
        <v>1107</v>
      </c>
      <c r="F265" s="3" t="s">
        <v>1108</v>
      </c>
      <c r="G265" s="3" t="str">
        <f ca="1">IFERROR(__xludf.DUMMYFUNCTION("googletranslate(D265,""en"",""ja"")"),"α-N-アセチルグルコサミニダーゼ")</f>
        <v>α-N-アセチルグルコサミニダーゼ</v>
      </c>
      <c r="H265" s="3" t="str">
        <f ca="1">IFERROR(__xludf.DUMMYFUNCTION("googletranslate(E265,""en"",""ja"")"),"生物学的標本中のα-N-アセチルグルコサミニダーゼの測定。")</f>
        <v>生物学的標本中のα-N-アセチルグルコサミニダーゼの測定。</v>
      </c>
      <c r="I265" s="3" t="str">
        <f ca="1">IFERROR(__xludf.DUMMYFUNCTION("googletranslate(F265,""en"",""ja"")"),"α-N-アセチルグルコサミニダーゼの測定")</f>
        <v>α-N-アセチルグルコサミニダーゼの測定</v>
      </c>
    </row>
    <row r="266" spans="1:9" ht="30">
      <c r="A266" s="3" t="s">
        <v>67</v>
      </c>
      <c r="B266" s="3" t="s">
        <v>1109</v>
      </c>
      <c r="C266" s="3" t="s">
        <v>1110</v>
      </c>
      <c r="D266" s="3" t="s">
        <v>1110</v>
      </c>
      <c r="E266" s="3" t="s">
        <v>1111</v>
      </c>
      <c r="F266" s="3" t="s">
        <v>1112</v>
      </c>
      <c r="G266" s="3" t="str">
        <f ca="1">IFERROR(__xludf.DUMMYFUNCTION("googletranslate(D266,""en"",""ja"")"),"アナプラズマ DNA")</f>
        <v>アナプラズマ DNA</v>
      </c>
      <c r="H266" s="3" t="str">
        <f ca="1">IFERROR(__xludf.DUMMYFUNCTION("googletranslate(E266,""en"",""ja"")"),"生物学的標本中のアナプラズマ属のメンバーからの DNA の測定。")</f>
        <v>生物学的標本中のアナプラズマ属のメンバーからの DNA の測定。</v>
      </c>
      <c r="I266" s="3" t="str">
        <f ca="1">IFERROR(__xludf.DUMMYFUNCTION("googletranslate(F266,""en"",""ja"")"),"アナプラズマDNA測定")</f>
        <v>アナプラズマDNA測定</v>
      </c>
    </row>
    <row r="267" spans="1:9" ht="45">
      <c r="A267" s="3" t="s">
        <v>67</v>
      </c>
      <c r="B267" s="3" t="s">
        <v>1113</v>
      </c>
      <c r="C267" s="3" t="s">
        <v>1114</v>
      </c>
      <c r="D267" s="3" t="s">
        <v>1114</v>
      </c>
      <c r="E267" s="3" t="s">
        <v>1115</v>
      </c>
      <c r="F267" s="3" t="s">
        <v>1116</v>
      </c>
      <c r="G267" s="3" t="str">
        <f ca="1">IFERROR(__xludf.DUMMYFUNCTION("googletranslate(D267,""en"",""ja"")"),"アナプラズマ")</f>
        <v>アナプラズマ</v>
      </c>
      <c r="H267" s="3" t="str">
        <f ca="1">IFERROR(__xludf.DUMMYFUNCTION("googletranslate(E267,""en"",""ja"")"),"生物学的標本において、種レベルには割り当てられていないが、アナプラズマ属レベルに割り当てられている生物の測定値。")</f>
        <v>生物学的標本において、種レベルには割り当てられていないが、アナプラズマ属レベルに割り当てられている生物の測定値。</v>
      </c>
      <c r="I267" s="3" t="str">
        <f ca="1">IFERROR(__xludf.DUMMYFUNCTION("googletranslate(F267,""en"",""ja"")"),"アナプラズマ測定")</f>
        <v>アナプラズマ測定</v>
      </c>
    </row>
    <row r="268" spans="1:9" ht="30">
      <c r="A268" s="3" t="s">
        <v>67</v>
      </c>
      <c r="B268" s="3" t="s">
        <v>1117</v>
      </c>
      <c r="C268" s="3" t="s">
        <v>1118</v>
      </c>
      <c r="D268" s="3" t="s">
        <v>1118</v>
      </c>
      <c r="E268" s="3" t="s">
        <v>1119</v>
      </c>
      <c r="F268" s="3" t="s">
        <v>1120</v>
      </c>
      <c r="G268" s="3" t="str">
        <f ca="1">IFERROR(__xludf.DUMMYFUNCTION("googletranslate(D268,""en"",""ja"")"),"嫌気性菌")</f>
        <v>嫌気性菌</v>
      </c>
      <c r="H268" s="3" t="str">
        <f ca="1">IFERROR(__xludf.DUMMYFUNCTION("googletranslate(E268,""en"",""ja"")"),"生体試料中の嫌気性細菌の測定。")</f>
        <v>生体試料中の嫌気性細菌の測定。</v>
      </c>
      <c r="I268" s="3" t="str">
        <f ca="1">IFERROR(__xludf.DUMMYFUNCTION("googletranslate(F268,""en"",""ja"")"),"嫌気性菌の測定")</f>
        <v>嫌気性菌の測定</v>
      </c>
    </row>
    <row r="269" spans="1:9">
      <c r="A269" s="3" t="s">
        <v>51</v>
      </c>
      <c r="B269" s="3" t="s">
        <v>1121</v>
      </c>
      <c r="C269" s="3" t="s">
        <v>1122</v>
      </c>
      <c r="D269" s="3" t="s">
        <v>1122</v>
      </c>
      <c r="E269" s="3" t="s">
        <v>1123</v>
      </c>
      <c r="F269" s="3" t="s">
        <v>1124</v>
      </c>
      <c r="G269" s="3" t="str">
        <f ca="1">IFERROR(__xludf.DUMMYFUNCTION("googletranslate(D269,""en"",""ja"")"),"アナタビン")</f>
        <v>アナタビン</v>
      </c>
      <c r="H269" s="3" t="str">
        <f ca="1">IFERROR(__xludf.DUMMYFUNCTION("googletranslate(E269,""en"",""ja"")"),"標本中のアナタビンの測定。")</f>
        <v>標本中のアナタビンの測定。</v>
      </c>
      <c r="I269" s="3" t="str">
        <f ca="1">IFERROR(__xludf.DUMMYFUNCTION("googletranslate(F269,""en"",""ja"")"),"アナタビン測定")</f>
        <v>アナタビン測定</v>
      </c>
    </row>
    <row r="270" spans="1:9" ht="45">
      <c r="A270" s="3" t="s">
        <v>180</v>
      </c>
      <c r="B270" s="3" t="s">
        <v>1125</v>
      </c>
      <c r="C270" s="3" t="s">
        <v>1126</v>
      </c>
      <c r="D270" s="3" t="s">
        <v>1127</v>
      </c>
      <c r="E270" s="3" t="s">
        <v>1128</v>
      </c>
      <c r="F270" s="3" t="s">
        <v>1129</v>
      </c>
      <c r="G270" s="3" t="str">
        <f ca="1">IFERROR(__xludf.DUMMYFUNCTION("googletranslate(D270,""en"",""ja"")"),"抗好中球細胞質抗体;抗好中球細胞質自己抗体")</f>
        <v>抗好中球細胞質抗体;抗好中球細胞質自己抗体</v>
      </c>
      <c r="H270" s="3" t="str">
        <f ca="1">IFERROR(__xludf.DUMMYFUNCTION("googletranslate(E270,""en"",""ja"")"),"生物学的検体中の抗好中球細胞質抗体の測定。")</f>
        <v>生物学的検体中の抗好中球細胞質抗体の測定。</v>
      </c>
      <c r="I270" s="3" t="str">
        <f ca="1">IFERROR(__xludf.DUMMYFUNCTION("googletranslate(F270,""en"",""ja"")"),"抗好中球細胞質抗体の測定")</f>
        <v>抗好中球細胞質抗体の測定</v>
      </c>
    </row>
    <row r="271" spans="1:9" ht="45">
      <c r="A271" s="3" t="s">
        <v>180</v>
      </c>
      <c r="B271" s="3" t="s">
        <v>1130</v>
      </c>
      <c r="C271" s="3" t="s">
        <v>1131</v>
      </c>
      <c r="D271" s="3" t="s">
        <v>1132</v>
      </c>
      <c r="E271" s="3" t="s">
        <v>1133</v>
      </c>
      <c r="F271" s="3" t="s">
        <v>1134</v>
      </c>
      <c r="G271" s="3" t="str">
        <f ca="1">IFERROR(__xludf.DUMMYFUNCTION("googletranslate(D271,""en"",""ja"")"),"抗好中球細胞質 IgG 抗体;抗好中球細胞質 IgG 自己抗体")</f>
        <v>抗好中球細胞質 IgG 抗体;抗好中球細胞質 IgG 自己抗体</v>
      </c>
      <c r="H271" s="3" t="str">
        <f ca="1">IFERROR(__xludf.DUMMYFUNCTION("googletranslate(E271,""en"",""ja"")"),"生物学的検体中の抗好中球細胞質 IgG 抗体の測定。")</f>
        <v>生物学的検体中の抗好中球細胞質 IgG 抗体の測定。</v>
      </c>
      <c r="I271" s="3" t="str">
        <f ca="1">IFERROR(__xludf.DUMMYFUNCTION("googletranslate(F271,""en"",""ja"")"),"抗好中球細胞質IgG抗体測定")</f>
        <v>抗好中球細胞質IgG抗体測定</v>
      </c>
    </row>
    <row r="272" spans="1:9" ht="30">
      <c r="A272" s="3" t="s">
        <v>6</v>
      </c>
      <c r="B272" s="3" t="s">
        <v>1135</v>
      </c>
      <c r="C272" s="3" t="s">
        <v>1136</v>
      </c>
      <c r="D272" s="3" t="s">
        <v>1136</v>
      </c>
      <c r="E272" s="3" t="s">
        <v>1137</v>
      </c>
      <c r="F272" s="3" t="s">
        <v>1138</v>
      </c>
      <c r="G272" s="3" t="str">
        <f ca="1">IFERROR(__xludf.DUMMYFUNCTION("googletranslate(D272,""en"",""ja"")"),"アンドロステンジオール")</f>
        <v>アンドロステンジオール</v>
      </c>
      <c r="H272" s="3" t="str">
        <f ca="1">IFERROR(__xludf.DUMMYFUNCTION("googletranslate(E272,""en"",""ja"")"),"生物学的標本中のアンドロステンジオール代謝産物の測定。")</f>
        <v>生物学的標本中のアンドロステンジオール代謝産物の測定。</v>
      </c>
      <c r="I272" s="3" t="str">
        <f ca="1">IFERROR(__xludf.DUMMYFUNCTION("googletranslate(F272,""en"",""ja"")"),"アンドロステンジオール代謝物測定")</f>
        <v>アンドロステンジオール代謝物測定</v>
      </c>
    </row>
    <row r="273" spans="1:9" ht="30">
      <c r="A273" s="3" t="s">
        <v>6</v>
      </c>
      <c r="B273" s="3" t="s">
        <v>1139</v>
      </c>
      <c r="C273" s="3" t="s">
        <v>1140</v>
      </c>
      <c r="D273" s="3" t="s">
        <v>1141</v>
      </c>
      <c r="E273" s="3" t="s">
        <v>1142</v>
      </c>
      <c r="F273" s="3" t="s">
        <v>1143</v>
      </c>
      <c r="G273" s="3" t="str">
        <f ca="1">IFERROR(__xludf.DUMMYFUNCTION("googletranslate(D273,""en"",""ja"")"),"4-アンドロステンジオン;アンドロステンジオン")</f>
        <v>4-アンドロステンジオン;アンドロステンジオン</v>
      </c>
      <c r="H273" s="3" t="str">
        <f ca="1">IFERROR(__xludf.DUMMYFUNCTION("googletranslate(E273,""en"",""ja"")"),"生物学的標本中のアンドロステンジオン ホルモンの測定。")</f>
        <v>生物学的標本中のアンドロステンジオン ホルモンの測定。</v>
      </c>
      <c r="I273" s="3" t="str">
        <f ca="1">IFERROR(__xludf.DUMMYFUNCTION("googletranslate(F273,""en"",""ja"")"),"アンドロステンジオンの測定")</f>
        <v>アンドロステンジオンの測定</v>
      </c>
    </row>
    <row r="274" spans="1:9">
      <c r="A274" s="3" t="s">
        <v>6</v>
      </c>
      <c r="B274" s="3" t="s">
        <v>1144</v>
      </c>
      <c r="C274" s="3" t="s">
        <v>1145</v>
      </c>
      <c r="D274" s="3" t="s">
        <v>1145</v>
      </c>
      <c r="E274" s="3" t="s">
        <v>1146</v>
      </c>
      <c r="F274" s="3" t="s">
        <v>1147</v>
      </c>
      <c r="G274" s="3" t="str">
        <f ca="1">IFERROR(__xludf.DUMMYFUNCTION("googletranslate(D274,""en"",""ja"")"),"アンドロステロン")</f>
        <v>アンドロステロン</v>
      </c>
      <c r="H274" s="3" t="str">
        <f ca="1">IFERROR(__xludf.DUMMYFUNCTION("googletranslate(E274,""en"",""ja"")"),"生物学的標本中のアンドロステロンの測定。")</f>
        <v>生物学的標本中のアンドロステロンの測定。</v>
      </c>
      <c r="I274" s="3" t="str">
        <f ca="1">IFERROR(__xludf.DUMMYFUNCTION("googletranslate(F274,""en"",""ja"")"),"アンドロステロン測定")</f>
        <v>アンドロステロン測定</v>
      </c>
    </row>
    <row r="275" spans="1:9" ht="30">
      <c r="A275" s="3" t="s">
        <v>81</v>
      </c>
      <c r="B275" s="3" t="s">
        <v>1148</v>
      </c>
      <c r="C275" s="3" t="s">
        <v>1149</v>
      </c>
      <c r="D275" s="3" t="s">
        <v>1149</v>
      </c>
      <c r="E275" s="3" t="s">
        <v>1150</v>
      </c>
      <c r="F275" s="3" t="s">
        <v>1149</v>
      </c>
      <c r="G275" s="3" t="str">
        <f ca="1">IFERROR(__xludf.DUMMYFUNCTION("googletranslate(D275,""en"",""ja"")"),"動脈瘤インジケーター")</f>
        <v>動脈瘤インジケーター</v>
      </c>
      <c r="H275" s="3" t="str">
        <f ca="1">IFERROR(__xludf.DUMMYFUNCTION("googletranslate(E275,""en"",""ja"")"),"1 つ以上の動脈瘤が存在するかどうかを示します。")</f>
        <v>1 つ以上の動脈瘤が存在するかどうかを示します。</v>
      </c>
      <c r="I275" s="3" t="str">
        <f ca="1">IFERROR(__xludf.DUMMYFUNCTION("googletranslate(F275,""en"",""ja"")"),"動脈瘤インジケーター")</f>
        <v>動脈瘤インジケーター</v>
      </c>
    </row>
    <row r="276" spans="1:9" ht="30">
      <c r="A276" s="3" t="s">
        <v>6</v>
      </c>
      <c r="B276" s="3" t="s">
        <v>1151</v>
      </c>
      <c r="C276" s="3" t="s">
        <v>1152</v>
      </c>
      <c r="D276" s="3" t="s">
        <v>1153</v>
      </c>
      <c r="E276" s="3" t="s">
        <v>1154</v>
      </c>
      <c r="F276" s="3" t="s">
        <v>1155</v>
      </c>
      <c r="G276" s="3" t="str">
        <f ca="1">IFERROR(__xludf.DUMMYFUNCTION("googletranslate(D276,""en"",""ja"")"),"抗グロブリン検査、間接的;間接クームテスト")</f>
        <v>抗グロブリン検査、間接的;間接クームテスト</v>
      </c>
      <c r="H276" s="3" t="str">
        <f ca="1">IFERROR(__xludf.DUMMYFUNCTION("googletranslate(E276,""en"",""ja"")"),"クームズ試薬を使用して生物学的標本中の抗赤血球抗体の存在を検出する検査。")</f>
        <v>クームズ試薬を使用して生物学的標本中の抗赤血球抗体の存在を検出する検査。</v>
      </c>
      <c r="I276" s="3" t="str">
        <f ca="1">IFERROR(__xludf.DUMMYFUNCTION("googletranslate(F276,""en"",""ja"")"),"間接抗グロブリン検査")</f>
        <v>間接抗グロブリン検査</v>
      </c>
    </row>
    <row r="277" spans="1:9" ht="60">
      <c r="A277" s="3" t="s">
        <v>6</v>
      </c>
      <c r="B277" s="3" t="s">
        <v>1156</v>
      </c>
      <c r="C277" s="3" t="s">
        <v>1157</v>
      </c>
      <c r="D277" s="3" t="s">
        <v>1158</v>
      </c>
      <c r="E277" s="3" t="s">
        <v>1159</v>
      </c>
      <c r="F277" s="3" t="s">
        <v>1160</v>
      </c>
      <c r="G277" s="3" t="str">
        <f ca="1">IFERROR(__xludf.DUMMYFUNCTION("googletranslate(D277,""en"",""ja"")"),"抗グロブリン検査 多重特異性、直接。抗グロブリン検査、直接;ダイレクトクームテスト")</f>
        <v>抗グロブリン検査 多重特異性、直接。抗グロブリン検査、直接;ダイレクトクームテスト</v>
      </c>
      <c r="H277" s="3" t="str">
        <f ca="1">IFERROR(__xludf.DUMMYFUNCTION("googletranslate(E277,""en"",""ja"")"),"生体試料中の抗体または補体でコーティングされた赤血球の in vivo での測定。")</f>
        <v>生体試料中の抗体または補体でコーティングされた赤血球の in vivo での測定。</v>
      </c>
      <c r="I277" s="3" t="str">
        <f ca="1">IFERROR(__xludf.DUMMYFUNCTION("googletranslate(F277,""en"",""ja"")"),"直接抗グロブリン検査")</f>
        <v>直接抗グロブリン検査</v>
      </c>
    </row>
    <row r="278" spans="1:9">
      <c r="A278" s="3" t="s">
        <v>6</v>
      </c>
      <c r="B278" s="3" t="s">
        <v>1161</v>
      </c>
      <c r="C278" s="3" t="s">
        <v>1162</v>
      </c>
      <c r="D278" s="3" t="s">
        <v>1162</v>
      </c>
      <c r="E278" s="3" t="s">
        <v>1163</v>
      </c>
      <c r="F278" s="3" t="s">
        <v>1164</v>
      </c>
      <c r="G278" s="3" t="str">
        <f ca="1">IFERROR(__xludf.DUMMYFUNCTION("googletranslate(D278,""en"",""ja"")"),"アンジオポエチン 1")</f>
        <v>アンジオポエチン 1</v>
      </c>
      <c r="H278" s="3" t="str">
        <f ca="1">IFERROR(__xludf.DUMMYFUNCTION("googletranslate(E278,""en"",""ja"")"),"生体試料中のアンジオポエチン 1 の測定。")</f>
        <v>生体試料中のアンジオポエチン 1 の測定。</v>
      </c>
      <c r="I278" s="3" t="str">
        <f ca="1">IFERROR(__xludf.DUMMYFUNCTION("googletranslate(F278,""en"",""ja"")"),"アンジオポエチン 1 の測定")</f>
        <v>アンジオポエチン 1 の測定</v>
      </c>
    </row>
    <row r="279" spans="1:9">
      <c r="A279" s="3" t="s">
        <v>6</v>
      </c>
      <c r="B279" s="3" t="s">
        <v>1165</v>
      </c>
      <c r="C279" s="3" t="s">
        <v>1166</v>
      </c>
      <c r="D279" s="3" t="s">
        <v>1167</v>
      </c>
      <c r="E279" s="3" t="s">
        <v>1168</v>
      </c>
      <c r="F279" s="3" t="s">
        <v>1169</v>
      </c>
      <c r="G279" s="3" t="str">
        <f ca="1">IFERROR(__xludf.DUMMYFUNCTION("googletranslate(D279,""en"",""ja"")"),"ANG2;アンジオポエチン 2")</f>
        <v>ANG2;アンジオポエチン 2</v>
      </c>
      <c r="H279" s="3" t="str">
        <f ca="1">IFERROR(__xludf.DUMMYFUNCTION("googletranslate(E279,""en"",""ja"")"),"生体試料中のアンジオポエチン 2 の測定。")</f>
        <v>生体試料中のアンジオポエチン 2 の測定。</v>
      </c>
      <c r="I279" s="3" t="str">
        <f ca="1">IFERROR(__xludf.DUMMYFUNCTION("googletranslate(F279,""en"",""ja"")"),"アンジオポエチン2の測定")</f>
        <v>アンジオポエチン2の測定</v>
      </c>
    </row>
    <row r="280" spans="1:9" ht="60">
      <c r="A280" s="3" t="s">
        <v>6</v>
      </c>
      <c r="B280" s="3" t="s">
        <v>1170</v>
      </c>
      <c r="C280" s="3" t="s">
        <v>1171</v>
      </c>
      <c r="D280" s="3" t="s">
        <v>1172</v>
      </c>
      <c r="E280" s="3" t="s">
        <v>1173</v>
      </c>
      <c r="F280" s="3" t="s">
        <v>1174</v>
      </c>
      <c r="G280" s="3" t="str">
        <f ca="1">IFERROR(__xludf.DUMMYFUNCTION("googletranslate(D280,""en"",""ja"")"),"アンジオポエチン様 4;アンジオポエチン関連タンパク質 4; ARP4; FIAF;肝アンジオポエチン関連タンパク質; HFARP; PGAR")</f>
        <v>アンジオポエチン様 4;アンジオポエチン関連タンパク質 4; ARP4; FIAF;肝アンジオポエチン関連タンパク質; HFARP; PGAR</v>
      </c>
      <c r="H280" s="3" t="str">
        <f ca="1">IFERROR(__xludf.DUMMYFUNCTION("googletranslate(E280,""en"",""ja"")"),"生物学的標本中のアンジオポエチン関連タンパク質 4 の測定。")</f>
        <v>生物学的標本中のアンジオポエチン関連タンパク質 4 の測定。</v>
      </c>
      <c r="I280" s="3" t="str">
        <f ca="1">IFERROR(__xludf.DUMMYFUNCTION("googletranslate(F280,""en"",""ja"")"),"アンジオポエチン関連タンパク質 4 の測定")</f>
        <v>アンジオポエチン関連タンパク質 4 の測定</v>
      </c>
    </row>
    <row r="281" spans="1:9" ht="30">
      <c r="A281" s="3" t="s">
        <v>6</v>
      </c>
      <c r="B281" s="3" t="s">
        <v>1175</v>
      </c>
      <c r="C281" s="3" t="s">
        <v>1176</v>
      </c>
      <c r="D281" s="3" t="s">
        <v>1176</v>
      </c>
      <c r="E281" s="3" t="s">
        <v>1177</v>
      </c>
      <c r="F281" s="3" t="s">
        <v>1178</v>
      </c>
      <c r="G281" s="3" t="str">
        <f ca="1">IFERROR(__xludf.DUMMYFUNCTION("googletranslate(D281,""en"",""ja"")"),"アンジオテンシン I")</f>
        <v>アンジオテンシン I</v>
      </c>
      <c r="H281" s="3" t="str">
        <f ca="1">IFERROR(__xludf.DUMMYFUNCTION("googletranslate(E281,""en"",""ja"")"),"生物学的標本中のアンジオテンシン I ホルモンの測定。")</f>
        <v>生物学的標本中のアンジオテンシン I ホルモンの測定。</v>
      </c>
      <c r="I281" s="3" t="str">
        <f ca="1">IFERROR(__xludf.DUMMYFUNCTION("googletranslate(F281,""en"",""ja"")"),"アンジオテンシン I の測定")</f>
        <v>アンジオテンシン I の測定</v>
      </c>
    </row>
    <row r="282" spans="1:9" ht="30">
      <c r="A282" s="3" t="s">
        <v>6</v>
      </c>
      <c r="B282" s="3" t="s">
        <v>1179</v>
      </c>
      <c r="C282" s="3" t="s">
        <v>1180</v>
      </c>
      <c r="D282" s="3" t="s">
        <v>1180</v>
      </c>
      <c r="E282" s="3" t="s">
        <v>1181</v>
      </c>
      <c r="F282" s="3" t="s">
        <v>1182</v>
      </c>
      <c r="G282" s="3" t="str">
        <f ca="1">IFERROR(__xludf.DUMMYFUNCTION("googletranslate(D282,""en"",""ja"")"),"アンジオテンシン II")</f>
        <v>アンジオテンシン II</v>
      </c>
      <c r="H282" s="3" t="str">
        <f ca="1">IFERROR(__xludf.DUMMYFUNCTION("googletranslate(E282,""en"",""ja"")"),"生物学的標本中のアンジオテンシン II ホルモンの測定。")</f>
        <v>生物学的標本中のアンジオテンシン II ホルモンの測定。</v>
      </c>
      <c r="I282" s="3" t="str">
        <f ca="1">IFERROR(__xludf.DUMMYFUNCTION("googletranslate(F282,""en"",""ja"")"),"アンジオテンシン II の測定")</f>
        <v>アンジオテンシン II の測定</v>
      </c>
    </row>
    <row r="283" spans="1:9" ht="30">
      <c r="A283" s="3" t="s">
        <v>6</v>
      </c>
      <c r="B283" s="3" t="s">
        <v>1183</v>
      </c>
      <c r="C283" s="3" t="s">
        <v>1184</v>
      </c>
      <c r="D283" s="3" t="s">
        <v>1185</v>
      </c>
      <c r="E283" s="3" t="s">
        <v>1186</v>
      </c>
      <c r="F283" s="3" t="s">
        <v>1187</v>
      </c>
      <c r="G283" s="3" t="str">
        <f ca="1">IFERROR(__xludf.DUMMYFUNCTION("googletranslate(D283,""en"",""ja"")"),"アンジオテンシン前駆体;アンジオテンシノーゲン")</f>
        <v>アンジオテンシン前駆体;アンジオテンシノーゲン</v>
      </c>
      <c r="H283" s="3" t="str">
        <f ca="1">IFERROR(__xludf.DUMMYFUNCTION("googletranslate(E283,""en"",""ja"")"),"生物学的標本中のアンジオテンシノーゲン ホルモンの測定。")</f>
        <v>生物学的標本中のアンジオテンシノーゲン ホルモンの測定。</v>
      </c>
      <c r="I283" s="3" t="str">
        <f ca="1">IFERROR(__xludf.DUMMYFUNCTION("googletranslate(F283,""en"",""ja"")"),"アンジオテンシノーゲンの測定")</f>
        <v>アンジオテンシノーゲンの測定</v>
      </c>
    </row>
    <row r="284" spans="1:9" ht="30">
      <c r="A284" s="3" t="s">
        <v>67</v>
      </c>
      <c r="B284" s="3" t="s">
        <v>1188</v>
      </c>
      <c r="C284" s="3" t="s">
        <v>1189</v>
      </c>
      <c r="D284" s="3" t="s">
        <v>1189</v>
      </c>
      <c r="E284" s="3" t="s">
        <v>1190</v>
      </c>
      <c r="F284" s="3" t="s">
        <v>1191</v>
      </c>
      <c r="G284" s="3" t="str">
        <f ca="1">IFERROR(__xludf.DUMMYFUNCTION("googletranslate(D284,""en"",""ja"")"),"黒色アスペルギルス")</f>
        <v>黒色アスペルギルス</v>
      </c>
      <c r="H284" s="3" t="str">
        <f ca="1">IFERROR(__xludf.DUMMYFUNCTION("googletranslate(E284,""en"",""ja"")"),"生物学的標本中の黒色アスペルギルスの測定。")</f>
        <v>生物学的標本中の黒色アスペルギルスの測定。</v>
      </c>
      <c r="I284" s="3" t="str">
        <f ca="1">IFERROR(__xludf.DUMMYFUNCTION("googletranslate(F284,""en"",""ja"")"),"黒色コウジカビの測定")</f>
        <v>黒色コウジカビの測定</v>
      </c>
    </row>
    <row r="285" spans="1:9" ht="45">
      <c r="A285" s="3" t="s">
        <v>6</v>
      </c>
      <c r="B285" s="3" t="s">
        <v>1192</v>
      </c>
      <c r="C285" s="3" t="s">
        <v>1193</v>
      </c>
      <c r="D285" s="3" t="s">
        <v>1193</v>
      </c>
      <c r="E285" s="3" t="s">
        <v>1194</v>
      </c>
      <c r="F285" s="3" t="s">
        <v>1195</v>
      </c>
      <c r="G285" s="3" t="str">
        <f ca="1">IFERROR(__xludf.DUMMYFUNCTION("googletranslate(D285,""en"",""ja"")"),"アニオンギャップ")</f>
        <v>アニオンギャップ</v>
      </c>
      <c r="H285" s="3" t="str">
        <f ca="1">IFERROR(__xludf.DUMMYFUNCTION("googletranslate(E285,""en"",""ja"")"),"生物学的試料中の未測定の陰イオン (塩化物陰イオンと重炭酸陰イオン以外の陰イオン) の計算による推定値。")</f>
        <v>生物学的試料中の未測定の陰イオン (塩化物陰イオンと重炭酸陰イオン以外の陰イオン) の計算による推定値。</v>
      </c>
      <c r="I285" s="3" t="str">
        <f ca="1">IFERROR(__xludf.DUMMYFUNCTION("googletranslate(F285,""en"",""ja"")"),"アニオンギャップ測定")</f>
        <v>アニオンギャップ測定</v>
      </c>
    </row>
    <row r="286" spans="1:9" ht="45">
      <c r="A286" s="3" t="s">
        <v>6</v>
      </c>
      <c r="B286" s="3" t="s">
        <v>1196</v>
      </c>
      <c r="C286" s="3" t="s">
        <v>1197</v>
      </c>
      <c r="D286" s="3" t="s">
        <v>1197</v>
      </c>
      <c r="E286" s="3" t="s">
        <v>1198</v>
      </c>
      <c r="F286" s="3" t="s">
        <v>1199</v>
      </c>
      <c r="G286" s="3" t="str">
        <f ca="1">IFERROR(__xludf.DUMMYFUNCTION("googletranslate(D286,""en"",""ja"")"),"アニオンギャップ 3")</f>
        <v>アニオンギャップ 3</v>
      </c>
      <c r="H286" s="3" t="str">
        <f ca="1">IFERROR(__xludf.DUMMYFUNCTION("googletranslate(E286,""en"",""ja"")"),"生物学的標本中の未測定の陰イオン (ナトリウムから塩化物と重炭酸塩を差し引いたものとして計算) の計算による推定値。")</f>
        <v>生物学的標本中の未測定の陰イオン (ナトリウムから塩化物と重炭酸塩を差し引いたものとして計算) の計算による推定値。</v>
      </c>
      <c r="I286" s="3" t="str">
        <f ca="1">IFERROR(__xludf.DUMMYFUNCTION("googletranslate(F286,""en"",""ja"")"),"アニオンギャップ3の測定")</f>
        <v>アニオンギャップ3の測定</v>
      </c>
    </row>
    <row r="287" spans="1:9" ht="60">
      <c r="A287" s="3" t="s">
        <v>6</v>
      </c>
      <c r="B287" s="3" t="s">
        <v>1200</v>
      </c>
      <c r="C287" s="3" t="s">
        <v>1201</v>
      </c>
      <c r="D287" s="3" t="s">
        <v>1201</v>
      </c>
      <c r="E287" s="3" t="s">
        <v>1202</v>
      </c>
      <c r="F287" s="3" t="s">
        <v>1203</v>
      </c>
      <c r="G287" s="3" t="str">
        <f ca="1">IFERROR(__xludf.DUMMYFUNCTION("googletranslate(D287,""en"",""ja"")"),"アニオンギャップ 4")</f>
        <v>アニオンギャップ 4</v>
      </c>
      <c r="H287" s="3" t="str">
        <f ca="1">IFERROR(__xludf.DUMMYFUNCTION("googletranslate(E287,""en"",""ja"")"),"生物学的検体中の未測定の陰イオンの計算による推定値 (血清ナトリウム + 血清カリウムの合計と血清重炭酸塩 + 塩化物の合計の差として計算)。")</f>
        <v>生物学的検体中の未測定の陰イオンの計算による推定値 (血清ナトリウム + 血清カリウムの合計と血清重炭酸塩 + 塩化物の合計の差として計算)。</v>
      </c>
      <c r="I287" s="3" t="str">
        <f ca="1">IFERROR(__xludf.DUMMYFUNCTION("googletranslate(F287,""en"",""ja"")"),"アニオンギャップ4の測定")</f>
        <v>アニオンギャップ4の測定</v>
      </c>
    </row>
    <row r="288" spans="1:9" ht="30">
      <c r="A288" s="3" t="s">
        <v>6</v>
      </c>
      <c r="B288" s="3" t="s">
        <v>1204</v>
      </c>
      <c r="C288" s="3" t="s">
        <v>1205</v>
      </c>
      <c r="D288" s="3" t="s">
        <v>1206</v>
      </c>
      <c r="E288" s="3" t="s">
        <v>1207</v>
      </c>
      <c r="F288" s="3" t="s">
        <v>1208</v>
      </c>
      <c r="G288" s="3" t="str">
        <f ca="1">IFERROR(__xludf.DUMMYFUNCTION("googletranslate(D288,""en"",""ja"")"),"異性細胞;アニソサイトーシス")</f>
        <v>異性細胞;アニソサイトーシス</v>
      </c>
      <c r="H288" s="3" t="str">
        <f ca="1">IFERROR(__xludf.DUMMYFUNCTION("googletranslate(E288,""en"",""ja"")"),"全血検体中の赤血球のサイズのばらつきの測定値。")</f>
        <v>全血検体中の赤血球のサイズのばらつきの測定値。</v>
      </c>
      <c r="I288" s="3" t="str">
        <f ca="1">IFERROR(__xludf.DUMMYFUNCTION("googletranslate(F288,""en"",""ja"")"),"異性細胞の測定")</f>
        <v>異性細胞の測定</v>
      </c>
    </row>
    <row r="289" spans="1:9" ht="30">
      <c r="A289" s="3" t="s">
        <v>6</v>
      </c>
      <c r="B289" s="3" t="s">
        <v>1209</v>
      </c>
      <c r="C289" s="3" t="s">
        <v>1210</v>
      </c>
      <c r="D289" s="3" t="s">
        <v>1210</v>
      </c>
      <c r="E289" s="3" t="s">
        <v>1211</v>
      </c>
      <c r="F289" s="3" t="s">
        <v>1212</v>
      </c>
      <c r="G289" s="3" t="str">
        <f ca="1">IFERROR(__xludf.DUMMYFUNCTION("googletranslate(D289,""en"",""ja"")"),"色不一致")</f>
        <v>色不一致</v>
      </c>
      <c r="H289" s="3" t="str">
        <f ca="1">IFERROR(__xludf.DUMMYFUNCTION("googletranslate(E289,""en"",""ja"")"),"生物学的標本の赤血球の色の変化の測定。")</f>
        <v>生物学的標本の赤血球の色の変化の測定。</v>
      </c>
      <c r="I289" s="3" t="str">
        <f ca="1">IFERROR(__xludf.DUMMYFUNCTION("googletranslate(F289,""en"",""ja"")"),"色異性測定")</f>
        <v>色異性測定</v>
      </c>
    </row>
    <row r="290" spans="1:9">
      <c r="A290" s="3" t="s">
        <v>6</v>
      </c>
      <c r="B290" s="3" t="s">
        <v>1213</v>
      </c>
      <c r="C290" s="3" t="s">
        <v>1214</v>
      </c>
      <c r="D290" s="3" t="s">
        <v>1214</v>
      </c>
      <c r="E290" s="3" t="s">
        <v>1215</v>
      </c>
      <c r="F290" s="3" t="s">
        <v>1216</v>
      </c>
      <c r="G290" s="3" t="str">
        <f ca="1">IFERROR(__xludf.DUMMYFUNCTION("googletranslate(D290,""en"",""ja"")"),"アニレリジン")</f>
        <v>アニレリジン</v>
      </c>
      <c r="H290" s="3" t="str">
        <f ca="1">IFERROR(__xludf.DUMMYFUNCTION("googletranslate(E290,""en"",""ja"")"),"生物学的標本中のアニレリジンの測定。")</f>
        <v>生物学的標本中のアニレリジンの測定。</v>
      </c>
      <c r="I290" s="3" t="str">
        <f ca="1">IFERROR(__xludf.DUMMYFUNCTION("googletranslate(F290,""en"",""ja"")"),"アニレリジンの測定")</f>
        <v>アニレリジンの測定</v>
      </c>
    </row>
    <row r="291" spans="1:9" ht="30">
      <c r="A291" s="3" t="s">
        <v>81</v>
      </c>
      <c r="B291" s="3" t="s">
        <v>1217</v>
      </c>
      <c r="C291" s="3" t="s">
        <v>1218</v>
      </c>
      <c r="D291" s="3" t="s">
        <v>1218</v>
      </c>
      <c r="E291" s="3" t="s">
        <v>1219</v>
      </c>
      <c r="F291" s="3" t="s">
        <v>1218</v>
      </c>
      <c r="G291" s="3" t="str">
        <f ca="1">IFERROR(__xludf.DUMMYFUNCTION("googletranslate(D291,""en"",""ja"")"),"環状速度")</f>
        <v>環状速度</v>
      </c>
      <c r="H291" s="3" t="str">
        <f ca="1">IFERROR(__xludf.DUMMYFUNCTION("googletranslate(E291,""en"",""ja"")"),"心室拡張期後期（心室の活発な充填）中の環状運動のピーク速度。")</f>
        <v>心室拡張期後期（心室の活発な充填）中の環状運動のピーク速度。</v>
      </c>
      <c r="I291" s="3" t="str">
        <f ca="1">IFERROR(__xludf.DUMMYFUNCTION("googletranslate(F291,""en"",""ja"")"),"環状速度")</f>
        <v>環状速度</v>
      </c>
    </row>
    <row r="292" spans="1:9" ht="30">
      <c r="A292" s="3" t="s">
        <v>81</v>
      </c>
      <c r="B292" s="3" t="s">
        <v>1220</v>
      </c>
      <c r="C292" s="3" t="s">
        <v>1221</v>
      </c>
      <c r="D292" s="3" t="s">
        <v>1221</v>
      </c>
      <c r="E292" s="3" t="s">
        <v>1222</v>
      </c>
      <c r="F292" s="3" t="s">
        <v>1221</v>
      </c>
      <c r="G292" s="3" t="str">
        <f ca="1">IFERROR(__xludf.DUMMYFUNCTION("googletranslate(D292,""en"",""ja"")"),"環状速度")</f>
        <v>環状速度</v>
      </c>
      <c r="H292" s="3" t="str">
        <f ca="1">IFERROR(__xludf.DUMMYFUNCTION("googletranslate(E292,""en"",""ja"")"),"心室拡張期初期（心室の受動的充填）中の環状運動のピーク速度。")</f>
        <v>心室拡張期初期（心室の受動的充填）中の環状運動のピーク速度。</v>
      </c>
      <c r="I292" s="3" t="str">
        <f ca="1">IFERROR(__xludf.DUMMYFUNCTION("googletranslate(F292,""en"",""ja"")"),"環状速度")</f>
        <v>環状速度</v>
      </c>
    </row>
    <row r="293" spans="1:9" ht="30">
      <c r="A293" s="3" t="s">
        <v>81</v>
      </c>
      <c r="B293" s="3" t="s">
        <v>1223</v>
      </c>
      <c r="C293" s="3" t="s">
        <v>1224</v>
      </c>
      <c r="D293" s="3" t="s">
        <v>1224</v>
      </c>
      <c r="E293" s="3" t="s">
        <v>1225</v>
      </c>
      <c r="F293" s="3" t="s">
        <v>1224</v>
      </c>
      <c r="G293" s="3" t="str">
        <f ca="1">IFERROR(__xludf.DUMMYFUNCTION("googletranslate(D293,""en"",""ja"")"),"環状Sの速度")</f>
        <v>環状Sの速度</v>
      </c>
      <c r="H293" s="3" t="str">
        <f ca="1">IFERROR(__xludf.DUMMYFUNCTION("googletranslate(E293,""en"",""ja"")"),"心室収縮期中の環状運動のピーク速度。")</f>
        <v>心室収縮期中の環状運動のピーク速度。</v>
      </c>
      <c r="I293" s="3" t="str">
        <f ca="1">IFERROR(__xludf.DUMMYFUNCTION("googletranslate(F293,""en"",""ja"")"),"環状Sの速度")</f>
        <v>環状Sの速度</v>
      </c>
    </row>
    <row r="294" spans="1:9" ht="30">
      <c r="A294" s="3" t="s">
        <v>6</v>
      </c>
      <c r="B294" s="3" t="s">
        <v>1226</v>
      </c>
      <c r="C294" s="3" t="s">
        <v>1227</v>
      </c>
      <c r="D294" s="3" t="s">
        <v>1228</v>
      </c>
      <c r="E294" s="3" t="s">
        <v>1229</v>
      </c>
      <c r="F294" s="3" t="s">
        <v>1230</v>
      </c>
      <c r="G294" s="3" t="str">
        <f ca="1">IFERROR(__xludf.DUMMYFUNCTION("googletranslate(D294,""en"",""ja"")"),"心房性ナトリウム利尿ペプチド;アトリオペプチン")</f>
        <v>心房性ナトリウム利尿ペプチド;アトリオペプチン</v>
      </c>
      <c r="H294" s="3" t="str">
        <f ca="1">IFERROR(__xludf.DUMMYFUNCTION("googletranslate(E294,""en"",""ja"")"),"生物学的標本中の心房性ナトリウム利尿ペプチドの測定。")</f>
        <v>生物学的標本中の心房性ナトリウム利尿ペプチドの測定。</v>
      </c>
      <c r="I294" s="3" t="str">
        <f ca="1">IFERROR(__xludf.DUMMYFUNCTION("googletranslate(F294,""en"",""ja"")"),"心房性ナトリウム利尿ペプチド測定")</f>
        <v>心房性ナトリウム利尿ペプチド測定</v>
      </c>
    </row>
    <row r="295" spans="1:9" ht="60">
      <c r="A295" s="3" t="s">
        <v>6</v>
      </c>
      <c r="B295" s="3" t="s">
        <v>1231</v>
      </c>
      <c r="C295" s="3" t="s">
        <v>1232</v>
      </c>
      <c r="D295" s="3" t="s">
        <v>1233</v>
      </c>
      <c r="E295" s="3" t="s">
        <v>1234</v>
      </c>
      <c r="F295" s="3" t="s">
        <v>1235</v>
      </c>
      <c r="G295" s="3" t="str">
        <f ca="1">IFERROR(__xludf.DUMMYFUNCTION("googletranslate(D295,""en"",""ja"")"),"中期前心房性ナトリウム利尿ペプチド。中部領域前心房性ナトリウム利尿ペプチド。 MR-プロANP; MRプロANP")</f>
        <v>中期前心房性ナトリウム利尿ペプチド。中部領域前心房性ナトリウム利尿ペプチド。 MR-プロANP; MRプロANP</v>
      </c>
      <c r="H295" s="3" t="str">
        <f ca="1">IFERROR(__xludf.DUMMYFUNCTION("googletranslate(E295,""en"",""ja"")"),"生物学的標本における中央領域の心房性ナトリウム利尿ペプチドの測定。")</f>
        <v>生物学的標本における中央領域の心房性ナトリウム利尿ペプチドの測定。</v>
      </c>
      <c r="I295" s="3" t="str">
        <f ca="1">IFERROR(__xludf.DUMMYFUNCTION("googletranslate(F295,""en"",""ja"")"),"中領域前心房性ナトリウム利尿ペプチド測定")</f>
        <v>中領域前心房性ナトリウム利尿ペプチド測定</v>
      </c>
    </row>
    <row r="296" spans="1:9" ht="60">
      <c r="A296" s="3" t="s">
        <v>6</v>
      </c>
      <c r="B296" s="3" t="s">
        <v>1236</v>
      </c>
      <c r="C296" s="3" t="s">
        <v>1237</v>
      </c>
      <c r="D296" s="3" t="s">
        <v>1238</v>
      </c>
      <c r="E296" s="3" t="s">
        <v>1239</v>
      </c>
      <c r="F296" s="3" t="s">
        <v>1240</v>
      </c>
      <c r="G296" s="3" t="str">
        <f ca="1">IFERROR(__xludf.DUMMYFUNCTION("googletranslate(D296,""en"",""ja"")"),"N末端プロ心房性ナトリウム利尿ペプチド。 N末端ProA型ナトリウム利尿ペプチド; NTプロANP II")</f>
        <v>N末端プロ心房性ナトリウム利尿ペプチド。 N末端ProA型ナトリウム利尿ペプチド; NTプロANP II</v>
      </c>
      <c r="H296" s="3" t="str">
        <f ca="1">IFERROR(__xludf.DUMMYFUNCTION("googletranslate(E296,""en"",""ja"")"),"生体試料中の N 末端 proA 型ナトリウム利尿ペプチドの測定。")</f>
        <v>生体試料中の N 末端 proA 型ナトリウム利尿ペプチドの測定。</v>
      </c>
      <c r="I296" s="3" t="str">
        <f ca="1">IFERROR(__xludf.DUMMYFUNCTION("googletranslate(F296,""en"",""ja"")"),"N末端ProA型ナトリウム利尿ペプチド測定")</f>
        <v>N末端ProA型ナトリウム利尿ペプチド測定</v>
      </c>
    </row>
    <row r="297" spans="1:9" ht="30">
      <c r="A297" s="3" t="s">
        <v>6</v>
      </c>
      <c r="B297" s="3" t="s">
        <v>1241</v>
      </c>
      <c r="C297" s="3" t="s">
        <v>1242</v>
      </c>
      <c r="D297" s="3" t="s">
        <v>1243</v>
      </c>
      <c r="E297" s="3" t="s">
        <v>1244</v>
      </c>
      <c r="F297" s="3" t="s">
        <v>1245</v>
      </c>
      <c r="G297" s="3" t="str">
        <f ca="1">IFERROR(__xludf.DUMMYFUNCTION("googletranslate(D297,""en"",""ja"")"),"アンチトロンビン活性;アンチトロンビン III 活性")</f>
        <v>アンチトロンビン活性;アンチトロンビン III 活性</v>
      </c>
      <c r="H297" s="3" t="str">
        <f ca="1">IFERROR(__xludf.DUMMYFUNCTION("googletranslate(E297,""en"",""ja"")"),"生物学的標本におけるアンチトロンビン活性の測定。")</f>
        <v>生物学的標本におけるアンチトロンビン活性の測定。</v>
      </c>
      <c r="I297" s="3" t="str">
        <f ca="1">IFERROR(__xludf.DUMMYFUNCTION("googletranslate(F297,""en"",""ja"")"),"アンチトロンビン活性測定")</f>
        <v>アンチトロンビン活性測定</v>
      </c>
    </row>
    <row r="298" spans="1:9" ht="45">
      <c r="A298" s="3" t="s">
        <v>6</v>
      </c>
      <c r="B298" s="3" t="s">
        <v>1246</v>
      </c>
      <c r="C298" s="3" t="s">
        <v>1247</v>
      </c>
      <c r="D298" s="3" t="s">
        <v>1248</v>
      </c>
      <c r="E298" s="3" t="s">
        <v>1249</v>
      </c>
      <c r="F298" s="3" t="s">
        <v>1250</v>
      </c>
      <c r="G298" s="3" t="str">
        <f ca="1">IFERROR(__xludf.DUMMYFUNCTION("googletranslate(D298,""en"",""ja"")"),"アンチトロンビン;アンチトロンビン抗原;アンチトロンビン III;アンチトロンビン III 抗原")</f>
        <v>アンチトロンビン;アンチトロンビン抗原;アンチトロンビン III;アンチトロンビン III 抗原</v>
      </c>
      <c r="H298" s="3" t="str">
        <f ca="1">IFERROR(__xludf.DUMMYFUNCTION("googletranslate(E298,""en"",""ja"")"),"生物学的標本中のアンチトロンビン抗原の測定。")</f>
        <v>生物学的標本中のアンチトロンビン抗原の測定。</v>
      </c>
      <c r="I298" s="3" t="str">
        <f ca="1">IFERROR(__xludf.DUMMYFUNCTION("googletranslate(F298,""en"",""ja"")"),"アンチトロンビン抗原の測定")</f>
        <v>アンチトロンビン抗原の測定</v>
      </c>
    </row>
    <row r="299" spans="1:9" ht="30">
      <c r="A299" s="3" t="s">
        <v>6</v>
      </c>
      <c r="B299" s="3" t="s">
        <v>1251</v>
      </c>
      <c r="C299" s="3" t="s">
        <v>1252</v>
      </c>
      <c r="D299" s="3" t="s">
        <v>1252</v>
      </c>
      <c r="E299" s="3" t="s">
        <v>1253</v>
      </c>
      <c r="F299" s="3" t="s">
        <v>1254</v>
      </c>
      <c r="G299" s="3" t="str">
        <f ca="1">IFERROR(__xludf.DUMMYFUNCTION("googletranslate(D299,""en"",""ja"")"),"抗うつ薬")</f>
        <v>抗うつ薬</v>
      </c>
      <c r="H299" s="3" t="str">
        <f ca="1">IFERROR(__xludf.DUMMYFUNCTION("googletranslate(E299,""en"",""ja"")"),"生物学的標本中に存在する抗うつ薬クラスの薬物の測定。")</f>
        <v>生物学的標本中に存在する抗うつ薬クラスの薬物の測定。</v>
      </c>
      <c r="I299" s="3" t="str">
        <f ca="1">IFERROR(__xludf.DUMMYFUNCTION("googletranslate(F299,""en"",""ja"")"),"抗うつ薬の測定")</f>
        <v>抗うつ薬の測定</v>
      </c>
    </row>
    <row r="300" spans="1:9" ht="30">
      <c r="A300" s="3" t="s">
        <v>1255</v>
      </c>
      <c r="B300" s="3" t="s">
        <v>1256</v>
      </c>
      <c r="C300" s="3" t="s">
        <v>1257</v>
      </c>
      <c r="D300" s="3" t="s">
        <v>1257</v>
      </c>
      <c r="E300" s="3" t="s">
        <v>1258</v>
      </c>
      <c r="F300" s="3" t="s">
        <v>1259</v>
      </c>
      <c r="G300" s="3" t="str">
        <f ca="1">IFERROR(__xludf.DUMMYFUNCTION("googletranslate(D300,""en"",""ja"")"),"解剖学的平面")</f>
        <v>解剖学的平面</v>
      </c>
      <c r="H300" s="3" t="str">
        <f ca="1">IFERROR(__xludf.DUMMYFUNCTION("googletranslate(E300,""en"",""ja"")"),"患者ベースの座標系に対する画像スライスの位置と方向。 (NCI)")</f>
        <v>患者ベースの座標系に対する画像スライスの位置と方向。 (NCI)</v>
      </c>
      <c r="I300" s="3" t="str">
        <f ca="1">IFERROR(__xludf.DUMMYFUNCTION("googletranslate(F300,""en"",""ja"")"),"イメージプレーン")</f>
        <v>イメージプレーン</v>
      </c>
    </row>
    <row r="301" spans="1:9" ht="60">
      <c r="A301" s="3" t="s">
        <v>6</v>
      </c>
      <c r="B301" s="3" t="s">
        <v>1260</v>
      </c>
      <c r="C301" s="3" t="s">
        <v>1261</v>
      </c>
      <c r="D301" s="3" t="s">
        <v>1262</v>
      </c>
      <c r="E301" s="3" t="s">
        <v>1263</v>
      </c>
      <c r="F301" s="3" t="s">
        <v>1264</v>
      </c>
      <c r="G301" s="3" t="str">
        <f ca="1">IFERROR(__xludf.DUMMYFUNCTION("googletranslate(D301,""en"",""ja"")"),"アセトアミノフェンタンパク質付加物;アセトアミノフェン - システイン付加物; APAP-CYS; APAP-タンパク質")</f>
        <v>アセトアミノフェンタンパク質付加物;アセトアミノフェン - システイン付加物; APAP-CYS; APAP-タンパク質</v>
      </c>
      <c r="H301" s="3" t="str">
        <f ca="1">IFERROR(__xludf.DUMMYFUNCTION("googletranslate(E301,""en"",""ja"")"),"生物学的標本中のアセトアミノフェン - システイン付加物の測定。")</f>
        <v>生物学的標本中のアセトアミノフェン - システイン付加物の測定。</v>
      </c>
      <c r="I301" s="3" t="str">
        <f ca="1">IFERROR(__xludf.DUMMYFUNCTION("googletranslate(F301,""en"",""ja"")"),"アセトアミノフェン・システイン付加物の測定")</f>
        <v>アセトアミノフェン・システイン付加物の測定</v>
      </c>
    </row>
    <row r="302" spans="1:9" ht="45">
      <c r="A302" s="3" t="s">
        <v>6</v>
      </c>
      <c r="B302" s="3" t="s">
        <v>1265</v>
      </c>
      <c r="C302" s="3" t="s">
        <v>1266</v>
      </c>
      <c r="D302" s="3" t="s">
        <v>1267</v>
      </c>
      <c r="E302" s="3" t="s">
        <v>1268</v>
      </c>
      <c r="F302" s="3" t="s">
        <v>1269</v>
      </c>
      <c r="G302" s="3" t="str">
        <f ca="1">IFERROR(__xludf.DUMMYFUNCTION("googletranslate(D302,""en"",""ja"")"),"パーセント差を確認するための APTT-LA 画面。 PTT-LAのPCT差確認画面")</f>
        <v>パーセント差を確認するための APTT-LA 画面。 PTT-LAのPCT差確認画面</v>
      </c>
      <c r="H302" s="3" t="str">
        <f ca="1">IFERROR(__xludf.DUMMYFUNCTION("googletranslate(E302,""en"",""ja"")"),"ループス抗凝固物質の存在を確認するための測定値。[(画面 aPTT - 確認 aPTT)/画面 aPTT]x100 として計算されます。")</f>
        <v>ループス抗凝固物質の存在を確認するための測定値。[(画面 aPTT - 確認 aPTT)/画面 aPTT]x100 として計算されます。</v>
      </c>
      <c r="I302" s="3" t="str">
        <f ca="1">IFERROR(__xludf.DUMMYFUNCTION("googletranslate(F302,""en"",""ja"")"),"APTT-LA のパーセント差を確認する画面")</f>
        <v>APTT-LA のパーセント差を確認する画面</v>
      </c>
    </row>
    <row r="303" spans="1:9" ht="45">
      <c r="A303" s="3" t="s">
        <v>6</v>
      </c>
      <c r="B303" s="3" t="s">
        <v>1270</v>
      </c>
      <c r="C303" s="3" t="s">
        <v>1271</v>
      </c>
      <c r="D303" s="3" t="s">
        <v>1272</v>
      </c>
      <c r="E303" s="3" t="s">
        <v>1273</v>
      </c>
      <c r="F303" s="3" t="s">
        <v>1274</v>
      </c>
      <c r="G303" s="3" t="str">
        <f ca="1">IFERROR(__xludf.DUMMYFUNCTION("googletranslate(D303,""en"",""ja"")"),"アルファ-2 アンチプラスミン。アルファ-2 プラスミン阻害剤")</f>
        <v>アルファ-2 アンチプラスミン。アルファ-2 プラスミン阻害剤</v>
      </c>
      <c r="H303" s="3" t="str">
        <f ca="1">IFERROR(__xludf.DUMMYFUNCTION("googletranslate(E303,""en"",""ja"")"),"生物学的標本中の alpha-2 アンチプラスミンの測定。")</f>
        <v>生物学的標本中の alpha-2 アンチプラスミンの測定。</v>
      </c>
      <c r="I303" s="3" t="str">
        <f ca="1">IFERROR(__xludf.DUMMYFUNCTION("googletranslate(F303,""en"",""ja"")"),"α-2 抗プラスミンの測定")</f>
        <v>α-2 抗プラスミンの測定</v>
      </c>
    </row>
    <row r="304" spans="1:9" ht="30">
      <c r="A304" s="3" t="s">
        <v>6</v>
      </c>
      <c r="B304" s="3" t="s">
        <v>1275</v>
      </c>
      <c r="C304" s="3" t="s">
        <v>1276</v>
      </c>
      <c r="D304" s="3" t="s">
        <v>1276</v>
      </c>
      <c r="E304" s="3" t="s">
        <v>1277</v>
      </c>
      <c r="F304" s="3" t="s">
        <v>1278</v>
      </c>
      <c r="G304" s="3" t="str">
        <f ca="1">IFERROR(__xludf.DUMMYFUNCTION("googletranslate(D304,""en"",""ja"")"),"α-2 抗プラスミン活性")</f>
        <v>α-2 抗プラスミン活性</v>
      </c>
      <c r="H304" s="3" t="str">
        <f ca="1">IFERROR(__xludf.DUMMYFUNCTION("googletranslate(E304,""en"",""ja"")"),"生物学的標本における alpha-2 抗プラスミン活性の測定。")</f>
        <v>生物学的標本における alpha-2 抗プラスミン活性の測定。</v>
      </c>
      <c r="I304" s="3" t="str">
        <f ca="1">IFERROR(__xludf.DUMMYFUNCTION("googletranslate(F304,""en"",""ja"")"),"α-2抗プラスミン活性の測定")</f>
        <v>α-2抗プラスミン活性の測定</v>
      </c>
    </row>
    <row r="305" spans="1:9" ht="30">
      <c r="A305" s="3" t="s">
        <v>6</v>
      </c>
      <c r="B305" s="3" t="s">
        <v>1279</v>
      </c>
      <c r="C305" s="3" t="s">
        <v>1280</v>
      </c>
      <c r="D305" s="3" t="s">
        <v>1280</v>
      </c>
      <c r="E305" s="3" t="s">
        <v>1281</v>
      </c>
      <c r="F305" s="3" t="s">
        <v>1282</v>
      </c>
      <c r="G305" s="3" t="str">
        <f ca="1">IFERROR(__xludf.DUMMYFUNCTION("googletranslate(D305,""en"",""ja"")"),"アポリポプロテインA")</f>
        <v>アポリポプロテインA</v>
      </c>
      <c r="H305" s="3" t="str">
        <f ca="1">IFERROR(__xludf.DUMMYFUNCTION("googletranslate(E305,""en"",""ja"")"),"生物学的標本中の総アポリポタンパク質 A の測定。")</f>
        <v>生物学的標本中の総アポリポタンパク質 A の測定。</v>
      </c>
      <c r="I305" s="3" t="str">
        <f ca="1">IFERROR(__xludf.DUMMYFUNCTION("googletranslate(F305,""en"",""ja"")"),"アポリポプロテインAの測定")</f>
        <v>アポリポプロテインAの測定</v>
      </c>
    </row>
    <row r="306" spans="1:9" ht="30">
      <c r="A306" s="3" t="s">
        <v>6</v>
      </c>
      <c r="B306" s="3" t="s">
        <v>1283</v>
      </c>
      <c r="C306" s="3" t="s">
        <v>1284</v>
      </c>
      <c r="D306" s="3" t="s">
        <v>1284</v>
      </c>
      <c r="E306" s="3" t="s">
        <v>1285</v>
      </c>
      <c r="F306" s="3" t="s">
        <v>1286</v>
      </c>
      <c r="G306" s="3" t="str">
        <f ca="1">IFERROR(__xludf.DUMMYFUNCTION("googletranslate(D306,""en"",""ja"")"),"アポリポタンパク質A1")</f>
        <v>アポリポタンパク質A1</v>
      </c>
      <c r="H306" s="3" t="str">
        <f ca="1">IFERROR(__xludf.DUMMYFUNCTION("googletranslate(E306,""en"",""ja"")"),"生物学的標本中のアポリポタンパク質 A1 の測定。")</f>
        <v>生物学的標本中のアポリポタンパク質 A1 の測定。</v>
      </c>
      <c r="I306" s="3" t="str">
        <f ca="1">IFERROR(__xludf.DUMMYFUNCTION("googletranslate(F306,""en"",""ja"")"),"アポリポタンパク質A1の測定")</f>
        <v>アポリポタンパク質A1の測定</v>
      </c>
    </row>
    <row r="307" spans="1:9" ht="30">
      <c r="A307" s="3" t="s">
        <v>6</v>
      </c>
      <c r="B307" s="3" t="s">
        <v>1287</v>
      </c>
      <c r="C307" s="3" t="s">
        <v>1288</v>
      </c>
      <c r="D307" s="3" t="s">
        <v>1288</v>
      </c>
      <c r="E307" s="3" t="s">
        <v>1289</v>
      </c>
      <c r="F307" s="3" t="s">
        <v>1290</v>
      </c>
      <c r="G307" s="3" t="str">
        <f ca="1">IFERROR(__xludf.DUMMYFUNCTION("googletranslate(D307,""en"",""ja"")"),"アポリポタンパク質AII")</f>
        <v>アポリポタンパク質AII</v>
      </c>
      <c r="H307" s="3" t="str">
        <f ca="1">IFERROR(__xludf.DUMMYFUNCTION("googletranslate(E307,""en"",""ja"")"),"生物学的標本中のアポリポタンパク質 AII の測定。")</f>
        <v>生物学的標本中のアポリポタンパク質 AII の測定。</v>
      </c>
      <c r="I307" s="3" t="str">
        <f ca="1">IFERROR(__xludf.DUMMYFUNCTION("googletranslate(F307,""en"",""ja"")"),"アポリポタンパク質AIIの測定")</f>
        <v>アポリポタンパク質AIIの測定</v>
      </c>
    </row>
    <row r="308" spans="1:9" ht="30">
      <c r="A308" s="3" t="s">
        <v>6</v>
      </c>
      <c r="B308" s="3" t="s">
        <v>1291</v>
      </c>
      <c r="C308" s="3" t="s">
        <v>1292</v>
      </c>
      <c r="D308" s="3" t="s">
        <v>1292</v>
      </c>
      <c r="E308" s="3" t="s">
        <v>1293</v>
      </c>
      <c r="F308" s="3" t="s">
        <v>1294</v>
      </c>
      <c r="G308" s="3" t="str">
        <f ca="1">IFERROR(__xludf.DUMMYFUNCTION("googletranslate(D308,""en"",""ja"")"),"アポリポタンパク質A4")</f>
        <v>アポリポタンパク質A4</v>
      </c>
      <c r="H308" s="3" t="str">
        <f ca="1">IFERROR(__xludf.DUMMYFUNCTION("googletranslate(E308,""en"",""ja"")"),"生物学的標本中のアポリポタンパク質 A4 の測定。")</f>
        <v>生物学的標本中のアポリポタンパク質 A4 の測定。</v>
      </c>
      <c r="I308" s="3" t="str">
        <f ca="1">IFERROR(__xludf.DUMMYFUNCTION("googletranslate(F308,""en"",""ja"")"),"アポリポタンパク質A4の測定")</f>
        <v>アポリポタンパク質A4の測定</v>
      </c>
    </row>
    <row r="309" spans="1:9" ht="30">
      <c r="A309" s="3" t="s">
        <v>6</v>
      </c>
      <c r="B309" s="3" t="s">
        <v>1295</v>
      </c>
      <c r="C309" s="3" t="s">
        <v>1296</v>
      </c>
      <c r="D309" s="3" t="s">
        <v>1296</v>
      </c>
      <c r="E309" s="3" t="s">
        <v>1297</v>
      </c>
      <c r="F309" s="3" t="s">
        <v>1298</v>
      </c>
      <c r="G309" s="3" t="str">
        <f ca="1">IFERROR(__xludf.DUMMYFUNCTION("googletranslate(D309,""en"",""ja"")"),"アポリポタンパク質A5")</f>
        <v>アポリポタンパク質A5</v>
      </c>
      <c r="H309" s="3" t="str">
        <f ca="1">IFERROR(__xludf.DUMMYFUNCTION("googletranslate(E309,""en"",""ja"")"),"生物学的標本中のアポリポタンパク質 A5 の測定。")</f>
        <v>生物学的標本中のアポリポタンパク質 A5 の測定。</v>
      </c>
      <c r="I309" s="3" t="str">
        <f ca="1">IFERROR(__xludf.DUMMYFUNCTION("googletranslate(F309,""en"",""ja"")"),"アポリポタンパク質A5の測定")</f>
        <v>アポリポタンパク質A5の測定</v>
      </c>
    </row>
    <row r="310" spans="1:9" ht="30">
      <c r="A310" s="3" t="s">
        <v>6</v>
      </c>
      <c r="B310" s="3" t="s">
        <v>1299</v>
      </c>
      <c r="C310" s="3" t="s">
        <v>1300</v>
      </c>
      <c r="D310" s="3" t="s">
        <v>1300</v>
      </c>
      <c r="E310" s="3" t="s">
        <v>1301</v>
      </c>
      <c r="F310" s="3" t="s">
        <v>1302</v>
      </c>
      <c r="G310" s="3" t="str">
        <f ca="1">IFERROR(__xludf.DUMMYFUNCTION("googletranslate(D310,""en"",""ja"")"),"アポリポタンパク質B")</f>
        <v>アポリポタンパク質B</v>
      </c>
      <c r="H310" s="3" t="str">
        <f ca="1">IFERROR(__xludf.DUMMYFUNCTION("googletranslate(E310,""en"",""ja"")"),"生物学的標本中の総アポリポタンパク質 B の測定。")</f>
        <v>生物学的標本中の総アポリポタンパク質 B の測定。</v>
      </c>
      <c r="I310" s="3" t="str">
        <f ca="1">IFERROR(__xludf.DUMMYFUNCTION("googletranslate(F310,""en"",""ja"")"),"アポリポプロテインBの測定")</f>
        <v>アポリポプロテインBの測定</v>
      </c>
    </row>
    <row r="311" spans="1:9" ht="30">
      <c r="A311" s="3" t="s">
        <v>6</v>
      </c>
      <c r="B311" s="3" t="s">
        <v>1303</v>
      </c>
      <c r="C311" s="3" t="s">
        <v>1304</v>
      </c>
      <c r="D311" s="3" t="s">
        <v>1304</v>
      </c>
      <c r="E311" s="3" t="s">
        <v>1305</v>
      </c>
      <c r="F311" s="3" t="s">
        <v>1306</v>
      </c>
      <c r="G311" s="3" t="str">
        <f ca="1">IFERROR(__xludf.DUMMYFUNCTION("googletranslate(D311,""en"",""ja"")"),"アポリポタンパク質B100")</f>
        <v>アポリポタンパク質B100</v>
      </c>
      <c r="H311" s="3" t="str">
        <f ca="1">IFERROR(__xludf.DUMMYFUNCTION("googletranslate(E311,""en"",""ja"")"),"生物学的標本中のアポリポタンパク質 B100 の測定。")</f>
        <v>生物学的標本中のアポリポタンパク質 B100 の測定。</v>
      </c>
      <c r="I311" s="3" t="str">
        <f ca="1">IFERROR(__xludf.DUMMYFUNCTION("googletranslate(F311,""en"",""ja"")"),"アポリポタンパク質B100の測定")</f>
        <v>アポリポタンパク質B100の測定</v>
      </c>
    </row>
    <row r="312" spans="1:9" ht="30">
      <c r="A312" s="3" t="s">
        <v>6</v>
      </c>
      <c r="B312" s="3" t="s">
        <v>1307</v>
      </c>
      <c r="C312" s="3" t="s">
        <v>1308</v>
      </c>
      <c r="D312" s="3" t="s">
        <v>1308</v>
      </c>
      <c r="E312" s="3" t="s">
        <v>1309</v>
      </c>
      <c r="F312" s="3" t="s">
        <v>1310</v>
      </c>
      <c r="G312" s="3" t="str">
        <f ca="1">IFERROR(__xludf.DUMMYFUNCTION("googletranslate(D312,""en"",""ja"")"),"アポリポタンパク質B48")</f>
        <v>アポリポタンパク質B48</v>
      </c>
      <c r="H312" s="3" t="str">
        <f ca="1">IFERROR(__xludf.DUMMYFUNCTION("googletranslate(E312,""en"",""ja"")"),"生物学的標本中のアポリポタンパク質 B48 の測定。")</f>
        <v>生物学的標本中のアポリポタンパク質 B48 の測定。</v>
      </c>
      <c r="I312" s="3" t="str">
        <f ca="1">IFERROR(__xludf.DUMMYFUNCTION("googletranslate(F312,""en"",""ja"")"),"アポリポタンパク質B48の測定")</f>
        <v>アポリポタンパク質B48の測定</v>
      </c>
    </row>
    <row r="313" spans="1:9" ht="45">
      <c r="A313" s="3" t="s">
        <v>6</v>
      </c>
      <c r="B313" s="3" t="s">
        <v>1311</v>
      </c>
      <c r="C313" s="3" t="s">
        <v>1312</v>
      </c>
      <c r="D313" s="3" t="s">
        <v>1312</v>
      </c>
      <c r="E313" s="3" t="s">
        <v>1313</v>
      </c>
      <c r="F313" s="3" t="s">
        <v>1314</v>
      </c>
      <c r="G313" s="3" t="str">
        <f ca="1">IFERROR(__xludf.DUMMYFUNCTION("googletranslate(D313,""en"",""ja"")"),"アポリポプロテインB/アポリポプロテインA1")</f>
        <v>アポリポプロテインB/アポリポプロテインA1</v>
      </c>
      <c r="H313" s="3" t="str">
        <f ca="1">IFERROR(__xludf.DUMMYFUNCTION("googletranslate(E313,""en"",""ja"")"),"生物学的標本におけるアポリポタンパク質 A1 に対するアポリポタンパク質 B の相対測定値 (比率またはパーセンテージ)。")</f>
        <v>生物学的標本におけるアポリポタンパク質 A1 に対するアポリポタンパク質 B の相対測定値 (比率またはパーセンテージ)。</v>
      </c>
      <c r="I313" s="3" t="str">
        <f ca="1">IFERROR(__xludf.DUMMYFUNCTION("googletranslate(F313,""en"",""ja"")"),"アポリポタンパク質Bとアポリポタンパク質A1の比率の測定")</f>
        <v>アポリポタンパク質Bとアポリポタンパク質A1の比率の測定</v>
      </c>
    </row>
    <row r="314" spans="1:9" ht="30">
      <c r="A314" s="3" t="s">
        <v>6</v>
      </c>
      <c r="B314" s="3" t="s">
        <v>1315</v>
      </c>
      <c r="C314" s="3" t="s">
        <v>1316</v>
      </c>
      <c r="D314" s="3" t="s">
        <v>1316</v>
      </c>
      <c r="E314" s="3" t="s">
        <v>1317</v>
      </c>
      <c r="F314" s="3" t="s">
        <v>1318</v>
      </c>
      <c r="G314" s="3" t="str">
        <f ca="1">IFERROR(__xludf.DUMMYFUNCTION("googletranslate(D314,""en"",""ja"")"),"アポリポタンパク質CI")</f>
        <v>アポリポタンパク質CI</v>
      </c>
      <c r="H314" s="3" t="str">
        <f ca="1">IFERROR(__xludf.DUMMYFUNCTION("googletranslate(E314,""en"",""ja"")"),"生物学的標本中のアポリポタンパク質 CI の測定。")</f>
        <v>生物学的標本中のアポリポタンパク質 CI の測定。</v>
      </c>
      <c r="I314" s="3" t="str">
        <f ca="1">IFERROR(__xludf.DUMMYFUNCTION("googletranslate(F314,""en"",""ja"")"),"アポリポタンパク質CI測定")</f>
        <v>アポリポタンパク質CI測定</v>
      </c>
    </row>
    <row r="315" spans="1:9" ht="30">
      <c r="A315" s="3" t="s">
        <v>6</v>
      </c>
      <c r="B315" s="3" t="s">
        <v>1319</v>
      </c>
      <c r="C315" s="3" t="s">
        <v>1320</v>
      </c>
      <c r="D315" s="3" t="s">
        <v>1321</v>
      </c>
      <c r="E315" s="3" t="s">
        <v>1322</v>
      </c>
      <c r="F315" s="3" t="s">
        <v>1323</v>
      </c>
      <c r="G315" s="3" t="str">
        <f ca="1">IFERROR(__xludf.DUMMYFUNCTION("googletranslate(D315,""en"",""ja"")"),"アポリポタンパク質 C2;アポリポタンパク質CII")</f>
        <v>アポリポタンパク質 C2;アポリポタンパク質CII</v>
      </c>
      <c r="H315" s="3" t="str">
        <f ca="1">IFERROR(__xludf.DUMMYFUNCTION("googletranslate(E315,""en"",""ja"")"),"生物学的標本中のアポリポタンパク質 C2 の測定。")</f>
        <v>生物学的標本中のアポリポタンパク質 C2 の測定。</v>
      </c>
      <c r="I315" s="3" t="str">
        <f ca="1">IFERROR(__xludf.DUMMYFUNCTION("googletranslate(F315,""en"",""ja"")"),"アポリポタンパク質C2の測定")</f>
        <v>アポリポタンパク質C2の測定</v>
      </c>
    </row>
    <row r="316" spans="1:9" ht="30">
      <c r="A316" s="3" t="s">
        <v>6</v>
      </c>
      <c r="B316" s="3" t="s">
        <v>1324</v>
      </c>
      <c r="C316" s="3" t="s">
        <v>1325</v>
      </c>
      <c r="D316" s="3" t="s">
        <v>1325</v>
      </c>
      <c r="E316" s="3" t="s">
        <v>1326</v>
      </c>
      <c r="F316" s="3" t="s">
        <v>1327</v>
      </c>
      <c r="G316" s="3" t="str">
        <f ca="1">IFERROR(__xludf.DUMMYFUNCTION("googletranslate(D316,""en"",""ja"")"),"アポリポタンパク質CIII")</f>
        <v>アポリポタンパク質CIII</v>
      </c>
      <c r="H316" s="3" t="str">
        <f ca="1">IFERROR(__xludf.DUMMYFUNCTION("googletranslate(E316,""en"",""ja"")"),"生物学的標本中のアポリポタンパク質 CIII の測定。")</f>
        <v>生物学的標本中のアポリポタンパク質 CIII の測定。</v>
      </c>
      <c r="I316" s="3" t="str">
        <f ca="1">IFERROR(__xludf.DUMMYFUNCTION("googletranslate(F316,""en"",""ja"")"),"アポリポタンパク質CIIIの測定")</f>
        <v>アポリポタンパク質CIIIの測定</v>
      </c>
    </row>
    <row r="317" spans="1:9" ht="30">
      <c r="A317" s="3" t="s">
        <v>6</v>
      </c>
      <c r="B317" s="3" t="s">
        <v>1328</v>
      </c>
      <c r="C317" s="3" t="s">
        <v>1329</v>
      </c>
      <c r="D317" s="3" t="s">
        <v>1329</v>
      </c>
      <c r="E317" s="3" t="s">
        <v>1330</v>
      </c>
      <c r="F317" s="3" t="s">
        <v>1331</v>
      </c>
      <c r="G317" s="3" t="str">
        <f ca="1">IFERROR(__xludf.DUMMYFUNCTION("googletranslate(D317,""en"",""ja"")"),"アポリポプロテインD")</f>
        <v>アポリポプロテインD</v>
      </c>
      <c r="H317" s="3" t="str">
        <f ca="1">IFERROR(__xludf.DUMMYFUNCTION("googletranslate(E317,""en"",""ja"")"),"生物学的標本中のアポリポタンパク質 D の測定。")</f>
        <v>生物学的標本中のアポリポタンパク質 D の測定。</v>
      </c>
      <c r="I317" s="3" t="str">
        <f ca="1">IFERROR(__xludf.DUMMYFUNCTION("googletranslate(F317,""en"",""ja"")"),"アポリポプロテインDの測定")</f>
        <v>アポリポプロテインDの測定</v>
      </c>
    </row>
    <row r="318" spans="1:9" ht="30">
      <c r="A318" s="3" t="s">
        <v>6</v>
      </c>
      <c r="B318" s="3" t="s">
        <v>1332</v>
      </c>
      <c r="C318" s="3" t="s">
        <v>1333</v>
      </c>
      <c r="D318" s="3" t="s">
        <v>1333</v>
      </c>
      <c r="E318" s="3" t="s">
        <v>1334</v>
      </c>
      <c r="F318" s="3" t="s">
        <v>1335</v>
      </c>
      <c r="G318" s="3" t="str">
        <f ca="1">IFERROR(__xludf.DUMMYFUNCTION("googletranslate(D318,""en"",""ja"")"),"アポリポプロテインE")</f>
        <v>アポリポプロテインE</v>
      </c>
      <c r="H318" s="3" t="str">
        <f ca="1">IFERROR(__xludf.DUMMYFUNCTION("googletranslate(E318,""en"",""ja"")"),"生物学的標本中のアポリポタンパク質 E の測定。")</f>
        <v>生物学的標本中のアポリポタンパク質 E の測定。</v>
      </c>
      <c r="I318" s="3" t="str">
        <f ca="1">IFERROR(__xludf.DUMMYFUNCTION("googletranslate(F318,""en"",""ja"")"),"アポリポプロテインEの測定")</f>
        <v>アポリポプロテインEの測定</v>
      </c>
    </row>
    <row r="319" spans="1:9" ht="30">
      <c r="A319" s="3" t="s">
        <v>6</v>
      </c>
      <c r="B319" s="3" t="s">
        <v>1336</v>
      </c>
      <c r="C319" s="3" t="s">
        <v>1337</v>
      </c>
      <c r="D319" s="3" t="s">
        <v>1337</v>
      </c>
      <c r="E319" s="3" t="s">
        <v>1338</v>
      </c>
      <c r="F319" s="3" t="s">
        <v>1339</v>
      </c>
      <c r="G319" s="3" t="str">
        <f ca="1">IFERROR(__xludf.DUMMYFUNCTION("googletranslate(D319,""en"",""ja"")"),"アポリポタンパク質 E4")</f>
        <v>アポリポタンパク質 E4</v>
      </c>
      <c r="H319" s="3" t="str">
        <f ca="1">IFERROR(__xludf.DUMMYFUNCTION("googletranslate(E319,""en"",""ja"")"),"生物学的標本中のアポリポタンパク質 E4 の測定。")</f>
        <v>生物学的標本中のアポリポタンパク質 E4 の測定。</v>
      </c>
      <c r="I319" s="3" t="str">
        <f ca="1">IFERROR(__xludf.DUMMYFUNCTION("googletranslate(F319,""en"",""ja"")"),"アポリポタンパク質E4の測定")</f>
        <v>アポリポタンパク質E4の測定</v>
      </c>
    </row>
    <row r="320" spans="1:9" ht="30">
      <c r="A320" s="3" t="s">
        <v>6</v>
      </c>
      <c r="B320" s="3" t="s">
        <v>1340</v>
      </c>
      <c r="C320" s="3" t="s">
        <v>1341</v>
      </c>
      <c r="D320" s="3" t="s">
        <v>1341</v>
      </c>
      <c r="E320" s="3" t="s">
        <v>1342</v>
      </c>
      <c r="F320" s="3" t="s">
        <v>1343</v>
      </c>
      <c r="G320" s="3" t="str">
        <f ca="1">IFERROR(__xludf.DUMMYFUNCTION("googletranslate(D320,""en"",""ja"")"),"アポリポプロテインH")</f>
        <v>アポリポプロテインH</v>
      </c>
      <c r="H320" s="3" t="str">
        <f ca="1">IFERROR(__xludf.DUMMYFUNCTION("googletranslate(E320,""en"",""ja"")"),"生物学的標本中のアポリポタンパク質 H の測定。")</f>
        <v>生物学的標本中のアポリポタンパク質 H の測定。</v>
      </c>
      <c r="I320" s="3" t="str">
        <f ca="1">IFERROR(__xludf.DUMMYFUNCTION("googletranslate(F320,""en"",""ja"")"),"アポリポプロテインHの測定")</f>
        <v>アポリポプロテインHの測定</v>
      </c>
    </row>
    <row r="321" spans="1:9" ht="30">
      <c r="A321" s="3" t="s">
        <v>6</v>
      </c>
      <c r="B321" s="3" t="s">
        <v>1344</v>
      </c>
      <c r="C321" s="3" t="s">
        <v>1345</v>
      </c>
      <c r="D321" s="3" t="s">
        <v>1346</v>
      </c>
      <c r="E321" s="3" t="s">
        <v>1347</v>
      </c>
      <c r="F321" s="3" t="s">
        <v>1348</v>
      </c>
      <c r="G321" s="3" t="str">
        <f ca="1">IFERROR(__xludf.DUMMYFUNCTION("googletranslate(D321,""en"",""ja"")"),"アポリポプロテイン J;クラスタリン")</f>
        <v>アポリポプロテイン J;クラスタリン</v>
      </c>
      <c r="H321" s="3" t="str">
        <f ca="1">IFERROR(__xludf.DUMMYFUNCTION("googletranslate(E321,""en"",""ja"")"),"生物学的標本中のアポリポタンパク質 J の測定。")</f>
        <v>生物学的標本中のアポリポタンパク質 J の測定。</v>
      </c>
      <c r="I321" s="3" t="str">
        <f ca="1">IFERROR(__xludf.DUMMYFUNCTION("googletranslate(F321,""en"",""ja"")"),"アポリポプロテインJの測定")</f>
        <v>アポリポプロテインJの測定</v>
      </c>
    </row>
    <row r="322" spans="1:9" ht="45">
      <c r="A322" s="3" t="s">
        <v>6</v>
      </c>
      <c r="B322" s="3" t="s">
        <v>1349</v>
      </c>
      <c r="C322" s="3" t="s">
        <v>1350</v>
      </c>
      <c r="D322" s="3" t="s">
        <v>1351</v>
      </c>
      <c r="E322" s="3" t="s">
        <v>1352</v>
      </c>
      <c r="F322" s="3" t="s">
        <v>1353</v>
      </c>
      <c r="G322" s="3" t="str">
        <f ca="1">IFERROR(__xludf.DUMMYFUNCTION("googletranslate(D322,""en"",""ja"")"),"アポリポプロテイン J/クレアチニン;クラスタリン/クレアチニン")</f>
        <v>アポリポプロテイン J/クレアチニン;クラスタリン/クレアチニン</v>
      </c>
      <c r="H322" s="3" t="str">
        <f ca="1">IFERROR(__xludf.DUMMYFUNCTION("googletranslate(E322,""en"",""ja"")"),"生物学的標本中のクレアチニンに対するアポリポタンパク質 J の相対測定値 (比率またはパーセンテージ)。")</f>
        <v>生物学的標本中のクレアチニンに対するアポリポタンパク質 J の相対測定値 (比率またはパーセンテージ)。</v>
      </c>
      <c r="I322" s="3" t="str">
        <f ca="1">IFERROR(__xludf.DUMMYFUNCTION("googletranslate(F322,""en"",""ja"")"),"アポリポプロテイン J とクレアチニンの比率の測定")</f>
        <v>アポリポプロテイン J とクレアチニンの比率の測定</v>
      </c>
    </row>
    <row r="323" spans="1:9" ht="30">
      <c r="A323" s="3" t="s">
        <v>81</v>
      </c>
      <c r="B323" s="3" t="s">
        <v>1354</v>
      </c>
      <c r="C323" s="3" t="s">
        <v>1355</v>
      </c>
      <c r="D323" s="3" t="s">
        <v>1355</v>
      </c>
      <c r="E323" s="3" t="s">
        <v>1356</v>
      </c>
      <c r="F323" s="3" t="s">
        <v>1355</v>
      </c>
      <c r="G323" s="3" t="str">
        <f ca="1">IFERROR(__xludf.DUMMYFUNCTION("googletranslate(D323,""en"",""ja"")"),"大動脈管後縮窄症の重症度")</f>
        <v>大動脈管後縮窄症の重症度</v>
      </c>
      <c r="H323" s="3" t="str">
        <f ca="1">IFERROR(__xludf.DUMMYFUNCTION("googletranslate(E323,""en"",""ja"")"),"管後大動脈縮窄症の重症度の評価。")</f>
        <v>管後大動脈縮窄症の重症度の評価。</v>
      </c>
      <c r="I323" s="3" t="str">
        <f ca="1">IFERROR(__xludf.DUMMYFUNCTION("googletranslate(F323,""en"",""ja"")"),"大動脈管後縮窄症の重症度")</f>
        <v>大動脈管後縮窄症の重症度</v>
      </c>
    </row>
    <row r="324" spans="1:9" ht="30">
      <c r="A324" s="3" t="s">
        <v>6</v>
      </c>
      <c r="B324" s="3" t="s">
        <v>1357</v>
      </c>
      <c r="C324" s="3" t="s">
        <v>1358</v>
      </c>
      <c r="D324" s="3" t="s">
        <v>1358</v>
      </c>
      <c r="E324" s="3" t="s">
        <v>1359</v>
      </c>
      <c r="F324" s="3" t="s">
        <v>1360</v>
      </c>
      <c r="G324" s="3" t="str">
        <f ca="1">IFERROR(__xludf.DUMMYFUNCTION("googletranslate(D324,""en"",""ja"")"),"アミロイドα前駆体タンパク質")</f>
        <v>アミロイドα前駆体タンパク質</v>
      </c>
      <c r="H324" s="3" t="str">
        <f ca="1">IFERROR(__xludf.DUMMYFUNCTION("googletranslate(E324,""en"",""ja"")"),"生物学的標本に存在するアミロイド アルファ前駆体タンパク質の測定。")</f>
        <v>生物学的標本に存在するアミロイド アルファ前駆体タンパク質の測定。</v>
      </c>
      <c r="I324" s="3" t="str">
        <f ca="1">IFERROR(__xludf.DUMMYFUNCTION("googletranslate(F324,""en"",""ja"")"),"アミロイドα前駆体タンパク質の測定")</f>
        <v>アミロイドα前駆体タンパク質の測定</v>
      </c>
    </row>
    <row r="325" spans="1:9" ht="60">
      <c r="A325" s="3" t="s">
        <v>6</v>
      </c>
      <c r="B325" s="3" t="s">
        <v>1361</v>
      </c>
      <c r="C325" s="3" t="s">
        <v>1362</v>
      </c>
      <c r="D325" s="3" t="s">
        <v>1363</v>
      </c>
      <c r="E325" s="3" t="s">
        <v>1364</v>
      </c>
      <c r="F325" s="3" t="s">
        <v>1365</v>
      </c>
      <c r="G325" s="3" t="str">
        <f ca="1">IFERROR(__xludf.DUMMYFUNCTION("googletranslate(D325,""en"",""ja"")"),"アミロイドベータ前駆体;アミロイドベータ前駆体タンパク質;アミロイド前駆体ベータ。アミロイド前駆体タンパク質")</f>
        <v>アミロイドベータ前駆体;アミロイドベータ前駆体タンパク質;アミロイド前駆体ベータ。アミロイド前駆体タンパク質</v>
      </c>
      <c r="H325" s="3" t="str">
        <f ca="1">IFERROR(__xludf.DUMMYFUNCTION("googletranslate(E325,""en"",""ja"")"),"生物学的標本に存在するアミロイド ベータ前駆体タンパク質の測定。")</f>
        <v>生物学的標本に存在するアミロイド ベータ前駆体タンパク質の測定。</v>
      </c>
      <c r="I325" s="3" t="str">
        <f ca="1">IFERROR(__xludf.DUMMYFUNCTION("googletranslate(F325,""en"",""ja"")"),"アミロイドベータ前駆体タンパク質の測定")</f>
        <v>アミロイドベータ前駆体タンパク質の測定</v>
      </c>
    </row>
    <row r="326" spans="1:9">
      <c r="A326" s="3" t="s">
        <v>6</v>
      </c>
      <c r="B326" s="3" t="s">
        <v>1366</v>
      </c>
      <c r="C326" s="3" t="s">
        <v>1367</v>
      </c>
      <c r="D326" s="3" t="s">
        <v>1367</v>
      </c>
      <c r="E326" s="3" t="s">
        <v>1368</v>
      </c>
      <c r="F326" s="3" t="s">
        <v>1369</v>
      </c>
      <c r="G326" s="3" t="str">
        <f ca="1">IFERROR(__xludf.DUMMYFUNCTION("googletranslate(D326,""en"",""ja"")"),"試験片の外観")</f>
        <v>試験片の外観</v>
      </c>
      <c r="H326" s="3" t="str">
        <f ca="1">IFERROR(__xludf.DUMMYFUNCTION("googletranslate(E326,""en"",""ja"")"),"標本の外側または目に見える側面。")</f>
        <v>標本の外側または目に見える側面。</v>
      </c>
      <c r="I326" s="3" t="str">
        <f ca="1">IFERROR(__xludf.DUMMYFUNCTION("googletranslate(F326,""en"",""ja"")"),"試験片の外観評価")</f>
        <v>試験片の外観評価</v>
      </c>
    </row>
    <row r="327" spans="1:9">
      <c r="A327" s="3" t="s">
        <v>185</v>
      </c>
      <c r="B327" s="3" t="s">
        <v>1366</v>
      </c>
      <c r="C327" s="3" t="s">
        <v>1370</v>
      </c>
      <c r="D327" s="3" t="s">
        <v>1371</v>
      </c>
      <c r="E327" s="3" t="s">
        <v>1372</v>
      </c>
      <c r="F327" s="3" t="s">
        <v>1370</v>
      </c>
      <c r="G327" s="3" t="str">
        <f ca="1">IFERROR(__xludf.DUMMYFUNCTION("googletranslate(D327,""en"",""ja"")"),"アパー")</f>
        <v>アパー</v>
      </c>
      <c r="H327" s="3" t="str">
        <f ca="1">IFERROR(__xludf.DUMMYFUNCTION("googletranslate(E327,""en"",""ja"")"),"エンティティの外側または目に見える側面。")</f>
        <v>エンティティの外側または目に見える側面。</v>
      </c>
      <c r="I327" s="3" t="str">
        <f ca="1">IFERROR(__xludf.DUMMYFUNCTION("googletranslate(F327,""en"",""ja"")"),"外観")</f>
        <v>外観</v>
      </c>
    </row>
    <row r="328" spans="1:9" ht="30">
      <c r="A328" s="3" t="s">
        <v>6</v>
      </c>
      <c r="B328" s="3" t="s">
        <v>1373</v>
      </c>
      <c r="C328" s="3" t="s">
        <v>1374</v>
      </c>
      <c r="D328" s="3" t="s">
        <v>1374</v>
      </c>
      <c r="E328" s="3" t="s">
        <v>1375</v>
      </c>
      <c r="F328" s="3" t="s">
        <v>1376</v>
      </c>
      <c r="G328" s="3" t="str">
        <f ca="1">IFERROR(__xludf.DUMMYFUNCTION("googletranslate(D328,""en"",""ja"")"),"総アミロイド前駆体タンパク質")</f>
        <v>総アミロイド前駆体タンパク質</v>
      </c>
      <c r="H328" s="3" t="str">
        <f ca="1">IFERROR(__xludf.DUMMYFUNCTION("googletranslate(E328,""en"",""ja"")"),"生物学的標本中に存在するアミロイド前駆体タンパク質の総量の測定。")</f>
        <v>生物学的標本中に存在するアミロイド前駆体タンパク質の総量の測定。</v>
      </c>
      <c r="I328" s="3" t="str">
        <f ca="1">IFERROR(__xludf.DUMMYFUNCTION("googletranslate(F328,""en"",""ja"")"),"総アミロイド前駆体タンパク質の測定")</f>
        <v>総アミロイド前駆体タンパク質の測定</v>
      </c>
    </row>
    <row r="329" spans="1:9">
      <c r="A329" s="3" t="s">
        <v>6</v>
      </c>
      <c r="B329" s="3" t="s">
        <v>1377</v>
      </c>
      <c r="C329" s="3" t="s">
        <v>1378</v>
      </c>
      <c r="D329" s="3" t="s">
        <v>1378</v>
      </c>
      <c r="E329" s="3" t="s">
        <v>1379</v>
      </c>
      <c r="F329" s="3" t="s">
        <v>1380</v>
      </c>
      <c r="G329" s="3" t="str">
        <f ca="1">IFERROR(__xludf.DUMMYFUNCTION("googletranslate(D329,""en"",""ja"")"),"不適切な")</f>
        <v>不適切な</v>
      </c>
      <c r="H329" s="3" t="str">
        <f ca="1">IFERROR(__xludf.DUMMYFUNCTION("googletranslate(E329,""en"",""ja"")"),"生物学的標本中のアプロバルビタールの測定。")</f>
        <v>生物学的標本中のアプロバルビタールの測定。</v>
      </c>
      <c r="I329" s="3" t="str">
        <f ca="1">IFERROR(__xludf.DUMMYFUNCTION("googletranslate(F329,""en"",""ja"")"),"アプロバビタル測定")</f>
        <v>アプロバビタル測定</v>
      </c>
    </row>
    <row r="330" spans="1:9" ht="30">
      <c r="A330" s="3" t="s">
        <v>81</v>
      </c>
      <c r="B330" s="3" t="s">
        <v>1381</v>
      </c>
      <c r="C330" s="3" t="s">
        <v>1382</v>
      </c>
      <c r="D330" s="3" t="s">
        <v>1382</v>
      </c>
      <c r="E330" s="3" t="s">
        <v>1383</v>
      </c>
      <c r="F330" s="3" t="s">
        <v>1382</v>
      </c>
      <c r="G330" s="3" t="str">
        <f ca="1">IFERROR(__xludf.DUMMYFUNCTION("googletranslate(D330,""en"",""ja"")"),"大動脈管前縮窄症の重症度")</f>
        <v>大動脈管前縮窄症の重症度</v>
      </c>
      <c r="H330" s="3" t="str">
        <f ca="1">IFERROR(__xludf.DUMMYFUNCTION("googletranslate(E330,""en"",""ja"")"),"管前大動脈縮窄症の重症度の評価。")</f>
        <v>管前大動脈縮窄症の重症度の評価。</v>
      </c>
      <c r="I330" s="3" t="str">
        <f ca="1">IFERROR(__xludf.DUMMYFUNCTION("googletranslate(F330,""en"",""ja"")"),"大動脈管前縮窄症の重症度")</f>
        <v>大動脈管前縮窄症の重症度</v>
      </c>
    </row>
    <row r="331" spans="1:9" ht="60">
      <c r="A331" s="3" t="s">
        <v>6</v>
      </c>
      <c r="B331" s="3" t="s">
        <v>1384</v>
      </c>
      <c r="C331" s="3" t="s">
        <v>1385</v>
      </c>
      <c r="D331" s="3" t="s">
        <v>1386</v>
      </c>
      <c r="E331" s="3" t="s">
        <v>1387</v>
      </c>
      <c r="F331" s="3" t="s">
        <v>1388</v>
      </c>
      <c r="G331" s="3" t="str">
        <f ca="1">IFERROR(__xludf.DUMMYFUNCTION("googletranslate(D331,""en"",""ja"")"),"アプリスコア; AST対血小板比指数")</f>
        <v>アプリスコア; AST対血小板比指数</v>
      </c>
      <c r="H331" s="3" t="str">
        <f ca="1">IFERROR(__xludf.DUMMYFUNCTION("googletranslate(E331,""en"",""ja"")"),"肝硬変および肝線維症の存在の可能性を示す計算。アスパラギン酸アミノトランスフェラーゼ (AST) の正常値の AST 上限に対する相対測定値として測定され、血小板数で割って 100 を掛けます。")</f>
        <v>肝硬変および肝線維症の存在の可能性を示す計算。アスパラギン酸アミノトランスフェラーゼ (AST) の正常値の AST 上限に対する相対測定値として測定され、血小板数で割って 100 を掛けます。</v>
      </c>
      <c r="I331" s="3" t="str">
        <f ca="1">IFERROR(__xludf.DUMMYFUNCTION("googletranslate(F331,""en"",""ja"")"),"アスパラギン酸アミノトランスフェラーゼと血小板の比率指数")</f>
        <v>アスパラギン酸アミノトランスフェラーゼと血小板の比率指数</v>
      </c>
    </row>
    <row r="332" spans="1:9" ht="60">
      <c r="A332" s="3" t="s">
        <v>6</v>
      </c>
      <c r="B332" s="3" t="s">
        <v>1389</v>
      </c>
      <c r="C332" s="3" t="s">
        <v>1390</v>
      </c>
      <c r="D332" s="3" t="s">
        <v>1391</v>
      </c>
      <c r="E332" s="3" t="s">
        <v>1392</v>
      </c>
      <c r="F332" s="3" t="s">
        <v>1393</v>
      </c>
      <c r="G332" s="3" t="str">
        <f ca="1">IFERROR(__xludf.DUMMYFUNCTION("googletranslate(D332,""en"",""ja"")"),"増殖誘導リガンド。可溶性CD256; TNFSF13;腫瘍壊死因子リガンドスーパーファミリーメンバー 13")</f>
        <v>増殖誘導リガンド。可溶性CD256; TNFSF13;腫瘍壊死因子リガンドスーパーファミリーメンバー 13</v>
      </c>
      <c r="H332" s="3" t="str">
        <f ca="1">IFERROR(__xludf.DUMMYFUNCTION("googletranslate(E332,""en"",""ja"")"),"生物学的標本中の増殖誘導リガンドの測定。")</f>
        <v>生物学的標本中の増殖誘導リガンドの測定。</v>
      </c>
      <c r="I332" s="3" t="str">
        <f ca="1">IFERROR(__xludf.DUMMYFUNCTION("googletranslate(F332,""en"",""ja"")"),"増殖誘導リガンドの測定")</f>
        <v>増殖誘導リガンドの測定</v>
      </c>
    </row>
    <row r="333" spans="1:9" ht="30">
      <c r="A333" s="3" t="s">
        <v>6</v>
      </c>
      <c r="B333" s="3" t="s">
        <v>1394</v>
      </c>
      <c r="C333" s="3" t="s">
        <v>1395</v>
      </c>
      <c r="D333" s="3" t="s">
        <v>1396</v>
      </c>
      <c r="E333" s="3" t="s">
        <v>1397</v>
      </c>
      <c r="F333" s="3" t="s">
        <v>1398</v>
      </c>
      <c r="G333" s="3" t="str">
        <f ca="1">IFERROR(__xludf.DUMMYFUNCTION("googletranslate(D333,""en"",""ja"")"),"活性化プロテインC耐性;ファクター V ライデン スクリーン")</f>
        <v>活性化プロテインC耐性;ファクター V ライデン スクリーン</v>
      </c>
      <c r="H333" s="3" t="str">
        <f ca="1">IFERROR(__xludf.DUMMYFUNCTION("googletranslate(E333,""en"",""ja"")"),"生体標本における活性化プロテイン C に対する抗凝固反応の抵抗性の測定。")</f>
        <v>生体標本における活性化プロテイン C に対する抗凝固反応の抵抗性の測定。</v>
      </c>
      <c r="I333" s="3" t="str">
        <f ca="1">IFERROR(__xludf.DUMMYFUNCTION("googletranslate(F333,""en"",""ja"")"),"活性化プロテインC抵抗性測定")</f>
        <v>活性化プロテインC抵抗性測定</v>
      </c>
    </row>
    <row r="334" spans="1:9" ht="30">
      <c r="A334" s="3" t="s">
        <v>81</v>
      </c>
      <c r="B334" s="3" t="s">
        <v>1399</v>
      </c>
      <c r="C334" s="3" t="s">
        <v>1400</v>
      </c>
      <c r="D334" s="3" t="s">
        <v>1400</v>
      </c>
      <c r="E334" s="3" t="s">
        <v>1401</v>
      </c>
      <c r="F334" s="3" t="s">
        <v>1400</v>
      </c>
      <c r="G334" s="3" t="str">
        <f ca="1">IFERROR(__xludf.DUMMYFUNCTION("googletranslate(D334,""en"",""ja"")"),"環状面収縮期変位")</f>
        <v>環状面収縮期変位</v>
      </c>
      <c r="H334" s="3" t="str">
        <f ca="1">IFERROR(__xludf.DUMMYFUNCTION("googletranslate(E334,""en"",""ja"")"),"心臓弁輪の心臓の頂点に向かう長手方向の変位。")</f>
        <v>心臓弁輪の心臓の頂点に向かう長手方向の変位。</v>
      </c>
      <c r="I334" s="3" t="str">
        <f ca="1">IFERROR(__xludf.DUMMYFUNCTION("googletranslate(F334,""en"",""ja"")"),"環状面収縮期変位")</f>
        <v>環状面収縮期変位</v>
      </c>
    </row>
    <row r="335" spans="1:9" ht="30">
      <c r="A335" s="3" t="s">
        <v>6</v>
      </c>
      <c r="B335" s="3" t="s">
        <v>1402</v>
      </c>
      <c r="C335" s="3" t="s">
        <v>1403</v>
      </c>
      <c r="D335" s="3" t="s">
        <v>1404</v>
      </c>
      <c r="E335" s="3" t="s">
        <v>1405</v>
      </c>
      <c r="F335" s="3" t="s">
        <v>1403</v>
      </c>
      <c r="G335" s="3" t="str">
        <f ca="1">IFERROR(__xludf.DUMMYFUNCTION("googletranslate(D335,""en"",""ja"")"),"アミロイド確率スコア; APS;血漿アミロイド確率スコア")</f>
        <v>アミロイド確率スコア; APS;血漿アミロイド確率スコア</v>
      </c>
      <c r="H335" s="3" t="str">
        <f ca="1">IFERROR(__xludf.DUMMYFUNCTION("googletranslate(E335,""en"",""ja"")"),"PET 画像検査で患者がアミロイド陽性である推定される可能性を表す確率スコア。")</f>
        <v>PET 画像検査で患者がアミロイド陽性である推定される可能性を表す確率スコア。</v>
      </c>
      <c r="I335" s="3" t="str">
        <f ca="1">IFERROR(__xludf.DUMMYFUNCTION("googletranslate(F335,""en"",""ja"")"),"アミロイド確率スコア")</f>
        <v>アミロイド確率スコア</v>
      </c>
    </row>
    <row r="336" spans="1:9" ht="60">
      <c r="A336" s="3" t="s">
        <v>6</v>
      </c>
      <c r="B336" s="3" t="s">
        <v>1406</v>
      </c>
      <c r="C336" s="3" t="s">
        <v>1407</v>
      </c>
      <c r="D336" s="3" t="s">
        <v>1407</v>
      </c>
      <c r="E336" s="3" t="s">
        <v>1408</v>
      </c>
      <c r="F336" s="3" t="s">
        <v>1407</v>
      </c>
      <c r="G336" s="3" t="str">
        <f ca="1">IFERROR(__xludf.DUMMYFUNCTION("googletranslate(D336,""en"",""ja"")"),"活性化された部分トロンボプラスチン時間")</f>
        <v>活性化された部分トロンボプラスチン時間</v>
      </c>
      <c r="H336" s="3" t="str">
        <f ca="1">IFERROR(__xludf.DUMMYFUNCTION("googletranslate(E336,""en"",""ja"")"),"活性化試薬を生物標本に添加したときに凝固が起こるまでにかかる時間の測定値。反応混合物には組織因子 (第 III 因子) が存在しないため、テストは部分的です。")</f>
        <v>活性化試薬を生物標本に添加したときに凝固が起こるまでにかかる時間の測定値。反応混合物には組織因子 (第 III 因子) が存在しないため、テストは部分的です。</v>
      </c>
      <c r="I336" s="3" t="str">
        <f ca="1">IFERROR(__xludf.DUMMYFUNCTION("googletranslate(F336,""en"",""ja"")"),"活性化された部分トロンボプラスチン時間")</f>
        <v>活性化された部分トロンボプラスチン時間</v>
      </c>
    </row>
    <row r="337" spans="1:9" ht="45">
      <c r="A337" s="3" t="s">
        <v>6</v>
      </c>
      <c r="B337" s="3" t="s">
        <v>1409</v>
      </c>
      <c r="C337" s="3" t="s">
        <v>1410</v>
      </c>
      <c r="D337" s="3" t="s">
        <v>1411</v>
      </c>
      <c r="E337" s="3" t="s">
        <v>1412</v>
      </c>
      <c r="F337" s="3" t="s">
        <v>1413</v>
      </c>
      <c r="G337" s="3" t="str">
        <f ca="1">IFERROR(__xludf.DUMMYFUNCTION("googletranslate(D337,""en"",""ja"")"),"APTT-LA 実際/コントロール;ループス抗凝固剤敏感性 APTT 実際/対照")</f>
        <v>APTT-LA 実際/コントロール;ループス抗凝固剤敏感性 APTT 実際/対照</v>
      </c>
      <c r="H337" s="3" t="str">
        <f ca="1">IFERROR(__xludf.DUMMYFUNCTION("googletranslate(E337,""en"",""ja"")"),"対照標本と比較した場合の、被験者の標本における狼瘡抗凝固剤感受性 APTT の相対測定値 (比率またはパーセンテージ)。")</f>
        <v>対照標本と比較した場合の、被験者の標本における狼瘡抗凝固剤感受性 APTT の相対測定値 (比率またはパーセンテージ)。</v>
      </c>
      <c r="I337" s="3" t="str">
        <f ca="1">IFERROR(__xludf.DUMMYFUNCTION("googletranslate(F337,""en"",""ja"")"),"APTT-LA 実対制御比測定")</f>
        <v>APTT-LA 実対制御比測定</v>
      </c>
    </row>
    <row r="338" spans="1:9" ht="45">
      <c r="A338" s="3" t="s">
        <v>6</v>
      </c>
      <c r="B338" s="3" t="s">
        <v>1414</v>
      </c>
      <c r="C338" s="3" t="s">
        <v>1415</v>
      </c>
      <c r="D338" s="3" t="s">
        <v>1416</v>
      </c>
      <c r="E338" s="3" t="s">
        <v>1417</v>
      </c>
      <c r="F338" s="3" t="s">
        <v>1418</v>
      </c>
      <c r="G338" s="3" t="str">
        <f ca="1">IFERROR(__xludf.DUMMYFUNCTION("googletranslate(D338,""en"",""ja"")"),"APTT-LA;アプトラ。ループス抗凝固剤敏感型 APTT")</f>
        <v>APTT-LA;アプトラ。ループス抗凝固剤敏感型 APTT</v>
      </c>
      <c r="H338" s="3" t="str">
        <f ca="1">IFERROR(__xludf.DUMMYFUNCTION("googletranslate(E338,""en"",""ja"")"),"ループス感受性試薬を血漿検体に添加したときに凝固が起こるまでにかかる時間の測定値。")</f>
        <v>ループス感受性試薬を血漿検体に添加したときに凝固が起こるまでにかかる時間の測定値。</v>
      </c>
      <c r="I338" s="3" t="str">
        <f ca="1">IFERROR(__xludf.DUMMYFUNCTION("googletranslate(F338,""en"",""ja"")"),"ループス抗凝固剤に敏感な APTT 測定")</f>
        <v>ループス抗凝固剤に敏感な APTT 測定</v>
      </c>
    </row>
    <row r="339" spans="1:9" ht="75">
      <c r="A339" s="3" t="s">
        <v>6</v>
      </c>
      <c r="B339" s="3" t="s">
        <v>1419</v>
      </c>
      <c r="C339" s="3" t="s">
        <v>1420</v>
      </c>
      <c r="D339" s="3" t="s">
        <v>1421</v>
      </c>
      <c r="E339" s="3" t="s">
        <v>1422</v>
      </c>
      <c r="F339" s="3" t="s">
        <v>1423</v>
      </c>
      <c r="G339" s="3" t="str">
        <f ca="1">IFERROR(__xludf.DUMMYFUNCTION("googletranslate(D339,""en"",""ja"")"),"活性化部分トロンボプラスチン時間/標準トロンボプラスチン時間。アクティブ化された PTT/標準。アクティブPTT/標準PTT")</f>
        <v>活性化部分トロンボプラスチン時間/標準トロンボプラスチン時間。アクティブ化された PTT/標準。アクティブPTT/標準PTT</v>
      </c>
      <c r="H339" s="3" t="str">
        <f ca="1">IFERROR(__xludf.DUMMYFUNCTION("googletranslate(E339,""en"",""ja"")"),"標準または対照部分トロンボプラスチン時間に対する対象の活性化部分トロンボプラスチン時間の相対測定値（比率またはパーセンテージ）。")</f>
        <v>標準または対照部分トロンボプラスチン時間に対する対象の活性化部分トロンボプラスチン時間の相対測定値（比率またはパーセンテージ）。</v>
      </c>
      <c r="I339" s="3" t="str">
        <f ca="1">IFERROR(__xludf.DUMMYFUNCTION("googletranslate(F339,""en"",""ja"")"),"PTT/標準比測定の有効化")</f>
        <v>PTT/標準比測定の有効化</v>
      </c>
    </row>
    <row r="340" spans="1:9" ht="45">
      <c r="A340" s="3" t="s">
        <v>1255</v>
      </c>
      <c r="B340" s="3" t="s">
        <v>1424</v>
      </c>
      <c r="C340" s="3" t="s">
        <v>1425</v>
      </c>
      <c r="D340" s="3" t="s">
        <v>1425</v>
      </c>
      <c r="E340" s="3" t="s">
        <v>1426</v>
      </c>
      <c r="F340" s="3" t="s">
        <v>1425</v>
      </c>
      <c r="G340" s="3" t="str">
        <f ca="1">IFERROR(__xludf.DUMMYFUNCTION("googletranslate(D340,""en"",""ja"")"),"画像取得マトリックスのサイズ")</f>
        <v>画像取得マトリックスのサイズ</v>
      </c>
      <c r="H340" s="3" t="str">
        <f ca="1">IFERROR(__xludf.DUMMYFUNCTION("googletranslate(E340,""en"",""ja"")"),"デジタル画像内の各直線寸法に割り当てられたデータ フィールド、ピクセル、またはデータ ポイントの数の測定値。 (NCI)")</f>
        <v>デジタル画像内の各直線寸法に割り当てられたデータ フィールド、ピクセル、またはデータ ポイントの数の測定値。 (NCI)</v>
      </c>
      <c r="I340" s="3" t="str">
        <f ca="1">IFERROR(__xludf.DUMMYFUNCTION("googletranslate(F340,""en"",""ja"")"),"画像取得マトリックスのサイズ")</f>
        <v>画像取得マトリックスのサイズ</v>
      </c>
    </row>
    <row r="341" spans="1:9" ht="30">
      <c r="A341" s="3" t="s">
        <v>6</v>
      </c>
      <c r="B341" s="3" t="s">
        <v>1427</v>
      </c>
      <c r="C341" s="3" t="s">
        <v>1428</v>
      </c>
      <c r="D341" s="3" t="s">
        <v>1428</v>
      </c>
      <c r="E341" s="3" t="s">
        <v>1429</v>
      </c>
      <c r="F341" s="3" t="s">
        <v>1430</v>
      </c>
      <c r="G341" s="3" t="str">
        <f ca="1">IFERROR(__xludf.DUMMYFUNCTION("googletranslate(D341,""en"",""ja"")"),"アラキドン酸")</f>
        <v>アラキドン酸</v>
      </c>
      <c r="H341" s="3" t="str">
        <f ca="1">IFERROR(__xludf.DUMMYFUNCTION("googletranslate(E341,""en"",""ja"")"),"生物学的標本中に存在するアラキドン酸の測定。")</f>
        <v>生物学的標本中に存在するアラキドン酸の測定。</v>
      </c>
      <c r="I341" s="3" t="str">
        <f ca="1">IFERROR(__xludf.DUMMYFUNCTION("googletranslate(F341,""en"",""ja"")"),"アラキドン酸の測定")</f>
        <v>アラキドン酸の測定</v>
      </c>
    </row>
    <row r="342" spans="1:9" ht="30">
      <c r="A342" s="3" t="s">
        <v>180</v>
      </c>
      <c r="B342" s="3" t="s">
        <v>1431</v>
      </c>
      <c r="C342" s="3" t="s">
        <v>1432</v>
      </c>
      <c r="D342" s="3" t="s">
        <v>1432</v>
      </c>
      <c r="E342" s="3" t="s">
        <v>1433</v>
      </c>
      <c r="F342" s="3" t="s">
        <v>1434</v>
      </c>
      <c r="G342" s="3" t="str">
        <f ca="1">IFERROR(__xludf.DUMMYFUNCTION("googletranslate(D342,""en"",""ja"")"),"アレルゲン誘発抗体")</f>
        <v>アレルゲン誘発抗体</v>
      </c>
      <c r="H342" s="3" t="str">
        <f ca="1">IFERROR(__xludf.DUMMYFUNCTION("googletranslate(E342,""en"",""ja"")"),"生物学的標本中の結合アレルゲン誘発性抗体の測定。")</f>
        <v>生物学的標本中の結合アレルゲン誘発性抗体の測定。</v>
      </c>
      <c r="I342" s="3" t="str">
        <f ca="1">IFERROR(__xludf.DUMMYFUNCTION("googletranslate(F342,""en"",""ja"")"),"アレルゲン誘発抗体測定")</f>
        <v>アレルゲン誘発抗体測定</v>
      </c>
    </row>
    <row r="343" spans="1:9" ht="30">
      <c r="A343" s="3" t="s">
        <v>210</v>
      </c>
      <c r="B343" s="3" t="s">
        <v>1435</v>
      </c>
      <c r="C343" s="3" t="s">
        <v>1436</v>
      </c>
      <c r="D343" s="3" t="s">
        <v>1436</v>
      </c>
      <c r="E343" s="3" t="s">
        <v>1437</v>
      </c>
      <c r="F343" s="3" t="s">
        <v>1436</v>
      </c>
      <c r="G343" s="3" t="str">
        <f ca="1">IFERROR(__xludf.DUMMYFUNCTION("googletranslate(D343,""en"",""ja"")"),"エリア")</f>
        <v>エリア</v>
      </c>
      <c r="H343" s="3" t="str">
        <f ca="1">IFERROR(__xludf.DUMMYFUNCTION("googletranslate(E343,""en"",""ja"")"),"境界内に囲まれた 2 次元サーフェスの範囲。 (NCI)")</f>
        <v>境界内に囲まれた 2 次元サーフェスの範囲。 (NCI)</v>
      </c>
      <c r="I343" s="3" t="str">
        <f ca="1">IFERROR(__xludf.DUMMYFUNCTION("googletranslate(F343,""en"",""ja"")"),"エリア")</f>
        <v>エリア</v>
      </c>
    </row>
    <row r="344" spans="1:9" ht="30">
      <c r="A344" s="3" t="s">
        <v>33</v>
      </c>
      <c r="B344" s="3" t="s">
        <v>1435</v>
      </c>
      <c r="C344" s="3" t="s">
        <v>1436</v>
      </c>
      <c r="D344" s="3" t="s">
        <v>1436</v>
      </c>
      <c r="E344" s="3" t="s">
        <v>1437</v>
      </c>
      <c r="F344" s="3" t="s">
        <v>1436</v>
      </c>
      <c r="G344" s="3" t="str">
        <f ca="1">IFERROR(__xludf.DUMMYFUNCTION("googletranslate(D344,""en"",""ja"")"),"エリア")</f>
        <v>エリア</v>
      </c>
      <c r="H344" s="3" t="str">
        <f ca="1">IFERROR(__xludf.DUMMYFUNCTION("googletranslate(E344,""en"",""ja"")"),"境界内に囲まれた 2 次元サーフェスの範囲。 (NCI)")</f>
        <v>境界内に囲まれた 2 次元サーフェスの範囲。 (NCI)</v>
      </c>
      <c r="I344" s="3" t="str">
        <f ca="1">IFERROR(__xludf.DUMMYFUNCTION("googletranslate(F344,""en"",""ja"")"),"エリア")</f>
        <v>エリア</v>
      </c>
    </row>
    <row r="345" spans="1:9" ht="45">
      <c r="A345" s="3" t="s">
        <v>81</v>
      </c>
      <c r="B345" s="3" t="s">
        <v>1438</v>
      </c>
      <c r="C345" s="3" t="s">
        <v>1439</v>
      </c>
      <c r="D345" s="3" t="s">
        <v>1439</v>
      </c>
      <c r="E345" s="3" t="s">
        <v>1440</v>
      </c>
      <c r="F345" s="3" t="s">
        <v>1441</v>
      </c>
      <c r="G345" s="3" t="str">
        <f ca="1">IFERROR(__xludf.DUMMYFUNCTION("googletranslate(D345,""en"",""ja"")"),"領域、心室拡張末期")</f>
        <v>領域、心室拡張末期</v>
      </c>
      <c r="H345" s="3" t="str">
        <f ca="1">IFERROR(__xludf.DUMMYFUNCTION("googletranslate(E345,""en"",""ja"")"),"心臓血管構造の境界内に囲まれ、心室拡張末期で測定される 2 次元表面。")</f>
        <v>心臓血管構造の境界内に囲まれ、心室拡張末期で測定される 2 次元表面。</v>
      </c>
      <c r="I345" s="3" t="str">
        <f ca="1">IFERROR(__xludf.DUMMYFUNCTION("googletranslate(F345,""en"",""ja"")"),"心室拡張末期の領域")</f>
        <v>心室拡張末期の領域</v>
      </c>
    </row>
    <row r="346" spans="1:9" ht="45">
      <c r="A346" s="3" t="s">
        <v>81</v>
      </c>
      <c r="B346" s="3" t="s">
        <v>1442</v>
      </c>
      <c r="C346" s="3" t="s">
        <v>1443</v>
      </c>
      <c r="D346" s="3" t="s">
        <v>1443</v>
      </c>
      <c r="E346" s="3" t="s">
        <v>1444</v>
      </c>
      <c r="F346" s="3" t="s">
        <v>1445</v>
      </c>
      <c r="G346" s="3" t="str">
        <f ca="1">IFERROR(__xludf.DUMMYFUNCTION("googletranslate(D346,""en"",""ja"")"),"領域、心室収縮末期")</f>
        <v>領域、心室収縮末期</v>
      </c>
      <c r="H346" s="3" t="str">
        <f ca="1">IFERROR(__xludf.DUMMYFUNCTION("googletranslate(E346,""en"",""ja"")"),"心血管構造の境界内に囲まれ、心室収縮末期に測定される 2 次元表面。")</f>
        <v>心血管構造の境界内に囲まれ、心室収縮末期に測定される 2 次元表面。</v>
      </c>
      <c r="I346" s="3" t="str">
        <f ca="1">IFERROR(__xludf.DUMMYFUNCTION("googletranslate(F346,""en"",""ja"")"),"心室収縮末期の領域")</f>
        <v>心室収縮末期の領域</v>
      </c>
    </row>
    <row r="347" spans="1:9" ht="30">
      <c r="A347" s="3" t="s">
        <v>6</v>
      </c>
      <c r="B347" s="3" t="s">
        <v>1446</v>
      </c>
      <c r="C347" s="3" t="s">
        <v>1447</v>
      </c>
      <c r="D347" s="3" t="s">
        <v>1448</v>
      </c>
      <c r="E347" s="3" t="s">
        <v>1449</v>
      </c>
      <c r="F347" s="3" t="s">
        <v>1450</v>
      </c>
      <c r="G347" s="3" t="str">
        <f ca="1">IFERROR(__xludf.DUMMYFUNCTION("googletranslate(D347,""en"",""ja"")"),"アンフィレグリン;神経鞘腫由来成長因子; SDGF")</f>
        <v>アンフィレグリン;神経鞘腫由来成長因子; SDGF</v>
      </c>
      <c r="H347" s="3" t="str">
        <f ca="1">IFERROR(__xludf.DUMMYFUNCTION("googletranslate(E347,""en"",""ja"")"),"生物学的標本中のアンフィレグリンの測定。")</f>
        <v>生物学的標本中のアンフィレグリンの測定。</v>
      </c>
      <c r="I347" s="3" t="str">
        <f ca="1">IFERROR(__xludf.DUMMYFUNCTION("googletranslate(F347,""en"",""ja"")"),"アンフィレグリンの測定")</f>
        <v>アンフィレグリンの測定</v>
      </c>
    </row>
    <row r="348" spans="1:9">
      <c r="A348" s="3" t="s">
        <v>6</v>
      </c>
      <c r="B348" s="3" t="s">
        <v>1451</v>
      </c>
      <c r="C348" s="3" t="s">
        <v>1452</v>
      </c>
      <c r="D348" s="3" t="s">
        <v>1452</v>
      </c>
      <c r="E348" s="3" t="s">
        <v>1453</v>
      </c>
      <c r="F348" s="3" t="s">
        <v>1454</v>
      </c>
      <c r="G348" s="3" t="str">
        <f ca="1">IFERROR(__xludf.DUMMYFUNCTION("googletranslate(D348,""en"",""ja"")"),"アルギニン")</f>
        <v>アルギニン</v>
      </c>
      <c r="H348" s="3" t="str">
        <f ca="1">IFERROR(__xludf.DUMMYFUNCTION("googletranslate(E348,""en"",""ja"")"),"生物学的標本中のアルギニンの測定。")</f>
        <v>生物学的標本中のアルギニンの測定。</v>
      </c>
      <c r="I348" s="3" t="str">
        <f ca="1">IFERROR(__xludf.DUMMYFUNCTION("googletranslate(F348,""en"",""ja"")"),"アルギニン測定")</f>
        <v>アルギニン測定</v>
      </c>
    </row>
    <row r="349" spans="1:9" ht="60">
      <c r="A349" s="3" t="s">
        <v>81</v>
      </c>
      <c r="B349" s="3" t="s">
        <v>1455</v>
      </c>
      <c r="C349" s="3" t="s">
        <v>1456</v>
      </c>
      <c r="D349" s="3" t="s">
        <v>1457</v>
      </c>
      <c r="E349" s="3" t="s">
        <v>1458</v>
      </c>
      <c r="F349" s="3" t="s">
        <v>1459</v>
      </c>
      <c r="G349" s="3" t="str">
        <f ca="1">IFERROR(__xludf.DUMMYFUNCTION("googletranslate(D349,""en"",""ja"")"),"大動脈逆流ジェット幅 LVOT 直径 Rt;大動脈逆流ジェット幅と左心室流出路直径の比")</f>
        <v>大動脈逆流ジェット幅 LVOT 直径 Rt;大動脈逆流ジェット幅と左心室流出路直径の比</v>
      </c>
      <c r="H349" s="3" t="str">
        <f ca="1">IFERROR(__xludf.DUMMYFUNCTION("googletranslate(E349,""en"",""ja"")"),"左心室流出路 (LVOT) 直径に対する大動脈逆流ジェット幅の相対測定値 (比)。")</f>
        <v>左心室流出路 (LVOT) 直径に対する大動脈逆流ジェット幅の相対測定値 (比)。</v>
      </c>
      <c r="I349" s="3" t="str">
        <f ca="1">IFERROR(__xludf.DUMMYFUNCTION("googletranslate(F349,""en"",""ja"")"),"大動脈逆流ジェット幅と左心室流出路直径の比")</f>
        <v>大動脈逆流ジェット幅と左心室流出路直径の比</v>
      </c>
    </row>
    <row r="350" spans="1:9" ht="30">
      <c r="A350" s="3" t="s">
        <v>6</v>
      </c>
      <c r="B350" s="3" t="s">
        <v>1460</v>
      </c>
      <c r="C350" s="3" t="s">
        <v>1461</v>
      </c>
      <c r="D350" s="3" t="s">
        <v>1462</v>
      </c>
      <c r="E350" s="3" t="s">
        <v>1463</v>
      </c>
      <c r="F350" s="3" t="s">
        <v>1464</v>
      </c>
      <c r="G350" s="3" t="str">
        <f ca="1">IFERROR(__xludf.DUMMYFUNCTION("googletranslate(D350,""en"",""ja"")"),"アルギニノコハク酸塩;アルギニノコハク酸")</f>
        <v>アルギニノコハク酸塩;アルギニノコハク酸</v>
      </c>
      <c r="H350" s="3" t="str">
        <f ca="1">IFERROR(__xludf.DUMMYFUNCTION("googletranslate(E350,""en"",""ja"")"),"生物学的標本中のアルギニノコハク酸の測定。")</f>
        <v>生物学的標本中のアルギニノコハク酸の測定。</v>
      </c>
      <c r="I350" s="3" t="str">
        <f ca="1">IFERROR(__xludf.DUMMYFUNCTION("googletranslate(F350,""en"",""ja"")"),"アルギニノコハク酸の測定")</f>
        <v>アルギニノコハク酸の測定</v>
      </c>
    </row>
    <row r="351" spans="1:9" ht="30">
      <c r="A351" s="3" t="s">
        <v>180</v>
      </c>
      <c r="B351" s="3" t="s">
        <v>1465</v>
      </c>
      <c r="C351" s="3" t="s">
        <v>1466</v>
      </c>
      <c r="D351" s="3" t="s">
        <v>1466</v>
      </c>
      <c r="E351" s="3" t="s">
        <v>1467</v>
      </c>
      <c r="F351" s="3" t="s">
        <v>1468</v>
      </c>
      <c r="G351" s="3" t="str">
        <f ca="1">IFERROR(__xludf.DUMMYFUNCTION("googletranslate(D351,""en"",""ja"")"),"アレルゲン誘発性 IgA 抗体")</f>
        <v>アレルゲン誘発性 IgA 抗体</v>
      </c>
      <c r="H351" s="3" t="str">
        <f ca="1">IFERROR(__xludf.DUMMYFUNCTION("googletranslate(E351,""en"",""ja"")"),"生物学的検体中のアレルゲン誘発性 IgA 抗体の結合の測定。")</f>
        <v>生物学的検体中のアレルゲン誘発性 IgA 抗体の結合の測定。</v>
      </c>
      <c r="I351" s="3" t="str">
        <f ca="1">IFERROR(__xludf.DUMMYFUNCTION("googletranslate(F351,""en"",""ja"")"),"アレルゲン誘発性IgA抗体測定")</f>
        <v>アレルゲン誘発性IgA抗体測定</v>
      </c>
    </row>
    <row r="352" spans="1:9" ht="30">
      <c r="A352" s="3" t="s">
        <v>180</v>
      </c>
      <c r="B352" s="3" t="s">
        <v>1469</v>
      </c>
      <c r="C352" s="3" t="s">
        <v>1470</v>
      </c>
      <c r="D352" s="3" t="s">
        <v>1470</v>
      </c>
      <c r="E352" s="3" t="s">
        <v>1471</v>
      </c>
      <c r="F352" s="3" t="s">
        <v>1472</v>
      </c>
      <c r="G352" s="3" t="str">
        <f ca="1">IFERROR(__xludf.DUMMYFUNCTION("googletranslate(D352,""en"",""ja"")"),"アレルゲン誘発性 IgE 抗体")</f>
        <v>アレルゲン誘発性 IgE 抗体</v>
      </c>
      <c r="H352" s="3" t="str">
        <f ca="1">IFERROR(__xludf.DUMMYFUNCTION("googletranslate(E352,""en"",""ja"")"),"生物学的標本中のアレルゲン誘発性 IgE 抗体の結合の測定。")</f>
        <v>生物学的標本中のアレルゲン誘発性 IgE 抗体の結合の測定。</v>
      </c>
      <c r="I352" s="3" t="str">
        <f ca="1">IFERROR(__xludf.DUMMYFUNCTION("googletranslate(F352,""en"",""ja"")"),"アレルゲン誘発IgE抗体測定")</f>
        <v>アレルゲン誘発IgE抗体測定</v>
      </c>
    </row>
    <row r="353" spans="1:9" ht="30">
      <c r="A353" s="3" t="s">
        <v>180</v>
      </c>
      <c r="B353" s="3" t="s">
        <v>1473</v>
      </c>
      <c r="C353" s="3" t="s">
        <v>1474</v>
      </c>
      <c r="D353" s="3" t="s">
        <v>1474</v>
      </c>
      <c r="E353" s="3" t="s">
        <v>1475</v>
      </c>
      <c r="F353" s="3" t="s">
        <v>1476</v>
      </c>
      <c r="G353" s="3" t="str">
        <f ca="1">IFERROR(__xludf.DUMMYFUNCTION("googletranslate(D353,""en"",""ja"")"),"アレルゲン誘発性 IgG4 抗体")</f>
        <v>アレルゲン誘発性 IgG4 抗体</v>
      </c>
      <c r="H353" s="3" t="str">
        <f ca="1">IFERROR(__xludf.DUMMYFUNCTION("googletranslate(E353,""en"",""ja"")"),"生物学的検体中のアレルゲン誘発性 IgG4 抗体の結合の測定。")</f>
        <v>生物学的検体中のアレルゲン誘発性 IgG4 抗体の結合の測定。</v>
      </c>
      <c r="I353" s="3" t="str">
        <f ca="1">IFERROR(__xludf.DUMMYFUNCTION("googletranslate(F353,""en"",""ja"")"),"アレルゲン誘発IgG4抗体測定")</f>
        <v>アレルゲン誘発IgG4抗体測定</v>
      </c>
    </row>
    <row r="354" spans="1:9" ht="30">
      <c r="A354" s="3" t="s">
        <v>180</v>
      </c>
      <c r="B354" s="3" t="s">
        <v>1477</v>
      </c>
      <c r="C354" s="3" t="s">
        <v>1478</v>
      </c>
      <c r="D354" s="3" t="s">
        <v>1478</v>
      </c>
      <c r="E354" s="3" t="s">
        <v>1479</v>
      </c>
      <c r="F354" s="3" t="s">
        <v>1480</v>
      </c>
      <c r="G354" s="3" t="str">
        <f ca="1">IFERROR(__xludf.DUMMYFUNCTION("googletranslate(D354,""en"",""ja"")"),"アレルゲン誘発性 IgG 抗体")</f>
        <v>アレルゲン誘発性 IgG 抗体</v>
      </c>
      <c r="H354" s="3" t="str">
        <f ca="1">IFERROR(__xludf.DUMMYFUNCTION("googletranslate(E354,""en"",""ja"")"),"生物学的標本中のアレルゲン誘発性 IgG 抗体の結合の測定。")</f>
        <v>生物学的標本中のアレルゲン誘発性 IgG 抗体の結合の測定。</v>
      </c>
      <c r="I354" s="3" t="str">
        <f ca="1">IFERROR(__xludf.DUMMYFUNCTION("googletranslate(F354,""en"",""ja"")"),"アレルゲン誘発IgG抗体測定")</f>
        <v>アレルゲン誘発IgG抗体測定</v>
      </c>
    </row>
    <row r="355" spans="1:9" ht="30">
      <c r="A355" s="3" t="s">
        <v>180</v>
      </c>
      <c r="B355" s="3" t="s">
        <v>1481</v>
      </c>
      <c r="C355" s="3" t="s">
        <v>1482</v>
      </c>
      <c r="D355" s="3" t="s">
        <v>1482</v>
      </c>
      <c r="E355" s="3" t="s">
        <v>1483</v>
      </c>
      <c r="F355" s="3" t="s">
        <v>1484</v>
      </c>
      <c r="G355" s="3" t="str">
        <f ca="1">IFERROR(__xludf.DUMMYFUNCTION("googletranslate(D355,""en"",""ja"")"),"アレルゲン誘発性 IgM 抗体")</f>
        <v>アレルゲン誘発性 IgM 抗体</v>
      </c>
      <c r="H355" s="3" t="str">
        <f ca="1">IFERROR(__xludf.DUMMYFUNCTION("googletranslate(E355,""en"",""ja"")"),"生物学的検体中のアレルゲン誘発性 IgM 抗体の結合の測定。")</f>
        <v>生物学的検体中のアレルゲン誘発性 IgM 抗体の結合の測定。</v>
      </c>
      <c r="I355" s="3" t="str">
        <f ca="1">IFERROR(__xludf.DUMMYFUNCTION("googletranslate(F355,""en"",""ja"")"),"アレルゲン誘発IgM抗体測定")</f>
        <v>アレルゲン誘発IgM抗体測定</v>
      </c>
    </row>
    <row r="356" spans="1:9" ht="75">
      <c r="A356" s="3" t="s">
        <v>118</v>
      </c>
      <c r="B356" s="3" t="s">
        <v>1485</v>
      </c>
      <c r="C356" s="3" t="s">
        <v>1486</v>
      </c>
      <c r="D356" s="3" t="s">
        <v>1487</v>
      </c>
      <c r="E356" s="3" t="s">
        <v>1488</v>
      </c>
      <c r="F356" s="3" t="s">
        <v>1486</v>
      </c>
      <c r="G356" s="3" t="str">
        <f ca="1">IFERROR(__xludf.DUMMYFUNCTION("googletranslate(D356,""en"",""ja"")"),"アームスパン;アームスパン;到着;翼幅")</f>
        <v>アームスパン;アームスパン;到着;翼幅</v>
      </c>
      <c r="H356" s="3" t="str">
        <f ca="1">IFERROR(__xludf.DUMMYFUNCTION("googletranslate(E356,""en"",""ja"")"),"両腕を90度外転させ、肘と手首を伸ばし、手のひらを壁に向かって立てた状態で、一方の中指の先端からもう一方の中指の先端までの長さを測定します。")</f>
        <v>両腕を90度外転させ、肘と手首を伸ばし、手のひらを壁に向かって立てた状態で、一方の中指の先端からもう一方の中指の先端までの長さを測定します。</v>
      </c>
      <c r="I356" s="3" t="str">
        <f ca="1">IFERROR(__xludf.DUMMYFUNCTION("googletranslate(F356,""en"",""ja"")"),"アームスパン")</f>
        <v>アームスパン</v>
      </c>
    </row>
    <row r="357" spans="1:9">
      <c r="A357" s="3" t="s">
        <v>6</v>
      </c>
      <c r="B357" s="3" t="s">
        <v>1489</v>
      </c>
      <c r="C357" s="3" t="s">
        <v>1490</v>
      </c>
      <c r="D357" s="3" t="s">
        <v>1490</v>
      </c>
      <c r="E357" s="3" t="s">
        <v>1491</v>
      </c>
      <c r="F357" s="3" t="s">
        <v>1492</v>
      </c>
      <c r="G357" s="3" t="str">
        <f ca="1">IFERROR(__xludf.DUMMYFUNCTION("googletranslate(D357,""en"",""ja"")"),"アリピプラゾール")</f>
        <v>アリピプラゾール</v>
      </c>
      <c r="H357" s="3" t="str">
        <f ca="1">IFERROR(__xludf.DUMMYFUNCTION("googletranslate(E357,""en"",""ja"")"),"生物学的標本中のアリピプラゾールの測定。")</f>
        <v>生物学的標本中のアリピプラゾールの測定。</v>
      </c>
      <c r="I357" s="3" t="str">
        <f ca="1">IFERROR(__xludf.DUMMYFUNCTION("googletranslate(F357,""en"",""ja"")"),"アリピプラゾールの測定")</f>
        <v>アリピプラゾールの測定</v>
      </c>
    </row>
    <row r="358" spans="1:9" ht="30">
      <c r="A358" s="3" t="s">
        <v>6</v>
      </c>
      <c r="B358" s="3" t="s">
        <v>1493</v>
      </c>
      <c r="C358" s="3" t="s">
        <v>1494</v>
      </c>
      <c r="D358" s="3" t="s">
        <v>1494</v>
      </c>
      <c r="E358" s="3" t="s">
        <v>1495</v>
      </c>
      <c r="F358" s="3" t="s">
        <v>1496</v>
      </c>
      <c r="G358" s="3" t="str">
        <f ca="1">IFERROR(__xludf.DUMMYFUNCTION("googletranslate(D358,""en"",""ja"")"),"アルドステロン/レニン活性")</f>
        <v>アルドステロン/レニン活性</v>
      </c>
      <c r="H358" s="3" t="str">
        <f ca="1">IFERROR(__xludf.DUMMYFUNCTION("googletranslate(E358,""en"",""ja"")"),"生物学的標本におけるアルドステロンとレニンの活性の相対測定値 (比)。")</f>
        <v>生物学的標本におけるアルドステロンとレニンの活性の相対測定値 (比)。</v>
      </c>
      <c r="I358" s="3" t="str">
        <f ca="1">IFERROR(__xludf.DUMMYFUNCTION("googletranslate(F358,""en"",""ja"")"),"アルドステロンとレニンの活性比の測定")</f>
        <v>アルドステロンとレニンの活性比の測定</v>
      </c>
    </row>
    <row r="359" spans="1:9">
      <c r="A359" s="3" t="s">
        <v>6</v>
      </c>
      <c r="B359" s="3" t="s">
        <v>1497</v>
      </c>
      <c r="C359" s="3" t="s">
        <v>1498</v>
      </c>
      <c r="D359" s="3" t="s">
        <v>1499</v>
      </c>
      <c r="E359" s="3" t="s">
        <v>1500</v>
      </c>
      <c r="F359" s="3" t="s">
        <v>1501</v>
      </c>
      <c r="G359" s="3" t="str">
        <f ca="1">IFERROR(__xludf.DUMMYFUNCTION("googletranslate(D359,""en"",""ja"")"),"砒素;として")</f>
        <v>砒素;として</v>
      </c>
      <c r="H359" s="3" t="str">
        <f ca="1">IFERROR(__xludf.DUMMYFUNCTION("googletranslate(E359,""en"",""ja"")"),"試料中のヒ素の測定。")</f>
        <v>試料中のヒ素の測定。</v>
      </c>
      <c r="I359" s="3" t="str">
        <f ca="1">IFERROR(__xludf.DUMMYFUNCTION("googletranslate(F359,""en"",""ja"")"),"ヒ素の測定")</f>
        <v>ヒ素の測定</v>
      </c>
    </row>
    <row r="360" spans="1:9">
      <c r="A360" s="3" t="s">
        <v>51</v>
      </c>
      <c r="B360" s="3" t="s">
        <v>1497</v>
      </c>
      <c r="C360" s="3" t="s">
        <v>1498</v>
      </c>
      <c r="D360" s="3" t="s">
        <v>1499</v>
      </c>
      <c r="E360" s="3" t="s">
        <v>1500</v>
      </c>
      <c r="F360" s="3" t="s">
        <v>1501</v>
      </c>
      <c r="G360" s="3" t="str">
        <f ca="1">IFERROR(__xludf.DUMMYFUNCTION("googletranslate(D360,""en"",""ja"")"),"砒素;として")</f>
        <v>砒素;として</v>
      </c>
      <c r="H360" s="3" t="str">
        <f ca="1">IFERROR(__xludf.DUMMYFUNCTION("googletranslate(E360,""en"",""ja"")"),"試料中のヒ素の測定。")</f>
        <v>試料中のヒ素の測定。</v>
      </c>
      <c r="I360" s="3" t="str">
        <f ca="1">IFERROR(__xludf.DUMMYFUNCTION("googletranslate(F360,""en"",""ja"")"),"ヒ素の測定")</f>
        <v>ヒ素の測定</v>
      </c>
    </row>
    <row r="361" spans="1:9">
      <c r="A361" s="3" t="s">
        <v>6</v>
      </c>
      <c r="B361" s="3" t="s">
        <v>1502</v>
      </c>
      <c r="C361" s="3" t="s">
        <v>1503</v>
      </c>
      <c r="D361" s="3" t="s">
        <v>1503</v>
      </c>
      <c r="E361" s="3" t="s">
        <v>1504</v>
      </c>
      <c r="F361" s="3" t="s">
        <v>1505</v>
      </c>
      <c r="G361" s="3" t="str">
        <f ca="1">IFERROR(__xludf.DUMMYFUNCTION("googletranslate(D361,""en"",""ja"")"),"アセナピン")</f>
        <v>アセナピン</v>
      </c>
      <c r="H361" s="3" t="str">
        <f ca="1">IFERROR(__xludf.DUMMYFUNCTION("googletranslate(E361,""en"",""ja"")"),"生物学的標本中のアセナピンの測定。")</f>
        <v>生物学的標本中のアセナピンの測定。</v>
      </c>
      <c r="I361" s="3" t="str">
        <f ca="1">IFERROR(__xludf.DUMMYFUNCTION("googletranslate(F361,""en"",""ja"")"),"アセナピンの測定")</f>
        <v>アセナピンの測定</v>
      </c>
    </row>
    <row r="362" spans="1:9" ht="30">
      <c r="A362" s="3" t="s">
        <v>6</v>
      </c>
      <c r="B362" s="3" t="s">
        <v>1506</v>
      </c>
      <c r="C362" s="3" t="s">
        <v>1507</v>
      </c>
      <c r="D362" s="3" t="s">
        <v>1508</v>
      </c>
      <c r="E362" s="3" t="s">
        <v>1509</v>
      </c>
      <c r="F362" s="3" t="s">
        <v>1510</v>
      </c>
      <c r="G362" s="3" t="str">
        <f ca="1">IFERROR(__xludf.DUMMYFUNCTION("googletranslate(D362,""en"",""ja"")"),"アルファアクチン 2;アルファ-SMA;アルファ平滑筋アクチン")</f>
        <v>アルファアクチン 2;アルファ-SMA;アルファ平滑筋アクチン</v>
      </c>
      <c r="H362" s="3" t="str">
        <f ca="1">IFERROR(__xludf.DUMMYFUNCTION("googletranslate(E362,""en"",""ja"")"),"生体標本中のα平滑筋アクチンの測定。")</f>
        <v>生体標本中のα平滑筋アクチンの測定。</v>
      </c>
      <c r="I362" s="3" t="str">
        <f ca="1">IFERROR(__xludf.DUMMYFUNCTION("googletranslate(F362,""en"",""ja"")"),"アルファ平滑筋アクチン測定")</f>
        <v>アルファ平滑筋アクチン測定</v>
      </c>
    </row>
    <row r="363" spans="1:9">
      <c r="A363" s="3" t="s">
        <v>6</v>
      </c>
      <c r="B363" s="3" t="s">
        <v>1511</v>
      </c>
      <c r="C363" s="3" t="s">
        <v>1512</v>
      </c>
      <c r="D363" s="3" t="s">
        <v>1512</v>
      </c>
      <c r="E363" s="3" t="s">
        <v>1513</v>
      </c>
      <c r="F363" s="3" t="s">
        <v>1514</v>
      </c>
      <c r="G363" s="3" t="str">
        <f ca="1">IFERROR(__xludf.DUMMYFUNCTION("googletranslate(D363,""en"",""ja"")"),"アスパラギン")</f>
        <v>アスパラギン</v>
      </c>
      <c r="H363" s="3" t="str">
        <f ca="1">IFERROR(__xludf.DUMMYFUNCTION("googletranslate(E363,""en"",""ja"")"),"生物学的標本中のアスパラギンの測定。")</f>
        <v>生物学的標本中のアスパラギンの測定。</v>
      </c>
      <c r="I363" s="3" t="str">
        <f ca="1">IFERROR(__xludf.DUMMYFUNCTION("googletranslate(F363,""en"",""ja"")"),"アスパラギンの測定")</f>
        <v>アスパラギンの測定</v>
      </c>
    </row>
    <row r="364" spans="1:9" ht="30">
      <c r="A364" s="3" t="s">
        <v>6</v>
      </c>
      <c r="B364" s="3" t="s">
        <v>1515</v>
      </c>
      <c r="C364" s="3" t="s">
        <v>1516</v>
      </c>
      <c r="D364" s="3" t="s">
        <v>1517</v>
      </c>
      <c r="E364" s="3" t="s">
        <v>1518</v>
      </c>
      <c r="F364" s="3" t="s">
        <v>1519</v>
      </c>
      <c r="G364" s="3" t="str">
        <f ca="1">IFERROR(__xludf.DUMMYFUNCTION("googletranslate(D364,""en"",""ja"")"),"アスパラギン酸塩;アスパラギン酸")</f>
        <v>アスパラギン酸塩;アスパラギン酸</v>
      </c>
      <c r="H364" s="3" t="str">
        <f ca="1">IFERROR(__xludf.DUMMYFUNCTION("googletranslate(E364,""en"",""ja"")"),"生物学的標本中のアスパラギン酸の測定。")</f>
        <v>生物学的標本中のアスパラギン酸の測定。</v>
      </c>
      <c r="I364" s="3" t="str">
        <f ca="1">IFERROR(__xludf.DUMMYFUNCTION("googletranslate(F364,""en"",""ja"")"),"アスパラギン酸の測定")</f>
        <v>アスパラギン酸の測定</v>
      </c>
    </row>
    <row r="365" spans="1:9" ht="30">
      <c r="A365" s="3" t="s">
        <v>67</v>
      </c>
      <c r="B365" s="3" t="s">
        <v>1520</v>
      </c>
      <c r="C365" s="3" t="s">
        <v>1521</v>
      </c>
      <c r="D365" s="3" t="s">
        <v>1521</v>
      </c>
      <c r="E365" s="3" t="s">
        <v>1522</v>
      </c>
      <c r="F365" s="3" t="s">
        <v>1523</v>
      </c>
      <c r="G365" s="3" t="str">
        <f ca="1">IFERROR(__xludf.DUMMYFUNCTION("googletranslate(D365,""en"",""ja"")"),"アスペルギルス抗原")</f>
        <v>アスペルギルス抗原</v>
      </c>
      <c r="H365" s="3" t="str">
        <f ca="1">IFERROR(__xludf.DUMMYFUNCTION("googletranslate(E365,""en"",""ja"")"),"生物学的標本中のアスペルギルス属の任意のメンバーからの抗原の測定。")</f>
        <v>生物学的標本中のアスペルギルス属の任意のメンバーからの抗原の測定。</v>
      </c>
      <c r="I365" s="3" t="str">
        <f ca="1">IFERROR(__xludf.DUMMYFUNCTION("googletranslate(F365,""en"",""ja"")"),"アスペルギルス抗原測定")</f>
        <v>アスペルギルス抗原測定</v>
      </c>
    </row>
    <row r="366" spans="1:9" ht="30">
      <c r="A366" s="3" t="s">
        <v>67</v>
      </c>
      <c r="B366" s="3" t="s">
        <v>1524</v>
      </c>
      <c r="C366" s="3" t="s">
        <v>1525</v>
      </c>
      <c r="D366" s="3" t="s">
        <v>1525</v>
      </c>
      <c r="E366" s="3" t="s">
        <v>1526</v>
      </c>
      <c r="F366" s="3" t="s">
        <v>1527</v>
      </c>
      <c r="G366" s="3" t="str">
        <f ca="1">IFERROR(__xludf.DUMMYFUNCTION("googletranslate(D366,""en"",""ja"")"),"アスペルギルス DNA")</f>
        <v>アスペルギルス DNA</v>
      </c>
      <c r="H366" s="3" t="str">
        <f ca="1">IFERROR(__xludf.DUMMYFUNCTION("googletranslate(E366,""en"",""ja"")"),"生物学的標本中のアスペルギルス属のメンバーからの DNA の測定。")</f>
        <v>生物学的標本中のアスペルギルス属のメンバーからの DNA の測定。</v>
      </c>
      <c r="I366" s="3" t="str">
        <f ca="1">IFERROR(__xludf.DUMMYFUNCTION("googletranslate(F366,""en"",""ja"")"),"アスペルギルスDNA測定")</f>
        <v>アスペルギルスDNA測定</v>
      </c>
    </row>
    <row r="367" spans="1:9" ht="45">
      <c r="A367" s="3" t="s">
        <v>67</v>
      </c>
      <c r="B367" s="3" t="s">
        <v>1528</v>
      </c>
      <c r="C367" s="3" t="s">
        <v>1529</v>
      </c>
      <c r="D367" s="3" t="s">
        <v>1529</v>
      </c>
      <c r="E367" s="3" t="s">
        <v>1530</v>
      </c>
      <c r="F367" s="3" t="s">
        <v>1531</v>
      </c>
      <c r="G367" s="3" t="str">
        <f ca="1">IFERROR(__xludf.DUMMYFUNCTION("googletranslate(D367,""en"",""ja"")"),"アスペルギルス")</f>
        <v>アスペルギルス</v>
      </c>
      <c r="H367" s="3" t="str">
        <f ca="1">IFERROR(__xludf.DUMMYFUNCTION("googletranslate(E367,""en"",""ja"")"),"生物学的標本において、種レベルには割り当てられていないが、アスペルギルス属レベルに割り当てられている生物の測定値。")</f>
        <v>生物学的標本において、種レベルには割り当てられていないが、アスペルギルス属レベルに割り当てられている生物の測定値。</v>
      </c>
      <c r="I367" s="3" t="str">
        <f ca="1">IFERROR(__xludf.DUMMYFUNCTION("googletranslate(F367,""en"",""ja"")"),"アスペルギルス測定")</f>
        <v>アスペルギルス測定</v>
      </c>
    </row>
    <row r="368" spans="1:9" ht="45">
      <c r="A368" s="3" t="s">
        <v>185</v>
      </c>
      <c r="B368" s="3" t="s">
        <v>1532</v>
      </c>
      <c r="C368" s="3" t="s">
        <v>1533</v>
      </c>
      <c r="D368" s="3" t="s">
        <v>1533</v>
      </c>
      <c r="E368" s="3" t="s">
        <v>1534</v>
      </c>
      <c r="F368" s="3" t="s">
        <v>1533</v>
      </c>
      <c r="G368" s="3" t="str">
        <f ca="1">IFERROR(__xludf.DUMMYFUNCTION("googletranslate(D368,""en"",""ja"")"),"アレルゲン皮膚反応指数")</f>
        <v>アレルゲン皮膚反応指数</v>
      </c>
      <c r="H368" s="3" t="str">
        <f ca="1">IFERROR(__xludf.DUMMYFUNCTION("googletranslate(E368,""en"",""ja"")"),"アレルゲン皮膚テストにおける陽性対照の膨疹サイズに対するアレルゲンの膨疹サイズの相対測定値（比率またはパーセンテージ）。")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8" s="3" t="str">
        <f ca="1">IFERROR(__xludf.DUMMYFUNCTION("googletranslate(F368,""en"",""ja"")"),"アレルゲン皮膚反応指数")</f>
        <v>アレルゲン皮膚反応指数</v>
      </c>
    </row>
    <row r="369" spans="1:9" ht="45">
      <c r="A369" s="3" t="s">
        <v>1535</v>
      </c>
      <c r="B369" s="3" t="s">
        <v>1532</v>
      </c>
      <c r="C369" s="3" t="s">
        <v>1533</v>
      </c>
      <c r="D369" s="3" t="s">
        <v>1533</v>
      </c>
      <c r="E369" s="3" t="s">
        <v>1534</v>
      </c>
      <c r="F369" s="3" t="s">
        <v>1533</v>
      </c>
      <c r="G369" s="3" t="str">
        <f ca="1">IFERROR(__xludf.DUMMYFUNCTION("googletranslate(D369,""en"",""ja"")"),"アレルゲン皮膚反応指数")</f>
        <v>アレルゲン皮膚反応指数</v>
      </c>
      <c r="H369" s="3" t="str">
        <f ca="1">IFERROR(__xludf.DUMMYFUNCTION("googletranslate(E369,""en"",""ja"")"),"アレルゲン皮膚テストにおける陽性対照の膨疹サイズに対するアレルゲンの膨疹サイズの相対測定値（比率またはパーセンテージ）。")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9" s="3" t="str">
        <f ca="1">IFERROR(__xludf.DUMMYFUNCTION("googletranslate(F369,""en"",""ja"")"),"アレルゲン皮膚反応指数")</f>
        <v>アレルゲン皮膚反応指数</v>
      </c>
    </row>
    <row r="370" spans="1:9" ht="30">
      <c r="A370" s="3" t="s">
        <v>1535</v>
      </c>
      <c r="B370" s="3" t="s">
        <v>1536</v>
      </c>
      <c r="C370" s="3" t="s">
        <v>1537</v>
      </c>
      <c r="D370" s="3" t="s">
        <v>1537</v>
      </c>
      <c r="E370" s="3" t="s">
        <v>1538</v>
      </c>
      <c r="F370" s="3" t="s">
        <v>1537</v>
      </c>
      <c r="G370" s="3" t="str">
        <f ca="1">IFERROR(__xludf.DUMMYFUNCTION("googletranslate(D370,""en"",""ja"")"),"アレルゲンの皮膚反応強度")</f>
        <v>アレルゲンの皮膚反応強度</v>
      </c>
      <c r="H370" s="3" t="str">
        <f ca="1">IFERROR(__xludf.DUMMYFUNCTION("googletranslate(E370,""en"",""ja"")"),"膨疹および発赤反応の強さの半定量的評価。")</f>
        <v>膨疹および発赤反応の強さの半定量的評価。</v>
      </c>
      <c r="I370" s="3" t="str">
        <f ca="1">IFERROR(__xludf.DUMMYFUNCTION("googletranslate(F370,""en"",""ja"")"),"アレルゲンの皮膚反応強度")</f>
        <v>アレルゲンの皮膚反応強度</v>
      </c>
    </row>
    <row r="371" spans="1:9" ht="30">
      <c r="A371" s="3" t="s">
        <v>185</v>
      </c>
      <c r="B371" s="3" t="s">
        <v>1536</v>
      </c>
      <c r="C371" s="3" t="s">
        <v>1537</v>
      </c>
      <c r="D371" s="3" t="s">
        <v>1537</v>
      </c>
      <c r="E371" s="3" t="s">
        <v>1538</v>
      </c>
      <c r="F371" s="3" t="s">
        <v>1537</v>
      </c>
      <c r="G371" s="3" t="str">
        <f ca="1">IFERROR(__xludf.DUMMYFUNCTION("googletranslate(D371,""en"",""ja"")"),"アレルゲンの皮膚反応強度")</f>
        <v>アレルゲンの皮膚反応強度</v>
      </c>
      <c r="H371" s="3" t="str">
        <f ca="1">IFERROR(__xludf.DUMMYFUNCTION("googletranslate(E371,""en"",""ja"")"),"膨疹および発赤反応の強さの半定量的評価。")</f>
        <v>膨疹および発赤反応の強さの半定量的評価。</v>
      </c>
      <c r="I371" s="3" t="str">
        <f ca="1">IFERROR(__xludf.DUMMYFUNCTION("googletranslate(F371,""en"",""ja"")"),"アレルゲンの皮膚反応強度")</f>
        <v>アレルゲンの皮膚反応強度</v>
      </c>
    </row>
    <row r="372" spans="1:9" ht="30">
      <c r="A372" s="3" t="s">
        <v>6</v>
      </c>
      <c r="B372" s="3" t="s">
        <v>1539</v>
      </c>
      <c r="C372" s="3" t="s">
        <v>1540</v>
      </c>
      <c r="D372" s="3" t="s">
        <v>1540</v>
      </c>
      <c r="E372" s="3" t="s">
        <v>1541</v>
      </c>
      <c r="F372" s="3" t="s">
        <v>1542</v>
      </c>
      <c r="G372" s="3" t="str">
        <f ca="1">IFERROR(__xludf.DUMMYFUNCTION("googletranslate(D372,""en"",""ja"")"),"抗一本鎖 DNA IgG")</f>
        <v>抗一本鎖 DNA IgG</v>
      </c>
      <c r="H372" s="3" t="str">
        <f ca="1">IFERROR(__xludf.DUMMYFUNCTION("googletranslate(E372,""en"",""ja"")"),"生物学的検体中の抗一本鎖 DNA IgG 抗体の測定。")</f>
        <v>生物学的検体中の抗一本鎖 DNA IgG 抗体の測定。</v>
      </c>
      <c r="I372" s="3" t="str">
        <f ca="1">IFERROR(__xludf.DUMMYFUNCTION("googletranslate(F372,""en"",""ja"")"),"抗一本鎖 DNA IgG 測定")</f>
        <v>抗一本鎖 DNA IgG 測定</v>
      </c>
    </row>
    <row r="373" spans="1:9" ht="30">
      <c r="A373" s="3" t="s">
        <v>6</v>
      </c>
      <c r="B373" s="3" t="s">
        <v>1543</v>
      </c>
      <c r="C373" s="3" t="s">
        <v>1544</v>
      </c>
      <c r="D373" s="3" t="s">
        <v>1545</v>
      </c>
      <c r="E373" s="3" t="s">
        <v>1546</v>
      </c>
      <c r="F373" s="3" t="s">
        <v>1547</v>
      </c>
      <c r="G373" s="3" t="str">
        <f ca="1">IFERROR(__xludf.DUMMYFUNCTION("googletranslate(D373,""en"",""ja"")"),"アスパラギン酸アミノトランスフェラーゼ; SGOT")</f>
        <v>アスパラギン酸アミノトランスフェラーゼ; SGOT</v>
      </c>
      <c r="H373" s="3" t="str">
        <f ca="1">IFERROR(__xludf.DUMMYFUNCTION("googletranslate(E373,""en"",""ja"")"),"生物学的標本中のアスパラギン酸アミノトランスフェラーゼの測定。")</f>
        <v>生物学的標本中のアスパラギン酸アミノトランスフェラーゼの測定。</v>
      </c>
      <c r="I373" s="3" t="str">
        <f ca="1">IFERROR(__xludf.DUMMYFUNCTION("googletranslate(F373,""en"",""ja"")"),"アスパラギン酸アミノトランスフェラーゼの測定")</f>
        <v>アスパラギン酸アミノトランスフェラーゼの測定</v>
      </c>
    </row>
    <row r="374" spans="1:9" ht="30">
      <c r="A374" s="3" t="s">
        <v>6</v>
      </c>
      <c r="B374" s="3" t="s">
        <v>1548</v>
      </c>
      <c r="C374" s="3" t="s">
        <v>1549</v>
      </c>
      <c r="D374" s="3" t="s">
        <v>1550</v>
      </c>
      <c r="E374" s="3" t="s">
        <v>1551</v>
      </c>
      <c r="F374" s="3" t="s">
        <v>1552</v>
      </c>
      <c r="G374" s="3" t="str">
        <f ca="1">IFERROR(__xludf.DUMMYFUNCTION("googletranslate(D374,""en"",""ja"")"),"アスパラギン酸アミノトランスフェラーゼ抗原; SGOT抗原")</f>
        <v>アスパラギン酸アミノトランスフェラーゼ抗原; SGOT抗原</v>
      </c>
      <c r="H374" s="3" t="str">
        <f ca="1">IFERROR(__xludf.DUMMYFUNCTION("googletranslate(E374,""en"",""ja"")"),"生物学的標本中のアスパラギン酸アミノトランスフェラーゼ抗原の測定。")</f>
        <v>生物学的標本中のアスパラギン酸アミノトランスフェラーゼ抗原の測定。</v>
      </c>
      <c r="I374" s="3" t="str">
        <f ca="1">IFERROR(__xludf.DUMMYFUNCTION("googletranslate(F374,""en"",""ja"")"),"アスパラギン酸アミノトランスフェラーゼ抗原測定")</f>
        <v>アスパラギン酸アミノトランスフェラーゼ抗原測定</v>
      </c>
    </row>
    <row r="375" spans="1:9" ht="60">
      <c r="A375" s="3" t="s">
        <v>6</v>
      </c>
      <c r="B375" s="3" t="s">
        <v>1553</v>
      </c>
      <c r="C375" s="3" t="s">
        <v>1554</v>
      </c>
      <c r="D375" s="3" t="s">
        <v>1554</v>
      </c>
      <c r="E375" s="3" t="s">
        <v>1555</v>
      </c>
      <c r="F375" s="3" t="s">
        <v>1556</v>
      </c>
      <c r="G375" s="3" t="str">
        <f ca="1">IFERROR(__xludf.DUMMYFUNCTION("googletranslate(D375,""en"",""ja"")"),"AST/ALT")</f>
        <v>AST/ALT</v>
      </c>
      <c r="H375" s="3" t="str">
        <f ca="1">IFERROR(__xludf.DUMMYFUNCTION("googletranslate(E375,""en"",""ja"")"),"サンプル中に存在するアスパラギン酸アミノトランスフェラーゼ (AST) とアラニン アミノトランスフェラーゼ (ALT) の相対測定値 (比率またはパーセンテージ)。")</f>
        <v>サンプル中に存在するアスパラギン酸アミノトランスフェラーゼ (AST) とアラニン アミノトランスフェラーゼ (ALT) の相対測定値 (比率またはパーセンテージ)。</v>
      </c>
      <c r="I375" s="3" t="str">
        <f ca="1">IFERROR(__xludf.DUMMYFUNCTION("googletranslate(F375,""en"",""ja"")"),"アスパラギン酸アミノトランスフェラーゼとアラニンアミノトランスフェラーゼの比の測定")</f>
        <v>アスパラギン酸アミノトランスフェラーゼとアラニンアミノトランスフェラーゼの比の測定</v>
      </c>
    </row>
    <row r="376" spans="1:9" ht="60">
      <c r="A376" s="3" t="s">
        <v>1557</v>
      </c>
      <c r="B376" s="3" t="s">
        <v>1558</v>
      </c>
      <c r="C376" s="3" t="s">
        <v>1559</v>
      </c>
      <c r="D376" s="3" t="s">
        <v>1559</v>
      </c>
      <c r="E376" s="3" t="s">
        <v>1560</v>
      </c>
      <c r="F376" s="3" t="s">
        <v>1559</v>
      </c>
      <c r="G376" s="3" t="str">
        <f ca="1">IFERROR(__xludf.DUMMYFUNCTION("googletranslate(D376,""en"",""ja"")"),"乱視軸")</f>
        <v>乱視軸</v>
      </c>
      <c r="H376" s="3" t="str">
        <f ca="1">IFERROR(__xludf.DUMMYFUNCTION("googletranslate(E376,""en"",""ja"")"),"180 度スケール上の平坦な主子午線の位置を度単位で測定したもの。90 度は垂直子午線を示し、180 度は水平子午線を示します。")</f>
        <v>180 度スケール上の平坦な主子午線の位置を度単位で測定したもの。90 度は垂直子午線を示し、180 度は水平子午線を示します。</v>
      </c>
      <c r="I376" s="3" t="str">
        <f ca="1">IFERROR(__xludf.DUMMYFUNCTION("googletranslate(F376,""en"",""ja"")"),"乱視軸")</f>
        <v>乱視軸</v>
      </c>
    </row>
    <row r="377" spans="1:9" ht="120">
      <c r="A377" s="3" t="s">
        <v>6</v>
      </c>
      <c r="B377" s="3" t="s">
        <v>1561</v>
      </c>
      <c r="C377" s="3" t="s">
        <v>1562</v>
      </c>
      <c r="D377" s="3" t="s">
        <v>1563</v>
      </c>
      <c r="E377" s="3" t="s">
        <v>1564</v>
      </c>
      <c r="F377" s="3" t="s">
        <v>1565</v>
      </c>
      <c r="G377" s="3" t="str">
        <f ca="1">IFERROR(__xludf.DUMMYFUNCTION("googletranslate(D377,""en"",""ja"")"),"アスパラギン酸アミノトランスフェラーゼアイソザイム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f>
        <v>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v>
      </c>
      <c r="H377" s="3" t="str">
        <f ca="1">IFERROR(__xludf.DUMMYFUNCTION("googletranslate(E377,""en"",""ja"")"),"生物学的標本中のアスパラギン酸アミノトランスフェラーゼアイソザイム C の測定。")</f>
        <v>生物学的標本中のアスパラギン酸アミノトランスフェラーゼアイソザイム C の測定。</v>
      </c>
      <c r="I377" s="3" t="str">
        <f ca="1">IFERROR(__xludf.DUMMYFUNCTION("googletranslate(F377,""en"",""ja"")"),"アスパラギン酸アミノトランスフェラーゼアイソザイムCの測定")</f>
        <v>アスパラギン酸アミノトランスフェラーゼアイソザイムCの測定</v>
      </c>
    </row>
    <row r="378" spans="1:9" ht="75">
      <c r="A378" s="3" t="s">
        <v>6</v>
      </c>
      <c r="B378" s="3" t="s">
        <v>1566</v>
      </c>
      <c r="C378" s="3" t="s">
        <v>1567</v>
      </c>
      <c r="D378" s="3" t="s">
        <v>1568</v>
      </c>
      <c r="E378" s="3" t="s">
        <v>1569</v>
      </c>
      <c r="F378" s="3" t="s">
        <v>1570</v>
      </c>
      <c r="G378" s="3" t="str">
        <f ca="1">IFERROR(__xludf.DUMMYFUNCTION("googletranslate(D378,""en"",""ja"")"),"アスパラギン酸アミノトランスフェラーゼ/CPK;アスパラギン酸アミノトランスフェラーゼ/クレアチンキナーゼ; AST/クレアチンキナーゼ")</f>
        <v>アスパラギン酸アミノトランスフェラーゼ/CPK;アスパラギン酸アミノトランスフェラーゼ/クレアチンキナーゼ; AST/クレアチンキナーゼ</v>
      </c>
      <c r="H378" s="3" t="str">
        <f ca="1">IFERROR(__xludf.DUMMYFUNCTION("googletranslate(E378,""en"",""ja"")"),"生物学的標本におけるアスパラギン酸アミノトランスフェラーゼとクレアチンキナーゼの相対測定値 (比)。")</f>
        <v>生物学的標本におけるアスパラギン酸アミノトランスフェラーゼとクレアチンキナーゼの相対測定値 (比)。</v>
      </c>
      <c r="I378" s="3" t="str">
        <f ca="1">IFERROR(__xludf.DUMMYFUNCTION("googletranslate(F378,""en"",""ja"")"),"アスパラギン酸アミノトランスフェラーゼとクレアチンキナーゼの比の測定")</f>
        <v>アスパラギン酸アミノトランスフェラーゼとクレアチンキナーゼの比の測定</v>
      </c>
    </row>
    <row r="379" spans="1:9" ht="45">
      <c r="A379" s="3" t="s">
        <v>6</v>
      </c>
      <c r="B379" s="3" t="s">
        <v>1571</v>
      </c>
      <c r="C379" s="3" t="s">
        <v>1572</v>
      </c>
      <c r="D379" s="3" t="s">
        <v>1572</v>
      </c>
      <c r="E379" s="3" t="s">
        <v>1573</v>
      </c>
      <c r="F379" s="3" t="s">
        <v>1574</v>
      </c>
      <c r="G379" s="3" t="str">
        <f ca="1">IFERROR(__xludf.DUMMYFUNCTION("googletranslate(D379,""en"",""ja"")"),"アスパラギン酸アミノトランスフェラーゼ/クレアチニン")</f>
        <v>アスパラギン酸アミノトランスフェラーゼ/クレアチニン</v>
      </c>
      <c r="H379" s="3" t="str">
        <f ca="1">IFERROR(__xludf.DUMMYFUNCTION("googletranslate(E379,""en"",""ja"")"),"生物学的標本中のクレアチニンに対するアスパラギン酸アミノトランスフェラーゼの相対測定値 (比率またはパーセンテージ)。")</f>
        <v>生物学的標本中のクレアチニンに対するアスパラギン酸アミノトランスフェラーゼの相対測定値 (比率またはパーセンテージ)。</v>
      </c>
      <c r="I379" s="3" t="str">
        <f ca="1">IFERROR(__xludf.DUMMYFUNCTION("googletranslate(F379,""en"",""ja"")"),"アスパラギン酸アミノトランスフェラーゼとクレアチニンの比の測定")</f>
        <v>アスパラギン酸アミノトランスフェラーゼとクレアチニンの比の測定</v>
      </c>
    </row>
    <row r="380" spans="1:9" ht="30">
      <c r="A380" s="3" t="s">
        <v>6</v>
      </c>
      <c r="B380" s="3" t="s">
        <v>1575</v>
      </c>
      <c r="C380" s="3" t="s">
        <v>1576</v>
      </c>
      <c r="D380" s="3" t="s">
        <v>1576</v>
      </c>
      <c r="E380" s="3" t="s">
        <v>1577</v>
      </c>
      <c r="F380" s="3" t="s">
        <v>1578</v>
      </c>
      <c r="G380" s="3" t="str">
        <f ca="1">IFERROR(__xludf.DUMMYFUNCTION("googletranslate(D380,""en"",""ja"")"),"3-アルファ-アンドロスタンジオール グルクロニド")</f>
        <v>3-アルファ-アンドロスタンジオール グルクロニド</v>
      </c>
      <c r="H380" s="3" t="str">
        <f ca="1">IFERROR(__xludf.DUMMYFUNCTION("googletranslate(E380,""en"",""ja"")"),"生物学的標本中の 3-α-アンドロスタンジオール グルクロニドの測定。")</f>
        <v>生物学的標本中の 3-α-アンドロスタンジオール グルクロニドの測定。</v>
      </c>
      <c r="I380" s="3" t="str">
        <f ca="1">IFERROR(__xludf.DUMMYFUNCTION("googletranslate(F380,""en"",""ja"")"),"3-α-アンドロスタンジオール グルクロニドの測定")</f>
        <v>3-α-アンドロスタンジオール グルクロニドの測定</v>
      </c>
    </row>
    <row r="381" spans="1:9" ht="135">
      <c r="A381" s="3" t="s">
        <v>6</v>
      </c>
      <c r="B381" s="3" t="s">
        <v>1579</v>
      </c>
      <c r="C381" s="3" t="s">
        <v>1580</v>
      </c>
      <c r="D381" s="3" t="s">
        <v>1581</v>
      </c>
      <c r="E381" s="3" t="s">
        <v>1582</v>
      </c>
      <c r="F381" s="3" t="s">
        <v>1583</v>
      </c>
      <c r="G381" s="3" t="str">
        <f ca="1">IFERROR(__xludf.DUMMYFUNCTION("googletranslate(D381,""en"",""ja"")"),"アスパラギン酸アミノトランスフェラーゼアイソザイム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f>
        <v>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v>
      </c>
      <c r="H381" s="3" t="str">
        <f ca="1">IFERROR(__xludf.DUMMYFUNCTION("googletranslate(E381,""en"",""ja"")"),"生物学的標本中のアスパラギン酸アミノトランスフェラーゼアイソザイム M の測定。")</f>
        <v>生物学的標本中のアスパラギン酸アミノトランスフェラーゼアイソザイム M の測定。</v>
      </c>
      <c r="I381" s="3" t="str">
        <f ca="1">IFERROR(__xludf.DUMMYFUNCTION("googletranslate(F381,""en"",""ja"")"),"アスパラギン酸アミノトランスフェラーゼアイソエンザイムMの測定")</f>
        <v>アスパラギン酸アミノトランスフェラーゼアイソエンザイムMの測定</v>
      </c>
    </row>
    <row r="382" spans="1:9" ht="30">
      <c r="A382" s="3" t="s">
        <v>6</v>
      </c>
      <c r="B382" s="3" t="s">
        <v>1584</v>
      </c>
      <c r="C382" s="3" t="s">
        <v>1585</v>
      </c>
      <c r="D382" s="3" t="s">
        <v>1585</v>
      </c>
      <c r="E382" s="3" t="s">
        <v>1586</v>
      </c>
      <c r="F382" s="3" t="s">
        <v>1587</v>
      </c>
      <c r="G382" s="3" t="str">
        <f ca="1">IFERROR(__xludf.DUMMYFUNCTION("googletranslate(D382,""en"",""ja"")"),"αシヌクレインタンパク質")</f>
        <v>αシヌクレインタンパク質</v>
      </c>
      <c r="H382" s="3" t="str">
        <f ca="1">IFERROR(__xludf.DUMMYFUNCTION("googletranslate(E382,""en"",""ja"")"),"生物学的標本中のαシヌクレインタンパク質の測定。")</f>
        <v>生物学的標本中のαシヌクレインタンパク質の測定。</v>
      </c>
      <c r="I382" s="3" t="str">
        <f ca="1">IFERROR(__xludf.DUMMYFUNCTION("googletranslate(F382,""en"",""ja"")"),"αシヌクレインタンパク質の測定")</f>
        <v>αシヌクレインタンパク質の測定</v>
      </c>
    </row>
    <row r="383" spans="1:9" ht="30">
      <c r="A383" s="3" t="s">
        <v>180</v>
      </c>
      <c r="B383" s="3" t="s">
        <v>1588</v>
      </c>
      <c r="C383" s="3" t="s">
        <v>1589</v>
      </c>
      <c r="D383" s="3" t="s">
        <v>1589</v>
      </c>
      <c r="E383" s="3" t="s">
        <v>1590</v>
      </c>
      <c r="F383" s="3" t="s">
        <v>1591</v>
      </c>
      <c r="G383" s="3" t="str">
        <f ca="1">IFERROR(__xludf.DUMMYFUNCTION("googletranslate(D383,""en"",""ja"")"),"自己抗体")</f>
        <v>自己抗体</v>
      </c>
      <c r="H383" s="3" t="str">
        <f ca="1">IFERROR(__xludf.DUMMYFUNCTION("googletranslate(E383,""en"",""ja"")"),"生物学的標本中の結合自己抗体の測定。")</f>
        <v>生物学的標本中の結合自己抗体の測定。</v>
      </c>
      <c r="I383" s="3" t="str">
        <f ca="1">IFERROR(__xludf.DUMMYFUNCTION("googletranslate(F383,""en"",""ja"")"),"自己抗体測定")</f>
        <v>自己抗体測定</v>
      </c>
    </row>
    <row r="384" spans="1:9" ht="75">
      <c r="A384" s="3" t="s">
        <v>6</v>
      </c>
      <c r="B384" s="3" t="s">
        <v>1592</v>
      </c>
      <c r="C384" s="3" t="s">
        <v>1593</v>
      </c>
      <c r="D384" s="3" t="s">
        <v>1594</v>
      </c>
      <c r="E384" s="3" t="s">
        <v>1595</v>
      </c>
      <c r="F384" s="3" t="s">
        <v>1596</v>
      </c>
      <c r="G384" s="3" t="str">
        <f ca="1">IFERROR(__xludf.DUMMYFUNCTION("googletranslate(D384,""en"",""ja"")"),"アンチトロンビン活性の実際/アンチトロンビン活性の制御;アンチトロンビン活性の実際/対照。アンチトロンビン活性の実際/正常")</f>
        <v>アンチトロンビン活性の実際/アンチトロンビン活性の制御;アンチトロンビン活性の実際/対照。アンチトロンビン活性の実際/正常</v>
      </c>
      <c r="H384" s="3" t="str">
        <f ca="1">IFERROR(__xludf.DUMMYFUNCTION("googletranslate(E384,""en"",""ja"")"),"対照検体における同じ活性と比較した場合の、被験者の検体におけるアンチトロンビンの生物学的活性の相対測定値（比率またはパーセンテージ）。")</f>
        <v>対照検体における同じ活性と比較した場合の、被験者の検体におけるアンチトロンビンの生物学的活性の相対測定値（比率またはパーセンテージ）。</v>
      </c>
      <c r="I384" s="3" t="str">
        <f ca="1">IFERROR(__xludf.DUMMYFUNCTION("googletranslate(F384,""en"",""ja"")"),"アンチトロンビン活性の実際対対照比の測定")</f>
        <v>アンチトロンビン活性の実際対対照比の測定</v>
      </c>
    </row>
    <row r="385" spans="1:9" ht="45">
      <c r="A385" s="3" t="s">
        <v>6</v>
      </c>
      <c r="B385" s="3" t="s">
        <v>1597</v>
      </c>
      <c r="C385" s="3" t="s">
        <v>1598</v>
      </c>
      <c r="D385" s="3" t="s">
        <v>1599</v>
      </c>
      <c r="E385" s="3" t="s">
        <v>1600</v>
      </c>
      <c r="F385" s="3" t="s">
        <v>1601</v>
      </c>
      <c r="G385" s="3" t="str">
        <f ca="1">IFERROR(__xludf.DUMMYFUNCTION("googletranslate(D385,""en"",""ja"")"),"アンチトロンビンの実際/対照。アンチトロンビンの実際/正常")</f>
        <v>アンチトロンビンの実際/対照。アンチトロンビンの実際/正常</v>
      </c>
      <c r="H385" s="3" t="str">
        <f ca="1">IFERROR(__xludf.DUMMYFUNCTION("googletranslate(E385,""en"",""ja"")"),"対照検体と比較した場合の、被験者の検体中のアンチトロンビンの相対測定値 (比率またはパーセンテージ)。")</f>
        <v>対照検体と比較した場合の、被験者の検体中のアンチトロンビンの相対測定値 (比率またはパーセンテージ)。</v>
      </c>
      <c r="I385" s="3" t="str">
        <f ca="1">IFERROR(__xludf.DUMMYFUNCTION("googletranslate(F385,""en"",""ja"")"),"アンチトロンビンの実対対照比の測定")</f>
        <v>アンチトロンビンの実対対照比の測定</v>
      </c>
    </row>
    <row r="386" spans="1:9" ht="45">
      <c r="A386" s="3" t="s">
        <v>6</v>
      </c>
      <c r="B386" s="3" t="s">
        <v>1602</v>
      </c>
      <c r="C386" s="3" t="s">
        <v>1603</v>
      </c>
      <c r="D386" s="3" t="s">
        <v>1604</v>
      </c>
      <c r="E386" s="3" t="s">
        <v>1605</v>
      </c>
      <c r="F386" s="3" t="s">
        <v>1603</v>
      </c>
      <c r="G386" s="3" t="str">
        <f ca="1">IFERROR(__xludf.DUMMYFUNCTION("googletranslate(D386,""en"",""ja"")"),"AIP;アテローム発生指数。血漿のアテローム発生指数")</f>
        <v>AIP;アテローム発生指数。血漿のアテローム発生指数</v>
      </c>
      <c r="H386" s="3" t="str">
        <f ca="1">IFERROR(__xludf.DUMMYFUNCTION("googletranslate(E386,""en"",""ja"")"),"生物学的標本中の血漿トリグリセリドと高密度リポタンパク質コレステロールのモル濃度の比の 10 を底とする対数の測定値。")</f>
        <v>生物学的標本中の血漿トリグリセリドと高密度リポタンパク質コレステロールのモル濃度の比の 10 を底とする対数の測定値。</v>
      </c>
      <c r="I386" s="3" t="str">
        <f ca="1">IFERROR(__xludf.DUMMYFUNCTION("googletranslate(F386,""en"",""ja"")"),"血漿のアテローム発生指数")</f>
        <v>血漿のアテローム発生指数</v>
      </c>
    </row>
    <row r="387" spans="1:9" ht="30">
      <c r="A387" s="3" t="s">
        <v>180</v>
      </c>
      <c r="B387" s="3" t="s">
        <v>1606</v>
      </c>
      <c r="C387" s="3" t="s">
        <v>1607</v>
      </c>
      <c r="D387" s="3" t="s">
        <v>1607</v>
      </c>
      <c r="E387" s="3" t="s">
        <v>1608</v>
      </c>
      <c r="F387" s="3" t="s">
        <v>1609</v>
      </c>
      <c r="G387" s="3" t="str">
        <f ca="1">IFERROR(__xludf.DUMMYFUNCTION("googletranslate(D387,""en"",""ja"")"),"IgA自己抗体")</f>
        <v>IgA自己抗体</v>
      </c>
      <c r="H387" s="3" t="str">
        <f ca="1">IFERROR(__xludf.DUMMYFUNCTION("googletranslate(E387,""en"",""ja"")"),"生物学的検体中の結合 IgA 自己抗体の測定。")</f>
        <v>生物学的検体中の結合 IgA 自己抗体の測定。</v>
      </c>
      <c r="I387" s="3" t="str">
        <f ca="1">IFERROR(__xludf.DUMMYFUNCTION("googletranslate(F387,""en"",""ja"")"),"IgA自己抗体測定")</f>
        <v>IgA自己抗体測定</v>
      </c>
    </row>
    <row r="388" spans="1:9" ht="30">
      <c r="A388" s="3" t="s">
        <v>180</v>
      </c>
      <c r="B388" s="3" t="s">
        <v>1610</v>
      </c>
      <c r="C388" s="3" t="s">
        <v>1611</v>
      </c>
      <c r="D388" s="3" t="s">
        <v>1611</v>
      </c>
      <c r="E388" s="3" t="s">
        <v>1612</v>
      </c>
      <c r="F388" s="3" t="s">
        <v>1613</v>
      </c>
      <c r="G388" s="3" t="str">
        <f ca="1">IFERROR(__xludf.DUMMYFUNCTION("googletranslate(D388,""en"",""ja"")"),"IgG1 自己抗体")</f>
        <v>IgG1 自己抗体</v>
      </c>
      <c r="H388" s="3" t="str">
        <f ca="1">IFERROR(__xludf.DUMMYFUNCTION("googletranslate(E388,""en"",""ja"")"),"生物学的検体中の結合 IgG1 自己抗体の測定。")</f>
        <v>生物学的検体中の結合 IgG1 自己抗体の測定。</v>
      </c>
      <c r="I388" s="3" t="str">
        <f ca="1">IFERROR(__xludf.DUMMYFUNCTION("googletranslate(F388,""en"",""ja"")"),"IgG1自己抗体測定")</f>
        <v>IgG1自己抗体測定</v>
      </c>
    </row>
    <row r="389" spans="1:9" ht="30">
      <c r="A389" s="3" t="s">
        <v>180</v>
      </c>
      <c r="B389" s="3" t="s">
        <v>1614</v>
      </c>
      <c r="C389" s="3" t="s">
        <v>1615</v>
      </c>
      <c r="D389" s="3" t="s">
        <v>1615</v>
      </c>
      <c r="E389" s="3" t="s">
        <v>1616</v>
      </c>
      <c r="F389" s="3" t="s">
        <v>1617</v>
      </c>
      <c r="G389" s="3" t="str">
        <f ca="1">IFERROR(__xludf.DUMMYFUNCTION("googletranslate(D389,""en"",""ja"")"),"IgG2 自己抗体")</f>
        <v>IgG2 自己抗体</v>
      </c>
      <c r="H389" s="3" t="str">
        <f ca="1">IFERROR(__xludf.DUMMYFUNCTION("googletranslate(E389,""en"",""ja"")"),"生物学的検体中の結合 IgG2 自己抗体の測定。")</f>
        <v>生物学的検体中の結合 IgG2 自己抗体の測定。</v>
      </c>
      <c r="I389" s="3" t="str">
        <f ca="1">IFERROR(__xludf.DUMMYFUNCTION("googletranslate(F389,""en"",""ja"")"),"IgG2自己抗体測定")</f>
        <v>IgG2自己抗体測定</v>
      </c>
    </row>
    <row r="390" spans="1:9" ht="30">
      <c r="A390" s="3" t="s">
        <v>180</v>
      </c>
      <c r="B390" s="3" t="s">
        <v>1618</v>
      </c>
      <c r="C390" s="3" t="s">
        <v>1619</v>
      </c>
      <c r="D390" s="3" t="s">
        <v>1619</v>
      </c>
      <c r="E390" s="3" t="s">
        <v>1620</v>
      </c>
      <c r="F390" s="3" t="s">
        <v>1621</v>
      </c>
      <c r="G390" s="3" t="str">
        <f ca="1">IFERROR(__xludf.DUMMYFUNCTION("googletranslate(D390,""en"",""ja"")"),"IgG3 自己抗体")</f>
        <v>IgG3 自己抗体</v>
      </c>
      <c r="H390" s="3" t="str">
        <f ca="1">IFERROR(__xludf.DUMMYFUNCTION("googletranslate(E390,""en"",""ja"")"),"生物学的検体中の結合 IgG3 自己抗体の測定。")</f>
        <v>生物学的検体中の結合 IgG3 自己抗体の測定。</v>
      </c>
      <c r="I390" s="3" t="str">
        <f ca="1">IFERROR(__xludf.DUMMYFUNCTION("googletranslate(F390,""en"",""ja"")"),"IgG3自己抗体測定")</f>
        <v>IgG3自己抗体測定</v>
      </c>
    </row>
    <row r="391" spans="1:9" ht="30">
      <c r="A391" s="3" t="s">
        <v>180</v>
      </c>
      <c r="B391" s="3" t="s">
        <v>1622</v>
      </c>
      <c r="C391" s="3" t="s">
        <v>1623</v>
      </c>
      <c r="D391" s="3" t="s">
        <v>1623</v>
      </c>
      <c r="E391" s="3" t="s">
        <v>1624</v>
      </c>
      <c r="F391" s="3" t="s">
        <v>1625</v>
      </c>
      <c r="G391" s="3" t="str">
        <f ca="1">IFERROR(__xludf.DUMMYFUNCTION("googletranslate(D391,""en"",""ja"")"),"IgG自己抗体")</f>
        <v>IgG自己抗体</v>
      </c>
      <c r="H391" s="3" t="str">
        <f ca="1">IFERROR(__xludf.DUMMYFUNCTION("googletranslate(E391,""en"",""ja"")"),"生物学的検体中の結合 IgG 自己抗体の測定。")</f>
        <v>生物学的検体中の結合 IgG 自己抗体の測定。</v>
      </c>
      <c r="I391" s="3" t="str">
        <f ca="1">IFERROR(__xludf.DUMMYFUNCTION("googletranslate(F391,""en"",""ja"")"),"IgG自己抗体測定")</f>
        <v>IgG自己抗体測定</v>
      </c>
    </row>
    <row r="392" spans="1:9" ht="30">
      <c r="A392" s="3" t="s">
        <v>180</v>
      </c>
      <c r="B392" s="3" t="s">
        <v>1626</v>
      </c>
      <c r="C392" s="3" t="s">
        <v>1627</v>
      </c>
      <c r="D392" s="3" t="s">
        <v>1627</v>
      </c>
      <c r="E392" s="3" t="s">
        <v>1628</v>
      </c>
      <c r="F392" s="3" t="s">
        <v>1629</v>
      </c>
      <c r="G392" s="3" t="str">
        <f ca="1">IFERROR(__xludf.DUMMYFUNCTION("googletranslate(D392,""en"",""ja"")"),"IgM自己抗体")</f>
        <v>IgM自己抗体</v>
      </c>
      <c r="H392" s="3" t="str">
        <f ca="1">IFERROR(__xludf.DUMMYFUNCTION("googletranslate(E392,""en"",""ja"")"),"生物学的検体中の結合 IgM 自己抗体の測定。")</f>
        <v>生物学的検体中の結合 IgM 自己抗体の測定。</v>
      </c>
      <c r="I392" s="3" t="str">
        <f ca="1">IFERROR(__xludf.DUMMYFUNCTION("googletranslate(F392,""en"",""ja"")"),"IgM自己抗体測定")</f>
        <v>IgM自己抗体測定</v>
      </c>
    </row>
    <row r="393" spans="1:9" ht="75">
      <c r="A393" s="3" t="s">
        <v>6</v>
      </c>
      <c r="B393" s="3" t="s">
        <v>1630</v>
      </c>
      <c r="C393" s="3" t="s">
        <v>1631</v>
      </c>
      <c r="D393" s="3" t="s">
        <v>1632</v>
      </c>
      <c r="E393" s="3" t="s">
        <v>1633</v>
      </c>
      <c r="F393" s="3" t="s">
        <v>1634</v>
      </c>
      <c r="G393" s="3" t="str">
        <f ca="1">IFERROR(__xludf.DUMMYFUNCTION("googletranslate(D393,""en"",""ja"")"),"ALK1;抗ロイコプロテイナーゼ; BLPI;プロテイナーゼ阻害剤 WAP4;分泌性白血球ペプチダーゼ阻害剤;分泌性白血球プロテアーゼ阻害剤")</f>
        <v>ALK1;抗ロイコプロテイナーゼ; BLPI;プロテイナーゼ阻害剤 WAP4;分泌性白血球ペプチダーゼ阻害剤;分泌性白血球プロテアーゼ阻害剤</v>
      </c>
      <c r="H393" s="3" t="str">
        <f ca="1">IFERROR(__xludf.DUMMYFUNCTION("googletranslate(E393,""en"",""ja"")"),"生物学的標本中の抗ロイコプロテイナーゼの測定。")</f>
        <v>生物学的標本中の抗ロイコプロテイナーゼの測定。</v>
      </c>
      <c r="I393" s="3" t="str">
        <f ca="1">IFERROR(__xludf.DUMMYFUNCTION("googletranslate(F393,""en"",""ja"")"),"抗ロイコプロテイナーゼの測定")</f>
        <v>抗ロイコプロテイナーゼの測定</v>
      </c>
    </row>
    <row r="394" spans="1:9" ht="45">
      <c r="A394" s="3" t="s">
        <v>159</v>
      </c>
      <c r="B394" s="3" t="s">
        <v>1635</v>
      </c>
      <c r="C394" s="3" t="s">
        <v>1636</v>
      </c>
      <c r="D394" s="3" t="s">
        <v>1637</v>
      </c>
      <c r="E394" s="3" t="s">
        <v>1638</v>
      </c>
      <c r="F394" s="3" t="s">
        <v>1639</v>
      </c>
      <c r="G394" s="3" t="str">
        <f ca="1">IFERROR(__xludf.DUMMYFUNCTION("googletranslate(D394,""en"",""ja"")"),"非対称強直性首反射。 ATNR")</f>
        <v>非対称強直性首反射。 ATNR</v>
      </c>
      <c r="H394" s="3" t="str">
        <f ca="1">IFERROR(__xludf.DUMMYFUNCTION("googletranslate(E394,""en"",""ja"")"),"乳児の視線を追うために腕を伸ばし、反対側の腕と脚を内側に曲げる新生児の不随意の原始反応。")</f>
        <v>乳児の視線を追うために腕を伸ばし、反対側の腕と脚を内側に曲げる新生児の不随意の原始反応。</v>
      </c>
      <c r="I394" s="3" t="str">
        <f ca="1">IFERROR(__xludf.DUMMYFUNCTION("googletranslate(F394,""en"",""ja"")"),"強壮性首反射")</f>
        <v>強壮性首反射</v>
      </c>
    </row>
    <row r="395" spans="1:9" ht="30">
      <c r="A395" s="3" t="s">
        <v>6</v>
      </c>
      <c r="B395" s="3" t="s">
        <v>1640</v>
      </c>
      <c r="C395" s="3" t="s">
        <v>1641</v>
      </c>
      <c r="D395" s="3" t="s">
        <v>1641</v>
      </c>
      <c r="E395" s="3" t="s">
        <v>1642</v>
      </c>
      <c r="F395" s="3" t="s">
        <v>1643</v>
      </c>
      <c r="G395" s="3" t="str">
        <f ca="1">IFERROR(__xludf.DUMMYFUNCTION("googletranslate(D395,""en"",""ja"")"),"アデノシン三リン酸")</f>
        <v>アデノシン三リン酸</v>
      </c>
      <c r="H395" s="3" t="str">
        <f ca="1">IFERROR(__xludf.DUMMYFUNCTION("googletranslate(E395,""en"",""ja"")"),"生物学的標本中のアデノシン三リン酸の測定。")</f>
        <v>生物学的標本中のアデノシン三リン酸の測定。</v>
      </c>
      <c r="I395" s="3" t="str">
        <f ca="1">IFERROR(__xludf.DUMMYFUNCTION("googletranslate(F395,""en"",""ja"")"),"アデノシン三リン酸の測定")</f>
        <v>アデノシン三リン酸の測定</v>
      </c>
    </row>
    <row r="396" spans="1:9" ht="45">
      <c r="A396" s="3" t="s">
        <v>6</v>
      </c>
      <c r="B396" s="3" t="s">
        <v>1644</v>
      </c>
      <c r="C396" s="3" t="s">
        <v>1645</v>
      </c>
      <c r="D396" s="3" t="s">
        <v>1645</v>
      </c>
      <c r="E396" s="3" t="s">
        <v>1646</v>
      </c>
      <c r="F396" s="3" t="s">
        <v>1647</v>
      </c>
      <c r="G396" s="3" t="str">
        <f ca="1">IFERROR(__xludf.DUMMYFUNCTION("googletranslate(D396,""en"",""ja"")"),"アルファトコフェロール/ビタミンE")</f>
        <v>アルファトコフェロール/ビタミンE</v>
      </c>
      <c r="H396" s="3" t="str">
        <f ca="1">IFERROR(__xludf.DUMMYFUNCTION("googletranslate(E396,""en"",""ja"")"),"生物学的標本中の総ビタミン E に対するα-トコフェロールの相対測定値 (比率またはパーセンテージ)。")</f>
        <v>生物学的標本中の総ビタミン E に対するα-トコフェロールの相対測定値 (比率またはパーセンテージ)。</v>
      </c>
      <c r="I396" s="3" t="str">
        <f ca="1">IFERROR(__xludf.DUMMYFUNCTION("googletranslate(F396,""en"",""ja"")"),"アルファトコフェロールとビタミンEの比率の測定")</f>
        <v>アルファトコフェロールとビタミンEの比率の測定</v>
      </c>
    </row>
    <row r="397" spans="1:9" ht="30">
      <c r="A397" s="3" t="s">
        <v>1557</v>
      </c>
      <c r="B397" s="3" t="s">
        <v>1648</v>
      </c>
      <c r="C397" s="3" t="s">
        <v>1649</v>
      </c>
      <c r="D397" s="3" t="s">
        <v>1649</v>
      </c>
      <c r="E397" s="3" t="s">
        <v>1650</v>
      </c>
      <c r="F397" s="3" t="s">
        <v>1651</v>
      </c>
      <c r="G397" s="3" t="str">
        <f ca="1">IFERROR(__xludf.DUMMYFUNCTION("googletranslate(D397,""en"",""ja"")"),"萎縮")</f>
        <v>萎縮</v>
      </c>
      <c r="H397" s="3" t="str">
        <f ca="1">IFERROR(__xludf.DUMMYFUNCTION("googletranslate(E397,""en"",""ja"")"),"生物学的標本または場所における萎縮（サイズの減少、劣化、および/または消耗）の評価。")</f>
        <v>生物学的標本または場所における萎縮（サイズの減少、劣化、および/または消耗）の評価。</v>
      </c>
      <c r="I397" s="3" t="str">
        <f ca="1">IFERROR(__xludf.DUMMYFUNCTION("googletranslate(F397,""en"",""ja"")"),"萎縮の評価")</f>
        <v>萎縮の評価</v>
      </c>
    </row>
    <row r="398" spans="1:9" ht="75">
      <c r="A398" s="3" t="s">
        <v>1255</v>
      </c>
      <c r="B398" s="3" t="s">
        <v>1652</v>
      </c>
      <c r="C398" s="3" t="s">
        <v>1653</v>
      </c>
      <c r="D398" s="3" t="s">
        <v>1653</v>
      </c>
      <c r="E398" s="3" t="s">
        <v>1654</v>
      </c>
      <c r="F398" s="3" t="s">
        <v>1655</v>
      </c>
      <c r="G398" s="3" t="str">
        <f ca="1">IFERROR(__xludf.DUMMYFUNCTION("googletranslate(D398,""en"",""ja"")"),"減衰補正タイプ")</f>
        <v>減衰補正タイプ</v>
      </c>
      <c r="H398" s="3" t="str">
        <f ca="1">IFERROR(__xludf.DUMMYFUNCTION("googletranslate(E398,""en"",""ja"")"),"放射能濃度の起点からスキャナーの検出器までガンマ線が通過する組織の厚さの影響の調整。検出器の計数率は、ガンマ線の経路に沿って減衰がないかのような値に調整されます。")</f>
        <v>放射能濃度の起点からスキャナーの検出器までガンマ線が通過する組織の厚さの影響の調整。検出器の計数率は、ガンマ線の経路に沿って減衰がないかのような値に調整されます。</v>
      </c>
      <c r="I398" s="3" t="str">
        <f ca="1">IFERROR(__xludf.DUMMYFUNCTION("googletranslate(F398,""en"",""ja"")"),"減衰補正")</f>
        <v>減衰補正</v>
      </c>
    </row>
    <row r="399" spans="1:9" ht="60">
      <c r="A399" s="3" t="s">
        <v>6</v>
      </c>
      <c r="B399" s="3" t="s">
        <v>1656</v>
      </c>
      <c r="C399" s="3" t="s">
        <v>1657</v>
      </c>
      <c r="D399" s="3" t="s">
        <v>1657</v>
      </c>
      <c r="E399" s="3" t="s">
        <v>1658</v>
      </c>
      <c r="F399" s="3" t="s">
        <v>1659</v>
      </c>
      <c r="G399" s="3" t="str">
        <f ca="1">IFERROR(__xludf.DUMMYFUNCTION("googletranslate(D399,""en"",""ja"")"),"アウアーロッド")</f>
        <v>アウアーロッド</v>
      </c>
      <c r="H399" s="3" t="str">
        <f ca="1">IFERROR(__xludf.DUMMYFUNCTION("googletranslate(E399,""en"",""ja"")"),"生物学的標本中のアウアー桿体（白血病芽球の細胞質に見られ、アズール親和性の粒状物質の塊によって形成される細長い針構造）の測定。")</f>
        <v>生物学的標本中のアウアー桿体（白血病芽球の細胞質に見られ、アズール親和性の粒状物質の塊によって形成される細長い針構造）の測定。</v>
      </c>
      <c r="I399" s="3" t="str">
        <f ca="1">IFERROR(__xludf.DUMMYFUNCTION("googletranslate(F399,""en"",""ja"")"),"アウアーロッド測定")</f>
        <v>アウアーロッド測定</v>
      </c>
    </row>
    <row r="400" spans="1:9" ht="30">
      <c r="A400" s="3" t="s">
        <v>985</v>
      </c>
      <c r="B400" s="3" t="s">
        <v>1660</v>
      </c>
      <c r="C400" s="3" t="s">
        <v>1661</v>
      </c>
      <c r="D400" s="3" t="s">
        <v>1661</v>
      </c>
      <c r="E400" s="3" t="s">
        <v>1662</v>
      </c>
      <c r="F400" s="3" t="s">
        <v>1663</v>
      </c>
      <c r="G400" s="3" t="str">
        <f ca="1">IFERROR(__xludf.DUMMYFUNCTION("googletranslate(D400,""en"",""ja"")"),"房室伝導")</f>
        <v>房室伝導</v>
      </c>
      <c r="H400" s="3" t="str">
        <f ca="1">IFERROR(__xludf.DUMMYFUNCTION("googletranslate(E400,""en"",""ja"")"),"心臓房室伝導の心電図評価。")</f>
        <v>心臓房室伝導の心電図評価。</v>
      </c>
      <c r="I400" s="3" t="str">
        <f ca="1">IFERROR(__xludf.DUMMYFUNCTION("googletranslate(F400,""en"",""ja"")"),"房室伝導心電図評価")</f>
        <v>房室伝導心電図評価</v>
      </c>
    </row>
    <row r="401" spans="1:9" ht="30">
      <c r="A401" s="3" t="s">
        <v>1664</v>
      </c>
      <c r="B401" s="3" t="s">
        <v>1660</v>
      </c>
      <c r="C401" s="3" t="s">
        <v>1661</v>
      </c>
      <c r="D401" s="3" t="s">
        <v>1661</v>
      </c>
      <c r="E401" s="3" t="s">
        <v>1662</v>
      </c>
      <c r="F401" s="3" t="s">
        <v>1663</v>
      </c>
      <c r="G401" s="3" t="str">
        <f ca="1">IFERROR(__xludf.DUMMYFUNCTION("googletranslate(D401,""en"",""ja"")"),"房室伝導")</f>
        <v>房室伝導</v>
      </c>
      <c r="H401" s="3" t="str">
        <f ca="1">IFERROR(__xludf.DUMMYFUNCTION("googletranslate(E401,""en"",""ja"")"),"心臓房室伝導の心電図評価。")</f>
        <v>心臓房室伝導の心電図評価。</v>
      </c>
      <c r="I401" s="3" t="str">
        <f ca="1">IFERROR(__xludf.DUMMYFUNCTION("googletranslate(F401,""en"",""ja"")"),"房室伝導心電図評価")</f>
        <v>房室伝導心電図評価</v>
      </c>
    </row>
    <row r="402" spans="1:9" ht="45">
      <c r="A402" s="3" t="s">
        <v>81</v>
      </c>
      <c r="B402" s="3" t="s">
        <v>1665</v>
      </c>
      <c r="C402" s="3" t="s">
        <v>1666</v>
      </c>
      <c r="D402" s="3" t="s">
        <v>1666</v>
      </c>
      <c r="E402" s="3" t="s">
        <v>1667</v>
      </c>
      <c r="F402" s="3" t="s">
        <v>1666</v>
      </c>
      <c r="G402" s="3" t="str">
        <f ca="1">IFERROR(__xludf.DUMMYFUNCTION("googletranslate(D402,""en"",""ja"")"),"大動脈弁逆流率")</f>
        <v>大動脈弁逆流率</v>
      </c>
      <c r="H402" s="3" t="str">
        <f ca="1">IFERROR(__xludf.DUMMYFUNCTION("googletranslate(E402,""en"",""ja"")"),"大動脈弁の開口部を通過する逆行性血流量の測定値で、順行性血流量のパーセンテージとして表されます。")</f>
        <v>大動脈弁の開口部を通過する逆行性血流量の測定値で、順行性血流量のパーセンテージとして表されます。</v>
      </c>
      <c r="I402" s="3" t="str">
        <f ca="1">IFERROR(__xludf.DUMMYFUNCTION("googletranslate(F402,""en"",""ja"")"),"大動脈弁逆流率")</f>
        <v>大動脈弁逆流率</v>
      </c>
    </row>
    <row r="403" spans="1:9" ht="30">
      <c r="A403" s="3" t="s">
        <v>81</v>
      </c>
      <c r="B403" s="3" t="s">
        <v>1668</v>
      </c>
      <c r="C403" s="3" t="s">
        <v>1669</v>
      </c>
      <c r="D403" s="3" t="s">
        <v>1669</v>
      </c>
      <c r="E403" s="3" t="s">
        <v>1670</v>
      </c>
      <c r="F403" s="3" t="s">
        <v>1669</v>
      </c>
      <c r="G403" s="3" t="str">
        <f ca="1">IFERROR(__xludf.DUMMYFUNCTION("googletranslate(D403,""en"",""ja"")"),"大動脈弁逆流ジェット幅")</f>
        <v>大動脈弁逆流ジェット幅</v>
      </c>
      <c r="H403" s="3" t="str">
        <f ca="1">IFERROR(__xludf.DUMMYFUNCTION("googletranslate(E403,""en"",""ja"")"),"左心室流出路への血液逆流の測定幅。")</f>
        <v>左心室流出路への血液逆流の測定幅。</v>
      </c>
      <c r="I403" s="3" t="str">
        <f ca="1">IFERROR(__xludf.DUMMYFUNCTION("googletranslate(F403,""en"",""ja"")"),"大動脈弁逆流ジェット幅")</f>
        <v>大動脈弁逆流ジェット幅</v>
      </c>
    </row>
    <row r="404" spans="1:9" ht="30">
      <c r="A404" s="3" t="s">
        <v>81</v>
      </c>
      <c r="B404" s="3" t="s">
        <v>1671</v>
      </c>
      <c r="C404" s="3" t="s">
        <v>1672</v>
      </c>
      <c r="D404" s="3" t="s">
        <v>1672</v>
      </c>
      <c r="E404" s="3" t="s">
        <v>1673</v>
      </c>
      <c r="F404" s="3" t="s">
        <v>1672</v>
      </c>
      <c r="G404" s="3" t="str">
        <f ca="1">IFERROR(__xludf.DUMMYFUNCTION("googletranslate(D404,""en"",""ja"")"),"大動脈弁逆流量")</f>
        <v>大動脈弁逆流量</v>
      </c>
      <c r="H404" s="3" t="str">
        <f ca="1">IFERROR(__xludf.DUMMYFUNCTION("googletranslate(E404,""en"",""ja"")"),"大動脈弁の開口部を通過する逆行性血流量の測定値。")</f>
        <v>大動脈弁の開口部を通過する逆行性血流量の測定値。</v>
      </c>
      <c r="I404" s="3" t="str">
        <f ca="1">IFERROR(__xludf.DUMMYFUNCTION("googletranslate(F404,""en"",""ja"")"),"大動脈弁逆流量")</f>
        <v>大動脈弁逆流量</v>
      </c>
    </row>
    <row r="405" spans="1:9" ht="30">
      <c r="A405" s="3" t="s">
        <v>81</v>
      </c>
      <c r="B405" s="3" t="s">
        <v>1674</v>
      </c>
      <c r="C405" s="3" t="s">
        <v>1675</v>
      </c>
      <c r="D405" s="3" t="s">
        <v>1675</v>
      </c>
      <c r="E405" s="3" t="s">
        <v>1676</v>
      </c>
      <c r="F405" s="3" t="s">
        <v>1675</v>
      </c>
      <c r="G405" s="3" t="str">
        <f ca="1">IFERROR(__xludf.DUMMYFUNCTION("googletranslate(D405,""en"",""ja"")"),"大動脈弁大静脈収縮領域")</f>
        <v>大動脈弁大静脈収縮領域</v>
      </c>
      <c r="H405" s="3" t="str">
        <f ca="1">IFERROR(__xludf.DUMMYFUNCTION("googletranslate(E405,""en"",""ja"")"),"大動脈弁の静脈収縮部の領域。")</f>
        <v>大動脈弁の静脈収縮部の領域。</v>
      </c>
      <c r="I405" s="3" t="str">
        <f ca="1">IFERROR(__xludf.DUMMYFUNCTION("googletranslate(F405,""en"",""ja"")"),"大動脈弁大静脈収縮領域")</f>
        <v>大動脈弁大静脈収縮領域</v>
      </c>
    </row>
    <row r="406" spans="1:9" ht="30">
      <c r="A406" s="3" t="s">
        <v>81</v>
      </c>
      <c r="B406" s="3" t="s">
        <v>1677</v>
      </c>
      <c r="C406" s="3" t="s">
        <v>1678</v>
      </c>
      <c r="D406" s="3" t="s">
        <v>1678</v>
      </c>
      <c r="E406" s="3" t="s">
        <v>1679</v>
      </c>
      <c r="F406" s="3" t="s">
        <v>1678</v>
      </c>
      <c r="G406" s="3" t="str">
        <f ca="1">IFERROR(__xludf.DUMMYFUNCTION("googletranslate(D406,""en"",""ja"")"),"大動脈弁大静脈収縮幅")</f>
        <v>大動脈弁大静脈収縮幅</v>
      </c>
      <c r="H406" s="3" t="str">
        <f ca="1">IFERROR(__xludf.DUMMYFUNCTION("googletranslate(E406,""en"",""ja"")"),"大動脈弁の収縮部の幅。")</f>
        <v>大動脈弁の収縮部の幅。</v>
      </c>
      <c r="I406" s="3" t="str">
        <f ca="1">IFERROR(__xludf.DUMMYFUNCTION("googletranslate(F406,""en"",""ja"")"),"大動脈弁大静脈収縮幅")</f>
        <v>大動脈弁大静脈収縮幅</v>
      </c>
    </row>
    <row r="407" spans="1:9" ht="30">
      <c r="A407" s="3" t="s">
        <v>490</v>
      </c>
      <c r="B407" s="3" t="s">
        <v>1680</v>
      </c>
      <c r="C407" s="3" t="s">
        <v>1681</v>
      </c>
      <c r="D407" s="3" t="s">
        <v>1681</v>
      </c>
      <c r="E407" s="3" t="s">
        <v>1682</v>
      </c>
      <c r="F407" s="3" t="s">
        <v>1681</v>
      </c>
      <c r="G407" s="3" t="str">
        <f ca="1">IFERROR(__xludf.DUMMYFUNCTION("googletranslate(D407,""en"",""ja"")"),"気道容積")</f>
        <v>気道容積</v>
      </c>
      <c r="H407" s="3" t="str">
        <f ca="1">IFERROR(__xludf.DUMMYFUNCTION("googletranslate(E407,""en"",""ja"")"),"呼吸サイクルの指定された時点における、指定された気道または一連の気道内のガスの総量。")</f>
        <v>呼吸サイクルの指定された時点における、指定された気道または一連の気道内のガスの総量。</v>
      </c>
      <c r="I407" s="3" t="str">
        <f ca="1">IFERROR(__xludf.DUMMYFUNCTION("googletranslate(F407,""en"",""ja"")"),"気道容積")</f>
        <v>気道容積</v>
      </c>
    </row>
    <row r="408" spans="1:9" ht="45">
      <c r="A408" s="3" t="s">
        <v>490</v>
      </c>
      <c r="B408" s="3" t="s">
        <v>1683</v>
      </c>
      <c r="C408" s="3" t="s">
        <v>1684</v>
      </c>
      <c r="D408" s="3" t="s">
        <v>1684</v>
      </c>
      <c r="E408" s="3" t="s">
        <v>1685</v>
      </c>
      <c r="F408" s="3" t="s">
        <v>1684</v>
      </c>
      <c r="G408" s="3" t="str">
        <f ca="1">IFERROR(__xludf.DUMMYFUNCTION("googletranslate(D408,""en"",""ja"")"),"予測気道容積のパーセント")</f>
        <v>予測気道容積のパーセント</v>
      </c>
      <c r="H408" s="3" t="str">
        <f ca="1">IFERROR(__xludf.DUMMYFUNCTION("googletranslate(E408,""en"",""ja"")"),"呼吸サイクルの指定された時点における、指定された気道または一連の気道内のガスの総量。予測された正常値の割合として表されます。")</f>
        <v>呼吸サイクルの指定された時点における、指定された気道または一連の気道内のガスの総量。予測された正常値の割合として表されます。</v>
      </c>
      <c r="I408" s="3" t="str">
        <f ca="1">IFERROR(__xludf.DUMMYFUNCTION("googletranslate(F408,""en"",""ja"")"),"予測気道容積のパーセント")</f>
        <v>予測気道容積のパーセント</v>
      </c>
    </row>
    <row r="409" spans="1:9" ht="30">
      <c r="A409" s="3" t="s">
        <v>490</v>
      </c>
      <c r="B409" s="3" t="s">
        <v>1686</v>
      </c>
      <c r="C409" s="3" t="s">
        <v>1687</v>
      </c>
      <c r="D409" s="3" t="s">
        <v>1687</v>
      </c>
      <c r="E409" s="3" t="s">
        <v>1688</v>
      </c>
      <c r="F409" s="3" t="s">
        <v>1687</v>
      </c>
      <c r="G409" s="3" t="str">
        <f ca="1">IFERROR(__xludf.DUMMYFUNCTION("googletranslate(D409,""en"",""ja"")"),"気道壁容積")</f>
        <v>気道壁容積</v>
      </c>
      <c r="H409" s="3" t="str">
        <f ca="1">IFERROR(__xludf.DUMMYFUNCTION("googletranslate(E409,""en"",""ja"")"),"指定された肺内領域の気道組織全体の体積。")</f>
        <v>指定された肺内領域の気道組織全体の体積。</v>
      </c>
      <c r="I409" s="3" t="str">
        <f ca="1">IFERROR(__xludf.DUMMYFUNCTION("googletranslate(F409,""en"",""ja"")"),"気道壁容積")</f>
        <v>気道壁容積</v>
      </c>
    </row>
    <row r="410" spans="1:9" ht="30">
      <c r="A410" s="3" t="s">
        <v>985</v>
      </c>
      <c r="B410" s="3" t="s">
        <v>1689</v>
      </c>
      <c r="C410" s="3" t="s">
        <v>1690</v>
      </c>
      <c r="D410" s="3" t="s">
        <v>1690</v>
      </c>
      <c r="E410" s="3" t="s">
        <v>1691</v>
      </c>
      <c r="F410" s="3" t="s">
        <v>1692</v>
      </c>
      <c r="G410" s="3" t="str">
        <f ca="1">IFERROR(__xludf.DUMMYFUNCTION("googletranslate(D410,""en"",""ja"")"),"軸と電圧")</f>
        <v>軸と電圧</v>
      </c>
      <c r="H410" s="3" t="str">
        <f ca="1">IFERROR(__xludf.DUMMYFUNCTION("googletranslate(E410,""en"",""ja"")"),"平均心臓電気ベクトルと ECG 電圧の心電図評価。")</f>
        <v>平均心臓電気ベクトルと ECG 電圧の心電図評価。</v>
      </c>
      <c r="I410" s="3" t="str">
        <f ca="1">IFERROR(__xludf.DUMMYFUNCTION("googletranslate(F410,""en"",""ja"")"),"軸心電図と電圧心電図の評価")</f>
        <v>軸心電図と電圧心電図の評価</v>
      </c>
    </row>
    <row r="411" spans="1:9" ht="30">
      <c r="A411" s="3" t="s">
        <v>1664</v>
      </c>
      <c r="B411" s="3" t="s">
        <v>1689</v>
      </c>
      <c r="C411" s="3" t="s">
        <v>1690</v>
      </c>
      <c r="D411" s="3" t="s">
        <v>1690</v>
      </c>
      <c r="E411" s="3" t="s">
        <v>1691</v>
      </c>
      <c r="F411" s="3" t="s">
        <v>1692</v>
      </c>
      <c r="G411" s="3" t="str">
        <f ca="1">IFERROR(__xludf.DUMMYFUNCTION("googletranslate(D411,""en"",""ja"")"),"軸と電圧")</f>
        <v>軸と電圧</v>
      </c>
      <c r="H411" s="3" t="str">
        <f ca="1">IFERROR(__xludf.DUMMYFUNCTION("googletranslate(E411,""en"",""ja"")"),"平均心臓電気ベクトルと ECG 電圧の心電図評価。")</f>
        <v>平均心臓電気ベクトルと ECG 電圧の心電図評価。</v>
      </c>
      <c r="I411" s="3" t="str">
        <f ca="1">IFERROR(__xludf.DUMMYFUNCTION("googletranslate(F411,""en"",""ja"")"),"軸心電図と電圧心電図の評価")</f>
        <v>軸心電図と電圧心電図の評価</v>
      </c>
    </row>
    <row r="412" spans="1:9" ht="30">
      <c r="A412" s="3" t="s">
        <v>6</v>
      </c>
      <c r="B412" s="3" t="s">
        <v>1693</v>
      </c>
      <c r="C412" s="3" t="s">
        <v>1694</v>
      </c>
      <c r="D412" s="3" t="s">
        <v>1695</v>
      </c>
      <c r="E412" s="3" t="s">
        <v>1696</v>
      </c>
      <c r="F412" s="3" t="s">
        <v>1697</v>
      </c>
      <c r="G412" s="3" t="str">
        <f ca="1">IFERROR(__xludf.DUMMYFUNCTION("googletranslate(D412,""en"",""ja"")"),"アーク; AXL受容体チロシンキナーゼ; JTK11;タイロ7; UFO")</f>
        <v>アーク; AXL受容体チロシンキナーゼ; JTK11;タイロ7; UFO</v>
      </c>
      <c r="H412" s="3" t="str">
        <f ca="1">IFERROR(__xludf.DUMMYFUNCTION("googletranslate(E412,""en"",""ja"")"),"生物学的標本中の AXL 受容体チロシンキナーゼの測定。")</f>
        <v>生物学的標本中の AXL 受容体チロシンキナーゼの測定。</v>
      </c>
      <c r="I412" s="3" t="str">
        <f ca="1">IFERROR(__xludf.DUMMYFUNCTION("googletranslate(F412,""en"",""ja"")"),"AXL受容体チロシンキナーゼの測定")</f>
        <v>AXL受容体チロシンキナーゼの測定</v>
      </c>
    </row>
    <row r="413" spans="1:9" ht="30">
      <c r="A413" s="3" t="s">
        <v>67</v>
      </c>
      <c r="B413" s="3" t="s">
        <v>1698</v>
      </c>
      <c r="C413" s="3" t="s">
        <v>1699</v>
      </c>
      <c r="D413" s="3" t="s">
        <v>1699</v>
      </c>
      <c r="E413" s="3" t="s">
        <v>1700</v>
      </c>
      <c r="F413" s="3" t="s">
        <v>1701</v>
      </c>
      <c r="G413" s="3" t="str">
        <f ca="1">IFERROR(__xludf.DUMMYFUNCTION("googletranslate(D413,""en"",""ja"")"),"アクロモバクター・キシロソキシダンス")</f>
        <v>アクロモバクター・キシロソキシダンス</v>
      </c>
      <c r="H413" s="3" t="str">
        <f ca="1">IFERROR(__xludf.DUMMYFUNCTION("googletranslate(E413,""en"",""ja"")"),"生物学的標本中のアクロモバクター キシロソキシダンスの測定。")</f>
        <v>生物学的標本中のアクロモバクター キシロソキシダンスの測定。</v>
      </c>
      <c r="I413" s="3" t="str">
        <f ca="1">IFERROR(__xludf.DUMMYFUNCTION("googletranslate(F413,""en"",""ja"")"),"アクロモバクター・キシロソキシダンスの測定")</f>
        <v>アクロモバクター・キシロソキシダンスの測定</v>
      </c>
    </row>
    <row r="414" spans="1:9" ht="30">
      <c r="A414" s="3" t="s">
        <v>6</v>
      </c>
      <c r="B414" s="3" t="s">
        <v>1702</v>
      </c>
      <c r="C414" s="3" t="s">
        <v>1703</v>
      </c>
      <c r="D414" s="3" t="s">
        <v>1704</v>
      </c>
      <c r="E414" s="3" t="s">
        <v>1705</v>
      </c>
      <c r="F414" s="3" t="s">
        <v>1706</v>
      </c>
      <c r="G414" s="3" t="str">
        <f ca="1">IFERROR(__xludf.DUMMYFUNCTION("googletranslate(D414,""en"",""ja"")"),"アズール親和性造粒。親アズール顆粒")</f>
        <v>アズール親和性造粒。親アズール顆粒</v>
      </c>
      <c r="H414" s="3" t="str">
        <f ca="1">IFERROR(__xludf.DUMMYFUNCTION("googletranslate(E414,""en"",""ja"")"),"生物標本中のアズール親和性顆粒の観察。")</f>
        <v>生物標本中のアズール親和性顆粒の観察。</v>
      </c>
      <c r="I414" s="3" t="str">
        <f ca="1">IFERROR(__xludf.DUMMYFUNCTION("googletranslate(F414,""en"",""ja"")"),"親アズール顆粒の測定")</f>
        <v>親アズール顆粒の測定</v>
      </c>
    </row>
    <row r="415" spans="1:9" ht="30">
      <c r="A415" s="3" t="s">
        <v>67</v>
      </c>
      <c r="B415" s="3" t="s">
        <v>1707</v>
      </c>
      <c r="C415" s="3" t="s">
        <v>1708</v>
      </c>
      <c r="D415" s="3" t="s">
        <v>1708</v>
      </c>
      <c r="E415" s="3" t="s">
        <v>1709</v>
      </c>
      <c r="F415" s="3" t="s">
        <v>1710</v>
      </c>
      <c r="G415" s="3" t="str">
        <f ca="1">IFERROR(__xludf.DUMMYFUNCTION("googletranslate(D415,""en"",""ja"")"),"ヒトパルボウイルス B19")</f>
        <v>ヒトパルボウイルス B19</v>
      </c>
      <c r="H415" s="3" t="str">
        <f ca="1">IFERROR(__xludf.DUMMYFUNCTION("googletranslate(E415,""en"",""ja"")"),"生物学的標本中のヒトパルボウイルス B19 の測定。")</f>
        <v>生物学的標本中のヒトパルボウイルス B19 の測定。</v>
      </c>
      <c r="I415" s="3" t="str">
        <f ca="1">IFERROR(__xludf.DUMMYFUNCTION("googletranslate(F415,""en"",""ja"")"),"ヒトパルボウイルスB19の測定")</f>
        <v>ヒトパルボウイルスB19の測定</v>
      </c>
    </row>
    <row r="416" spans="1:9" ht="30">
      <c r="A416" s="3" t="s">
        <v>67</v>
      </c>
      <c r="B416" s="3" t="s">
        <v>1711</v>
      </c>
      <c r="C416" s="3" t="s">
        <v>1712</v>
      </c>
      <c r="D416" s="3" t="s">
        <v>1712</v>
      </c>
      <c r="E416" s="3" t="s">
        <v>1713</v>
      </c>
      <c r="F416" s="3" t="s">
        <v>1714</v>
      </c>
      <c r="G416" s="3" t="str">
        <f ca="1">IFERROR(__xludf.DUMMYFUNCTION("googletranslate(D416,""en"",""ja"")"),"ヒトパルボウイルスB19 DNA")</f>
        <v>ヒトパルボウイルスB19 DNA</v>
      </c>
      <c r="H416" s="3" t="str">
        <f ca="1">IFERROR(__xludf.DUMMYFUNCTION("googletranslate(E416,""en"",""ja"")"),"生物学的標本中のヒトパルボウイルス B19 DNA の測定。")</f>
        <v>生物学的標本中のヒトパルボウイルス B19 DNA の測定。</v>
      </c>
      <c r="I416" s="3" t="str">
        <f ca="1">IFERROR(__xludf.DUMMYFUNCTION("googletranslate(F416,""en"",""ja"")"),"ヒトパルボウイルスB19 DNA測定")</f>
        <v>ヒトパルボウイルスB19 DNA測定</v>
      </c>
    </row>
    <row r="417" spans="1:9" ht="30">
      <c r="A417" s="3" t="s">
        <v>6</v>
      </c>
      <c r="B417" s="3" t="s">
        <v>1715</v>
      </c>
      <c r="C417" s="3" t="s">
        <v>1716</v>
      </c>
      <c r="D417" s="3" t="s">
        <v>1717</v>
      </c>
      <c r="E417" s="3" t="s">
        <v>1718</v>
      </c>
      <c r="F417" s="3" t="s">
        <v>1719</v>
      </c>
      <c r="G417" s="3" t="str">
        <f ca="1">IFERROR(__xludf.DUMMYFUNCTION("googletranslate(D417,""en"",""ja"")"),"ベータ-1B 糖タンパク質;ヘモペキシン; HPX")</f>
        <v>ベータ-1B 糖タンパク質;ヘモペキシン; HPX</v>
      </c>
      <c r="H417" s="3" t="str">
        <f ca="1">IFERROR(__xludf.DUMMYFUNCTION("googletranslate(E417,""en"",""ja"")"),"生物学的標本中のベータ 1B 糖タンパク質の測定。")</f>
        <v>生物学的標本中のベータ 1B 糖タンパク質の測定。</v>
      </c>
      <c r="I417" s="3" t="str">
        <f ca="1">IFERROR(__xludf.DUMMYFUNCTION("googletranslate(F417,""en"",""ja"")"),"ベータ 1B 糖タンパク質の測定")</f>
        <v>ベータ 1B 糖タンパク質の測定</v>
      </c>
    </row>
    <row r="418" spans="1:9" ht="30">
      <c r="A418" s="3" t="s">
        <v>6</v>
      </c>
      <c r="B418" s="3" t="s">
        <v>1720</v>
      </c>
      <c r="C418" s="3" t="s">
        <v>1721</v>
      </c>
      <c r="D418" s="3" t="s">
        <v>1721</v>
      </c>
      <c r="E418" s="3" t="s">
        <v>1722</v>
      </c>
      <c r="F418" s="3" t="s">
        <v>1723</v>
      </c>
      <c r="G418" s="3" t="str">
        <f ca="1">IFERROR(__xludf.DUMMYFUNCTION("googletranslate(D418,""en"",""ja"")"),"ベータ 2 ミクログロブリン/クレアチニン")</f>
        <v>ベータ 2 ミクログロブリン/クレアチニン</v>
      </c>
      <c r="H418" s="3" t="str">
        <f ca="1">IFERROR(__xludf.DUMMYFUNCTION("googletranslate(E418,""en"",""ja"")"),"生物学的標本中のクレアチニンに対するベータ 2 ミクログロブリンの相対測定値 (比)。")</f>
        <v>生物学的標本中のクレアチニンに対するベータ 2 ミクログロブリンの相対測定値 (比)。</v>
      </c>
      <c r="I418" s="3" t="str">
        <f ca="1">IFERROR(__xludf.DUMMYFUNCTION("googletranslate(F418,""en"",""ja"")"),"ベータ 2 ミクログロブリンとクレアチニンの比率の測定")</f>
        <v>ベータ 2 ミクログロブリンとクレアチニンの比率の測定</v>
      </c>
    </row>
    <row r="419" spans="1:9" ht="30">
      <c r="A419" s="3" t="s">
        <v>6</v>
      </c>
      <c r="B419" s="3" t="s">
        <v>1724</v>
      </c>
      <c r="C419" s="3" t="s">
        <v>1725</v>
      </c>
      <c r="D419" s="3" t="s">
        <v>1725</v>
      </c>
      <c r="E419" s="3" t="s">
        <v>1726</v>
      </c>
      <c r="F419" s="3" t="s">
        <v>1727</v>
      </c>
      <c r="G419" s="3" t="str">
        <f ca="1">IFERROR(__xludf.DUMMYFUNCTION("googletranslate(D419,""en"",""ja"")"),"ベータ 2 ミクログロブリン")</f>
        <v>ベータ 2 ミクログロブリン</v>
      </c>
      <c r="H419" s="3" t="str">
        <f ca="1">IFERROR(__xludf.DUMMYFUNCTION("googletranslate(E419,""en"",""ja"")"),"生物学的標本中のベータ 2 ミクログロブリンの測定。")</f>
        <v>生物学的標本中のベータ 2 ミクログロブリンの測定。</v>
      </c>
      <c r="I419" s="3" t="str">
        <f ca="1">IFERROR(__xludf.DUMMYFUNCTION("googletranslate(F419,""en"",""ja"")"),"ベータ 2 ミクログロブリンの測定")</f>
        <v>ベータ 2 ミクログロブリンの測定</v>
      </c>
    </row>
    <row r="420" spans="1:9" ht="30">
      <c r="A420" s="3" t="s">
        <v>67</v>
      </c>
      <c r="B420" s="3" t="s">
        <v>1728</v>
      </c>
      <c r="C420" s="3" t="s">
        <v>1729</v>
      </c>
      <c r="D420" s="3" t="s">
        <v>1729</v>
      </c>
      <c r="E420" s="3" t="s">
        <v>1730</v>
      </c>
      <c r="F420" s="3" t="s">
        <v>1731</v>
      </c>
      <c r="G420" s="3" t="str">
        <f ca="1">IFERROR(__xludf.DUMMYFUNCTION("googletranslate(D420,""en"",""ja"")"),"バベシアのDNA")</f>
        <v>バベシアのDNA</v>
      </c>
      <c r="H420" s="3" t="str">
        <f ca="1">IFERROR(__xludf.DUMMYFUNCTION("googletranslate(E420,""en"",""ja"")"),"生物学的標本中のバベシア属のメンバーからの DNA の測定。")</f>
        <v>生物学的標本中のバベシア属のメンバーからの DNA の測定。</v>
      </c>
      <c r="I420" s="3" t="str">
        <f ca="1">IFERROR(__xludf.DUMMYFUNCTION("googletranslate(F420,""en"",""ja"")"),"バベシア DNA 測定")</f>
        <v>バベシア DNA 測定</v>
      </c>
    </row>
    <row r="421" spans="1:9" ht="30">
      <c r="A421" s="3" t="s">
        <v>103</v>
      </c>
      <c r="B421" s="3" t="s">
        <v>1732</v>
      </c>
      <c r="C421" s="3" t="s">
        <v>1733</v>
      </c>
      <c r="D421" s="3" t="s">
        <v>1734</v>
      </c>
      <c r="E421" s="3" t="s">
        <v>1735</v>
      </c>
      <c r="F421" s="3" t="s">
        <v>1736</v>
      </c>
      <c r="G421" s="3" t="str">
        <f ca="1">IFERROR(__xludf.DUMMYFUNCTION("googletranslate(D421,""en"",""ja"")"),"Bリンパ球は抗体を分泌します。 BLym 腹部分泌; BLym AbSc")</f>
        <v>Bリンパ球は抗体を分泌します。 BLym 腹部分泌; BLym AbSc</v>
      </c>
      <c r="H421" s="3" t="str">
        <f ca="1">IFERROR(__xludf.DUMMYFUNCTION("googletranslate(E421,""en"",""ja"")"),"生物学的標本中の抗体分泌 B リンパ球の測定。")</f>
        <v>生物学的標本中の抗体分泌 B リンパ球の測定。</v>
      </c>
      <c r="I421" s="3" t="str">
        <f ca="1">IFERROR(__xludf.DUMMYFUNCTION("googletranslate(F421,""en"",""ja"")"),"抗体分泌Bリンパ球数")</f>
        <v>抗体分泌Bリンパ球数</v>
      </c>
    </row>
    <row r="422" spans="1:9" ht="60">
      <c r="A422" s="3" t="s">
        <v>103</v>
      </c>
      <c r="B422" s="3" t="s">
        <v>1737</v>
      </c>
      <c r="C422" s="3" t="s">
        <v>1738</v>
      </c>
      <c r="D422" s="3" t="s">
        <v>1739</v>
      </c>
      <c r="E422" s="3" t="s">
        <v>1740</v>
      </c>
      <c r="F422" s="3" t="s">
        <v>1741</v>
      </c>
      <c r="G422" s="3" t="str">
        <f ca="1">IFERROR(__xludf.DUMMYFUNCTION("googletranslate(D422,""en"",""ja"")"),"B リンパ球 抗体分泌/B リンパ球; BLym Ab-分泌/Blym; BLym AbSc/BLym")</f>
        <v>B リンパ球 抗体分泌/B リンパ球; BLym Ab-分泌/Blym; BLym AbSc/BLym</v>
      </c>
      <c r="H422" s="3" t="str">
        <f ca="1">IFERROR(__xludf.DUMMYFUNCTION("googletranslate(E422,""en"",""ja"")"),"生物学的検体中の総 B リンパ球に対する抗体分泌 B リンパ球の相対測定値 (比率またはパーセンテージ)。")</f>
        <v>生物学的検体中の総 B リンパ球に対する抗体分泌 B リンパ球の相対測定値 (比率またはパーセンテージ)。</v>
      </c>
      <c r="I422" s="3" t="str">
        <f ca="1">IFERROR(__xludf.DUMMYFUNCTION("googletranslate(F422,""en"",""ja"")"),"抗体分泌Bリンパ球対Bリンパ球比測定")</f>
        <v>抗体分泌Bリンパ球対Bリンパ球比測定</v>
      </c>
    </row>
    <row r="423" spans="1:9" ht="45">
      <c r="A423" s="3" t="s">
        <v>103</v>
      </c>
      <c r="B423" s="3" t="s">
        <v>1742</v>
      </c>
      <c r="C423" s="3" t="s">
        <v>1743</v>
      </c>
      <c r="D423" s="3" t="s">
        <v>1744</v>
      </c>
      <c r="E423" s="3" t="s">
        <v>1745</v>
      </c>
      <c r="F423" s="3" t="s">
        <v>1746</v>
      </c>
      <c r="G423" s="3" t="str">
        <f ca="1">IFERROR(__xludf.DUMMYFUNCTION("googletranslate(D423,""en"",""ja"")"),"Bリンパ球 抗体分泌/白血球; BLym Ab-分泌/Leuk; BLym AbSc/Leuk")</f>
        <v>Bリンパ球 抗体分泌/白血球; BLym Ab-分泌/Leuk; BLym AbSc/Leuk</v>
      </c>
      <c r="H423" s="3" t="str">
        <f ca="1">IFERROR(__xludf.DUMMYFUNCTION("googletranslate(E423,""en"",""ja"")"),"生物学的標本中の白血球に対する抗体分泌 B リンパ球の相対測定値 (比率またはパーセンテージ)。")</f>
        <v>生物学的標本中の白血球に対する抗体分泌 B リンパ球の相対測定値 (比率またはパーセンテージ)。</v>
      </c>
      <c r="I423" s="3" t="str">
        <f ca="1">IFERROR(__xludf.DUMMYFUNCTION("googletranslate(F423,""en"",""ja"")"),"抗体分泌Bリンパ球と白血球の比率の測定")</f>
        <v>抗体分泌Bリンパ球と白血球の比率の測定</v>
      </c>
    </row>
    <row r="424" spans="1:9" ht="75">
      <c r="A424" s="3" t="s">
        <v>103</v>
      </c>
      <c r="B424" s="3" t="s">
        <v>1747</v>
      </c>
      <c r="C424" s="3" t="s">
        <v>1748</v>
      </c>
      <c r="D424" s="3" t="s">
        <v>1749</v>
      </c>
      <c r="E424" s="3" t="s">
        <v>1750</v>
      </c>
      <c r="F424" s="3" t="s">
        <v>1751</v>
      </c>
      <c r="G424" s="3" t="str">
        <f ca="1">IFERROR(__xludf.DUMMYFUNCTION("googletranslate(D424,""en"",""ja"")"),"B リンパ球抗体分泌サブ集団/B リンパ球抗体分泌; BLym Ab分泌サブ/BLym AbSc; BLym AbSc サブ/BLym AbSc")</f>
        <v>B リンパ球抗体分泌サブ集団/B リンパ球抗体分泌; BLym Ab分泌サブ/BLym AbSc; BLym AbSc サブ/BLym AbSc</v>
      </c>
      <c r="H424" s="3" t="str">
        <f ca="1">IFERROR(__xludf.DUMMYFUNCTION("googletranslate(E424,""en"",""ja"")"),"生物学的検体中の抗体分泌 B リンパ球に対する抗体分泌 B リンパ球の部分集団の相対測定値 (比率またはパーセンテージ)。")</f>
        <v>生物学的検体中の抗体分泌 B リンパ球に対する抗体分泌 B リンパ球の部分集団の相対測定値 (比率またはパーセンテージ)。</v>
      </c>
      <c r="I424" s="3" t="str">
        <f ca="1">IFERROR(__xludf.DUMMYFUNCTION("googletranslate(F424,""en"",""ja"")"),"抗体分泌Bリンパ球サブ集団と抗体分泌Bリンパ球の比率の測定")</f>
        <v>抗体分泌Bリンパ球サブ集団と抗体分泌Bリンパ球の比率の測定</v>
      </c>
    </row>
    <row r="425" spans="1:9" ht="30">
      <c r="A425" s="3" t="s">
        <v>67</v>
      </c>
      <c r="B425" s="3" t="s">
        <v>1752</v>
      </c>
      <c r="C425" s="3" t="s">
        <v>1753</v>
      </c>
      <c r="D425" s="3" t="s">
        <v>1753</v>
      </c>
      <c r="E425" s="3" t="s">
        <v>1754</v>
      </c>
      <c r="F425" s="3" t="s">
        <v>1755</v>
      </c>
      <c r="G425" s="3" t="str">
        <f ca="1">IFERROR(__xludf.DUMMYFUNCTION("googletranslate(D425,""en"",""ja"")"),"細菌性ベータラクタマーゼ")</f>
        <v>細菌性ベータラクタマーゼ</v>
      </c>
      <c r="H425" s="3" t="str">
        <f ca="1">IFERROR(__xludf.DUMMYFUNCTION("googletranslate(E425,""en"",""ja"")"),"生物学的標本中の細菌酵素ベータラクタマーゼの測定。")</f>
        <v>生物学的標本中の細菌酵素ベータラクタマーゼの測定。</v>
      </c>
      <c r="I425" s="3" t="str">
        <f ca="1">IFERROR(__xludf.DUMMYFUNCTION("googletranslate(F425,""en"",""ja"")"),"細菌のβ-ラクタマーゼの測定")</f>
        <v>細菌のβ-ラクタマーゼの測定</v>
      </c>
    </row>
    <row r="426" spans="1:9" ht="30">
      <c r="A426" s="3" t="s">
        <v>67</v>
      </c>
      <c r="B426" s="3" t="s">
        <v>1756</v>
      </c>
      <c r="C426" s="3" t="s">
        <v>1757</v>
      </c>
      <c r="D426" s="3" t="s">
        <v>1757</v>
      </c>
      <c r="E426" s="3" t="s">
        <v>1758</v>
      </c>
      <c r="F426" s="3" t="s">
        <v>1759</v>
      </c>
      <c r="G426" s="3" t="str">
        <f ca="1">IFERROR(__xludf.DUMMYFUNCTION("googletranslate(D426,""en"",""ja"")"),"桿菌・白血球")</f>
        <v>桿菌・白血球</v>
      </c>
      <c r="H426" s="3" t="str">
        <f ca="1">IFERROR(__xludf.DUMMYFUNCTION("googletranslate(E426,""en"",""ja"")"),"生物学的標本中の白血球に対する桿菌の相対的な測定値 (比率またはパーセンテージ)。")</f>
        <v>生物学的標本中の白血球に対する桿菌の相対的な測定値 (比率またはパーセンテージ)。</v>
      </c>
      <c r="I426" s="3" t="str">
        <f ca="1">IFERROR(__xludf.DUMMYFUNCTION("googletranslate(F426,""en"",""ja"")"),"桿菌と白血球の比率の測定")</f>
        <v>桿菌と白血球の比率の測定</v>
      </c>
    </row>
    <row r="427" spans="1:9" ht="30">
      <c r="A427" s="3" t="s">
        <v>67</v>
      </c>
      <c r="B427" s="3" t="s">
        <v>1760</v>
      </c>
      <c r="C427" s="3" t="s">
        <v>1761</v>
      </c>
      <c r="D427" s="3" t="s">
        <v>1762</v>
      </c>
      <c r="E427" s="3" t="s">
        <v>1763</v>
      </c>
      <c r="F427" s="3" t="s">
        <v>1764</v>
      </c>
      <c r="G427" s="3" t="str">
        <f ca="1">IFERROR(__xludf.DUMMYFUNCTION("googletranslate(D427,""en"",""ja"")"),"桿菌;棒状細菌")</f>
        <v>桿菌;棒状細菌</v>
      </c>
      <c r="H427" s="3" t="str">
        <f ca="1">IFERROR(__xludf.DUMMYFUNCTION("googletranslate(E427,""en"",""ja"")"),"生物標本中の棒状桿菌の測定。")</f>
        <v>生物標本中の棒状桿菌の測定。</v>
      </c>
      <c r="I427" s="3" t="str">
        <f ca="1">IFERROR(__xludf.DUMMYFUNCTION("googletranslate(F427,""en"",""ja"")"),"細菌の測定")</f>
        <v>細菌の測定</v>
      </c>
    </row>
    <row r="428" spans="1:9" ht="45">
      <c r="A428" s="3" t="s">
        <v>67</v>
      </c>
      <c r="B428" s="3" t="s">
        <v>1765</v>
      </c>
      <c r="C428" s="3" t="s">
        <v>1766</v>
      </c>
      <c r="D428" s="3" t="s">
        <v>1766</v>
      </c>
      <c r="E428" s="3" t="s">
        <v>1767</v>
      </c>
      <c r="F428" s="3" t="s">
        <v>1768</v>
      </c>
      <c r="G428" s="3" t="str">
        <f ca="1">IFERROR(__xludf.DUMMYFUNCTION("googletranslate(D428,""en"",""ja"")"),"バシロタ菌")</f>
        <v>バシロタ菌</v>
      </c>
      <c r="H428" s="3" t="str">
        <f ca="1">IFERROR(__xludf.DUMMYFUNCTION("googletranslate(E428,""en"",""ja"")"),"生物学的標本において、種レベルには割り当てられていないが、バシロタ門レベルに割り当てられている生物の測定値。")</f>
        <v>生物学的標本において、種レベルには割り当てられていないが、バシロタ門レベルに割り当てられている生物の測定値。</v>
      </c>
      <c r="I428" s="3" t="str">
        <f ca="1">IFERROR(__xludf.DUMMYFUNCTION("googletranslate(F428,""en"",""ja"")"),"バシロタ菌の測定")</f>
        <v>バシロタ菌の測定</v>
      </c>
    </row>
    <row r="429" spans="1:9" ht="30">
      <c r="A429" s="3" t="s">
        <v>67</v>
      </c>
      <c r="B429" s="3" t="s">
        <v>1769</v>
      </c>
      <c r="C429" s="3" t="s">
        <v>1770</v>
      </c>
      <c r="D429" s="3" t="s">
        <v>1770</v>
      </c>
      <c r="E429" s="3" t="s">
        <v>1771</v>
      </c>
      <c r="F429" s="3" t="s">
        <v>1772</v>
      </c>
      <c r="G429" s="3" t="str">
        <f ca="1">IFERROR(__xludf.DUMMYFUNCTION("googletranslate(D429,""en"",""ja"")"),"細菌性リポ多糖抗原")</f>
        <v>細菌性リポ多糖抗原</v>
      </c>
      <c r="H429" s="3" t="str">
        <f ca="1">IFERROR(__xludf.DUMMYFUNCTION("googletranslate(E429,""en"",""ja"")"),"生物学的標本中の細菌からのリポ多糖抗原の測定。")</f>
        <v>生物学的標本中の細菌からのリポ多糖抗原の測定。</v>
      </c>
      <c r="I429" s="3" t="str">
        <f ca="1">IFERROR(__xludf.DUMMYFUNCTION("googletranslate(F429,""en"",""ja"")"),"細菌性リポ多糖抗原測定")</f>
        <v>細菌性リポ多糖抗原測定</v>
      </c>
    </row>
    <row r="430" spans="1:9">
      <c r="A430" s="3" t="s">
        <v>6</v>
      </c>
      <c r="B430" s="3" t="s">
        <v>1773</v>
      </c>
      <c r="C430" s="3" t="s">
        <v>1774</v>
      </c>
      <c r="D430" s="3" t="s">
        <v>1774</v>
      </c>
      <c r="E430" s="3" t="s">
        <v>1775</v>
      </c>
      <c r="F430" s="3" t="s">
        <v>1776</v>
      </c>
      <c r="G430" s="3" t="str">
        <f ca="1">IFERROR(__xludf.DUMMYFUNCTION("googletranslate(D430,""en"",""ja"")"),"細菌")</f>
        <v>細菌</v>
      </c>
      <c r="H430" s="3" t="str">
        <f ca="1">IFERROR(__xludf.DUMMYFUNCTION("googletranslate(E430,""en"",""ja"")"),"生物学的標本中の細菌の測定。")</f>
        <v>生物学的標本中の細菌の測定。</v>
      </c>
      <c r="I430" s="3" t="str">
        <f ca="1">IFERROR(__xludf.DUMMYFUNCTION("googletranslate(F430,""en"",""ja"")"),"細菌数")</f>
        <v>細菌数</v>
      </c>
    </row>
    <row r="431" spans="1:9">
      <c r="A431" s="3" t="s">
        <v>67</v>
      </c>
      <c r="B431" s="3" t="s">
        <v>1773</v>
      </c>
      <c r="C431" s="3" t="s">
        <v>1774</v>
      </c>
      <c r="D431" s="3" t="s">
        <v>1774</v>
      </c>
      <c r="E431" s="3" t="s">
        <v>1775</v>
      </c>
      <c r="F431" s="3" t="s">
        <v>1776</v>
      </c>
      <c r="G431" s="3" t="str">
        <f ca="1">IFERROR(__xludf.DUMMYFUNCTION("googletranslate(D431,""en"",""ja"")"),"細菌")</f>
        <v>細菌</v>
      </c>
      <c r="H431" s="3" t="str">
        <f ca="1">IFERROR(__xludf.DUMMYFUNCTION("googletranslate(E431,""en"",""ja"")"),"生物学的標本中の細菌の測定。")</f>
        <v>生物学的標本中の細菌の測定。</v>
      </c>
      <c r="I431" s="3" t="str">
        <f ca="1">IFERROR(__xludf.DUMMYFUNCTION("googletranslate(F431,""en"",""ja"")"),"細菌数")</f>
        <v>細菌数</v>
      </c>
    </row>
    <row r="432" spans="1:9" ht="45">
      <c r="A432" s="3" t="s">
        <v>67</v>
      </c>
      <c r="B432" s="3" t="s">
        <v>1777</v>
      </c>
      <c r="C432" s="3" t="s">
        <v>1778</v>
      </c>
      <c r="D432" s="3" t="s">
        <v>1778</v>
      </c>
      <c r="E432" s="3" t="s">
        <v>1779</v>
      </c>
      <c r="F432" s="3" t="s">
        <v>1780</v>
      </c>
      <c r="G432" s="3" t="str">
        <f ca="1">IFERROR(__xludf.DUMMYFUNCTION("googletranslate(D432,""en"",""ja"")"),"バクテロイディア")</f>
        <v>バクテロイディア</v>
      </c>
      <c r="H432" s="3" t="str">
        <f ca="1">IFERROR(__xludf.DUMMYFUNCTION("googletranslate(E432,""en"",""ja"")"),"生物学的標本において、種レベルには割り当てられていないが、バクテロイディア門レベルに割り当てられている生物の測定値。")</f>
        <v>生物学的標本において、種レベルには割り当てられていないが、バクテロイディア門レベルに割り当てられている生物の測定値。</v>
      </c>
      <c r="I432" s="3" t="str">
        <f ca="1">IFERROR(__xludf.DUMMYFUNCTION("googletranslate(F432,""en"",""ja"")"),"バクテリア測定")</f>
        <v>バクテリア測定</v>
      </c>
    </row>
    <row r="433" spans="1:9" ht="30">
      <c r="A433" s="3" t="s">
        <v>6</v>
      </c>
      <c r="B433" s="3" t="s">
        <v>1781</v>
      </c>
      <c r="C433" s="3" t="s">
        <v>1782</v>
      </c>
      <c r="D433" s="3" t="s">
        <v>1782</v>
      </c>
      <c r="E433" s="3" t="s">
        <v>1783</v>
      </c>
      <c r="F433" s="3" t="s">
        <v>1784</v>
      </c>
      <c r="G433" s="3" t="str">
        <f ca="1">IFERROR(__xludf.DUMMYFUNCTION("googletranslate(D433,""en"",""ja"")"),"B細胞活性化因子")</f>
        <v>B細胞活性化因子</v>
      </c>
      <c r="H433" s="3" t="str">
        <f ca="1">IFERROR(__xludf.DUMMYFUNCTION("googletranslate(E433,""en"",""ja"")"),"生物学的標本中の B 細胞活性化因子の測定。")</f>
        <v>生物学的標本中の B 細胞活性化因子の測定。</v>
      </c>
      <c r="I433" s="3" t="str">
        <f ca="1">IFERROR(__xludf.DUMMYFUNCTION("googletranslate(F433,""en"",""ja"")"),"B細胞活性化因子の測定")</f>
        <v>B細胞活性化因子の測定</v>
      </c>
    </row>
    <row r="434" spans="1:9">
      <c r="A434" s="3" t="s">
        <v>6</v>
      </c>
      <c r="B434" s="3" t="s">
        <v>1785</v>
      </c>
      <c r="C434" s="3" t="s">
        <v>1786</v>
      </c>
      <c r="D434" s="3" t="s">
        <v>1786</v>
      </c>
      <c r="E434" s="3" t="s">
        <v>1787</v>
      </c>
      <c r="F434" s="3" t="s">
        <v>1788</v>
      </c>
      <c r="G434" s="3" t="str">
        <f ca="1">IFERROR(__xludf.DUMMYFUNCTION("googletranslate(D434,""en"",""ja"")"),"ベータアラニン")</f>
        <v>ベータアラニン</v>
      </c>
      <c r="H434" s="3" t="str">
        <f ca="1">IFERROR(__xludf.DUMMYFUNCTION("googletranslate(E434,""en"",""ja"")"),"生物学的標本中のベータアラニンの測定。")</f>
        <v>生物学的標本中のベータアラニンの測定。</v>
      </c>
      <c r="I434" s="3" t="str">
        <f ca="1">IFERROR(__xludf.DUMMYFUNCTION("googletranslate(F434,""en"",""ja"")"),"ベータアラニンの測定")</f>
        <v>ベータアラニンの測定</v>
      </c>
    </row>
    <row r="435" spans="1:9" ht="30">
      <c r="A435" s="3" t="s">
        <v>67</v>
      </c>
      <c r="B435" s="3" t="s">
        <v>1789</v>
      </c>
      <c r="C435" s="3" t="s">
        <v>1790</v>
      </c>
      <c r="D435" s="3" t="s">
        <v>1790</v>
      </c>
      <c r="E435" s="3" t="s">
        <v>1791</v>
      </c>
      <c r="F435" s="3" t="s">
        <v>1792</v>
      </c>
      <c r="G435" s="3" t="str">
        <f ca="1">IFERROR(__xludf.DUMMYFUNCTION("googletranslate(D435,""en"",""ja"")"),"バークホルデリア・アンビファリア")</f>
        <v>バークホルデリア・アンビファリア</v>
      </c>
      <c r="H435" s="3" t="str">
        <f ca="1">IFERROR(__xludf.DUMMYFUNCTION("googletranslate(E435,""en"",""ja"")"),"生物学的標本におけるバークホルデリア アンビファリアの測定。")</f>
        <v>生物学的標本におけるバークホルデリア アンビファリアの測定。</v>
      </c>
      <c r="I435" s="3" t="str">
        <f ca="1">IFERROR(__xludf.DUMMYFUNCTION("googletranslate(F435,""en"",""ja"")"),"バークホルデリア・アンビファリアの測定")</f>
        <v>バークホルデリア・アンビファリアの測定</v>
      </c>
    </row>
    <row r="436" spans="1:9" ht="30">
      <c r="A436" s="3" t="s">
        <v>6</v>
      </c>
      <c r="B436" s="3" t="s">
        <v>1793</v>
      </c>
      <c r="C436" s="3" t="s">
        <v>1794</v>
      </c>
      <c r="D436" s="3" t="s">
        <v>1795</v>
      </c>
      <c r="E436" s="3" t="s">
        <v>1796</v>
      </c>
      <c r="F436" s="3" t="s">
        <v>1797</v>
      </c>
      <c r="G436" s="3" t="str">
        <f ca="1">IFERROR(__xludf.DUMMYFUNCTION("googletranslate(D436,""en"",""ja"")"),"ババ;ベータアミノ酪酸;ベータアミノ酪酸")</f>
        <v>ババ;ベータアミノ酪酸;ベータアミノ酪酸</v>
      </c>
      <c r="H436" s="3" t="str">
        <f ca="1">IFERROR(__xludf.DUMMYFUNCTION("googletranslate(E436,""en"",""ja"")"),"生物学的標本中のベータアミノ酪酸の測定。")</f>
        <v>生物学的標本中のベータアミノ酪酸の測定。</v>
      </c>
      <c r="I436" s="3" t="str">
        <f ca="1">IFERROR(__xludf.DUMMYFUNCTION("googletranslate(F436,""en"",""ja"")"),"β-アミノ酪酸の測定")</f>
        <v>β-アミノ酪酸の測定</v>
      </c>
    </row>
    <row r="437" spans="1:9" ht="30">
      <c r="A437" s="3" t="s">
        <v>67</v>
      </c>
      <c r="B437" s="3" t="s">
        <v>1798</v>
      </c>
      <c r="C437" s="3" t="s">
        <v>1799</v>
      </c>
      <c r="D437" s="3" t="s">
        <v>1799</v>
      </c>
      <c r="E437" s="3" t="s">
        <v>1800</v>
      </c>
      <c r="F437" s="3" t="s">
        <v>1801</v>
      </c>
      <c r="G437" s="3" t="str">
        <f ca="1">IFERROR(__xludf.DUMMYFUNCTION("googletranslate(D437,""en"",""ja"")"),"バークホルデリア・アンティナ")</f>
        <v>バークホルデリア・アンティナ</v>
      </c>
      <c r="H437" s="3" t="str">
        <f ca="1">IFERROR(__xludf.DUMMYFUNCTION("googletranslate(E437,""en"",""ja"")"),"生物学的標本における Burkholderia anthina の測定。")</f>
        <v>生物学的標本における Burkholderia anthina の測定。</v>
      </c>
      <c r="I437" s="3" t="str">
        <f ca="1">IFERROR(__xludf.DUMMYFUNCTION("googletranslate(F437,""en"",""ja"")"),"バークホルデリア・アンティナの測定")</f>
        <v>バークホルデリア・アンティナの測定</v>
      </c>
    </row>
    <row r="438" spans="1:9" ht="30">
      <c r="A438" s="3" t="s">
        <v>6</v>
      </c>
      <c r="B438" s="3" t="s">
        <v>1802</v>
      </c>
      <c r="C438" s="3" t="s">
        <v>1803</v>
      </c>
      <c r="D438" s="3" t="s">
        <v>1803</v>
      </c>
      <c r="E438" s="3" t="s">
        <v>1804</v>
      </c>
      <c r="F438" s="3" t="s">
        <v>1805</v>
      </c>
      <c r="G438" s="3" t="str">
        <f ca="1">IFERROR(__xludf.DUMMYFUNCTION("googletranslate(D438,""en"",""ja"")"),"バルビツール酸塩")</f>
        <v>バルビツール酸塩</v>
      </c>
      <c r="H438" s="3" t="str">
        <f ca="1">IFERROR(__xludf.DUMMYFUNCTION("googletranslate(E438,""en"",""ja"")"),"生物学的標本中に存在するバルビツレート系薬物の測定。")</f>
        <v>生物学的標本中に存在するバルビツレート系薬物の測定。</v>
      </c>
      <c r="I438" s="3" t="str">
        <f ca="1">IFERROR(__xludf.DUMMYFUNCTION("googletranslate(F438,""en"",""ja"")"),"バルビツレート薬物クラスの測定")</f>
        <v>バルビツレート薬物クラスの測定</v>
      </c>
    </row>
    <row r="439" spans="1:9" ht="30">
      <c r="A439" s="3" t="s">
        <v>6</v>
      </c>
      <c r="B439" s="3" t="s">
        <v>1806</v>
      </c>
      <c r="C439" s="3" t="s">
        <v>1807</v>
      </c>
      <c r="D439" s="3" t="s">
        <v>1807</v>
      </c>
      <c r="E439" s="3" t="s">
        <v>1808</v>
      </c>
      <c r="F439" s="3" t="s">
        <v>1807</v>
      </c>
      <c r="G439" s="3" t="str">
        <f ca="1">IFERROR(__xludf.DUMMYFUNCTION("googletranslate(D439,""en"",""ja"")"),"基礎赤字")</f>
        <v>基礎赤字</v>
      </c>
      <c r="H439" s="3" t="str">
        <f ca="1">IFERROR(__xludf.DUMMYFUNCTION("googletranslate(E439,""en"",""ja"")"),"標準条件下で生物標本を通常の pH に戻すのに必要なアルカリの量の測定値。")</f>
        <v>標準条件下で生物標本を通常の pH に戻すのに必要なアルカリの量の測定値。</v>
      </c>
      <c r="I439" s="3" t="str">
        <f ca="1">IFERROR(__xludf.DUMMYFUNCTION("googletranslate(F439,""en"",""ja"")"),"基礎赤字")</f>
        <v>基礎赤字</v>
      </c>
    </row>
    <row r="440" spans="1:9" ht="30">
      <c r="A440" s="3" t="s">
        <v>6</v>
      </c>
      <c r="B440" s="3" t="s">
        <v>1809</v>
      </c>
      <c r="C440" s="3" t="s">
        <v>1810</v>
      </c>
      <c r="D440" s="3" t="s">
        <v>1811</v>
      </c>
      <c r="E440" s="3" t="s">
        <v>1812</v>
      </c>
      <c r="F440" s="3" t="s">
        <v>1813</v>
      </c>
      <c r="G440" s="3" t="str">
        <f ca="1">IFERROR(__xludf.DUMMYFUNCTION("googletranslate(D440,""en"",""ja"")"),"実際のベース超過。ベース過剰")</f>
        <v>実際のベース超過。ベース過剰</v>
      </c>
      <c r="H440" s="3" t="str">
        <f ca="1">IFERROR(__xludf.DUMMYFUNCTION("googletranslate(E440,""en"",""ja"")"),"標準条件下で血液を正常な pH に戻すために必要な酸の量を計算して測定したもの。")</f>
        <v>標準条件下で血液を正常な pH に戻すために必要な酸の量を計算して測定したもの。</v>
      </c>
      <c r="I440" s="3" t="str">
        <f ca="1">IFERROR(__xludf.DUMMYFUNCTION("googletranslate(F440,""en"",""ja"")"),"ベース過剰測定")</f>
        <v>ベース過剰測定</v>
      </c>
    </row>
    <row r="441" spans="1:9">
      <c r="A441" s="3" t="s">
        <v>6</v>
      </c>
      <c r="B441" s="3" t="s">
        <v>1814</v>
      </c>
      <c r="C441" s="3" t="s">
        <v>1815</v>
      </c>
      <c r="D441" s="3" t="s">
        <v>1815</v>
      </c>
      <c r="E441" s="3" t="s">
        <v>1816</v>
      </c>
      <c r="F441" s="3" t="s">
        <v>1817</v>
      </c>
      <c r="G441" s="3" t="str">
        <f ca="1">IFERROR(__xludf.DUMMYFUNCTION("googletranslate(D441,""en"",""ja"")"),"好塩基球")</f>
        <v>好塩基球</v>
      </c>
      <c r="H441" s="3" t="str">
        <f ca="1">IFERROR(__xludf.DUMMYFUNCTION("googletranslate(E441,""en"",""ja"")"),"生物学的標本中の好塩基球の測定。")</f>
        <v>生物学的標本中の好塩基球の測定。</v>
      </c>
      <c r="I441" s="3" t="str">
        <f ca="1">IFERROR(__xludf.DUMMYFUNCTION("googletranslate(F441,""en"",""ja"")"),"好塩基球の絶対数")</f>
        <v>好塩基球の絶対数</v>
      </c>
    </row>
    <row r="442" spans="1:9" ht="30">
      <c r="A442" s="3" t="s">
        <v>6</v>
      </c>
      <c r="B442" s="3" t="s">
        <v>1818</v>
      </c>
      <c r="C442" s="3" t="s">
        <v>1819</v>
      </c>
      <c r="D442" s="3" t="s">
        <v>1819</v>
      </c>
      <c r="E442" s="3" t="s">
        <v>1820</v>
      </c>
      <c r="F442" s="3" t="s">
        <v>1821</v>
      </c>
      <c r="G442" s="3" t="str">
        <f ca="1">IFERROR(__xludf.DUMMYFUNCTION("googletranslate(D442,""en"",""ja"")"),"好塩基球バンドの形態")</f>
        <v>好塩基球バンドの形態</v>
      </c>
      <c r="H442" s="3" t="str">
        <f ca="1">IFERROR(__xludf.DUMMYFUNCTION("googletranslate(E442,""en"",""ja"")"),"生物学的標本中のバンド状の好塩基球の測定。")</f>
        <v>生物学的標本中のバンド状の好塩基球の測定。</v>
      </c>
      <c r="I442" s="3" t="str">
        <f ca="1">IFERROR(__xludf.DUMMYFUNCTION("googletranslate(F442,""en"",""ja"")"),"好塩基球バンドフォーム数")</f>
        <v>好塩基球バンドフォーム数</v>
      </c>
    </row>
    <row r="443" spans="1:9" ht="30">
      <c r="A443" s="3" t="s">
        <v>6</v>
      </c>
      <c r="B443" s="3" t="s">
        <v>1822</v>
      </c>
      <c r="C443" s="3" t="s">
        <v>1823</v>
      </c>
      <c r="D443" s="3" t="s">
        <v>1823</v>
      </c>
      <c r="E443" s="3" t="s">
        <v>1824</v>
      </c>
      <c r="F443" s="3" t="s">
        <v>1825</v>
      </c>
      <c r="G443" s="3" t="str">
        <f ca="1">IFERROR(__xludf.DUMMYFUNCTION("googletranslate(D443,""en"",""ja"")"),"好塩基球バンド形態/白血球")</f>
        <v>好塩基球バンド形態/白血球</v>
      </c>
      <c r="H443" s="3" t="str">
        <f ca="1">IFERROR(__xludf.DUMMYFUNCTION("googletranslate(E443,""en"",""ja"")"),"生物学的標本中の白血球に対するバンド状の好塩基球の相対測定値 (比率またはパーセンテージ)。")</f>
        <v>生物学的標本中の白血球に対するバンド状の好塩基球の相対測定値 (比率またはパーセンテージ)。</v>
      </c>
      <c r="I443" s="3" t="str">
        <f ca="1">IFERROR(__xludf.DUMMYFUNCTION("googletranslate(F443,""en"",""ja"")"),"好塩基球のバンド形態と白血球の比率の測定")</f>
        <v>好塩基球のバンド形態と白血球の比率の測定</v>
      </c>
    </row>
    <row r="444" spans="1:9" ht="45">
      <c r="A444" s="3" t="s">
        <v>6</v>
      </c>
      <c r="B444" s="3" t="s">
        <v>1826</v>
      </c>
      <c r="C444" s="3" t="s">
        <v>1827</v>
      </c>
      <c r="D444" s="3" t="s">
        <v>1827</v>
      </c>
      <c r="E444" s="3" t="s">
        <v>1828</v>
      </c>
      <c r="F444" s="3" t="s">
        <v>1829</v>
      </c>
      <c r="G444" s="3" t="str">
        <f ca="1">IFERROR(__xludf.DUMMYFUNCTION("googletranslate(D444,""en"",""ja"")"),"好塩基球/全細胞数")</f>
        <v>好塩基球/全細胞数</v>
      </c>
      <c r="H444" s="3" t="str">
        <f ca="1">IFERROR(__xludf.DUMMYFUNCTION("googletranslate(E444,""en"",""ja"")"),"生物学的標本 (骨髄標本など) の全細胞に対する好塩基球の相対的な測定値 (比率またはパーセンテージ)。")</f>
        <v>生物学的標本 (骨髄標本など) の全細胞に対する好塩基球の相対的な測定値 (比率またはパーセンテージ)。</v>
      </c>
      <c r="I444" s="3" t="str">
        <f ca="1">IFERROR(__xludf.DUMMYFUNCTION("googletranslate(F444,""en"",""ja"")"),"好塩基球対総細胞比の測定")</f>
        <v>好塩基球対総細胞比の測定</v>
      </c>
    </row>
    <row r="445" spans="1:9" ht="30">
      <c r="A445" s="3" t="s">
        <v>6</v>
      </c>
      <c r="B445" s="3" t="s">
        <v>1830</v>
      </c>
      <c r="C445" s="3" t="s">
        <v>1831</v>
      </c>
      <c r="D445" s="3" t="s">
        <v>1831</v>
      </c>
      <c r="E445" s="3" t="s">
        <v>1832</v>
      </c>
      <c r="F445" s="3" t="s">
        <v>1833</v>
      </c>
      <c r="G445" s="3" t="str">
        <f ca="1">IFERROR(__xludf.DUMMYFUNCTION("googletranslate(D445,""en"",""ja"")"),"未熟な好塩基球")</f>
        <v>未熟な好塩基球</v>
      </c>
      <c r="H445" s="3" t="str">
        <f ca="1">IFERROR(__xludf.DUMMYFUNCTION("googletranslate(E445,""en"",""ja"")"),"生物学的標本中の未熟な好塩基球の測定。")</f>
        <v>生物学的標本中の未熟な好塩基球の測定。</v>
      </c>
      <c r="I445" s="3" t="str">
        <f ca="1">IFERROR(__xludf.DUMMYFUNCTION("googletranslate(F445,""en"",""ja"")"),"未熟好塩基球数")</f>
        <v>未熟好塩基球数</v>
      </c>
    </row>
    <row r="446" spans="1:9" ht="30">
      <c r="A446" s="3" t="s">
        <v>6</v>
      </c>
      <c r="B446" s="3" t="s">
        <v>1834</v>
      </c>
      <c r="C446" s="3" t="s">
        <v>1835</v>
      </c>
      <c r="D446" s="3" t="s">
        <v>1835</v>
      </c>
      <c r="E446" s="3" t="s">
        <v>1836</v>
      </c>
      <c r="F446" s="3" t="s">
        <v>1837</v>
      </c>
      <c r="G446" s="3" t="str">
        <f ca="1">IFERROR(__xludf.DUMMYFUNCTION("googletranslate(D446,""en"",""ja"")"),"未熟な好塩基球/白血球")</f>
        <v>未熟な好塩基球/白血球</v>
      </c>
      <c r="H446" s="3" t="str">
        <f ca="1">IFERROR(__xludf.DUMMYFUNCTION("googletranslate(E446,""en"",""ja"")"),"生物学的標本中の全白血球に対する未熟好塩基球の相対測定値 (比率またはパーセンテージ)。")</f>
        <v>生物学的標本中の全白血球に対する未熟好塩基球の相対測定値 (比率またはパーセンテージ)。</v>
      </c>
      <c r="I446" s="3" t="str">
        <f ca="1">IFERROR(__xludf.DUMMYFUNCTION("googletranslate(F446,""en"",""ja"")"),"未熟好塩基球と白血球の比率の測定")</f>
        <v>未熟好塩基球と白血球の比率の測定</v>
      </c>
    </row>
    <row r="447" spans="1:9" ht="30">
      <c r="A447" s="3" t="s">
        <v>6</v>
      </c>
      <c r="B447" s="3" t="s">
        <v>1838</v>
      </c>
      <c r="C447" s="3" t="s">
        <v>1839</v>
      </c>
      <c r="D447" s="3" t="s">
        <v>1839</v>
      </c>
      <c r="E447" s="3" t="s">
        <v>1840</v>
      </c>
      <c r="F447" s="3" t="s">
        <v>1841</v>
      </c>
      <c r="G447" s="3" t="str">
        <f ca="1">IFERROR(__xludf.DUMMYFUNCTION("googletranslate(D447,""en"",""ja"")"),"好塩基球/白血球")</f>
        <v>好塩基球/白血球</v>
      </c>
      <c r="H447" s="3" t="str">
        <f ca="1">IFERROR(__xludf.DUMMYFUNCTION("googletranslate(E447,""en"",""ja"")"),"生物学的標本における白血球に対する好塩基球の相対的な測定値 (比率またはパーセンテージ)。")</f>
        <v>生物学的標本における白血球に対する好塩基球の相対的な測定値 (比率またはパーセンテージ)。</v>
      </c>
      <c r="I447" s="3" t="str">
        <f ca="1">IFERROR(__xludf.DUMMYFUNCTION("googletranslate(F447,""en"",""ja"")"),"好塩基球と白血球の比率")</f>
        <v>好塩基球と白血球の比率</v>
      </c>
    </row>
    <row r="448" spans="1:9" ht="30">
      <c r="A448" s="3" t="s">
        <v>103</v>
      </c>
      <c r="B448" s="3" t="s">
        <v>1838</v>
      </c>
      <c r="C448" s="3" t="s">
        <v>1839</v>
      </c>
      <c r="D448" s="3" t="s">
        <v>1839</v>
      </c>
      <c r="E448" s="3" t="s">
        <v>1840</v>
      </c>
      <c r="F448" s="3" t="s">
        <v>1841</v>
      </c>
      <c r="G448" s="3" t="str">
        <f ca="1">IFERROR(__xludf.DUMMYFUNCTION("googletranslate(D448,""en"",""ja"")"),"好塩基球/白血球")</f>
        <v>好塩基球/白血球</v>
      </c>
      <c r="H448" s="3" t="str">
        <f ca="1">IFERROR(__xludf.DUMMYFUNCTION("googletranslate(E448,""en"",""ja"")"),"生物学的標本における白血球に対する好塩基球の相対的な測定値 (比率またはパーセンテージ)。")</f>
        <v>生物学的標本における白血球に対する好塩基球の相対的な測定値 (比率またはパーセンテージ)。</v>
      </c>
      <c r="I448" s="3" t="str">
        <f ca="1">IFERROR(__xludf.DUMMYFUNCTION("googletranslate(F448,""en"",""ja"")"),"好塩基球と白血球の比率")</f>
        <v>好塩基球と白血球の比率</v>
      </c>
    </row>
    <row r="449" spans="1:9" ht="30">
      <c r="A449" s="3" t="s">
        <v>6</v>
      </c>
      <c r="B449" s="3" t="s">
        <v>1842</v>
      </c>
      <c r="C449" s="3" t="s">
        <v>1843</v>
      </c>
      <c r="D449" s="3" t="s">
        <v>1843</v>
      </c>
      <c r="E449" s="3" t="s">
        <v>1844</v>
      </c>
      <c r="F449" s="3" t="s">
        <v>1845</v>
      </c>
      <c r="G449" s="3" t="str">
        <f ca="1">IFERROR(__xludf.DUMMYFUNCTION("googletranslate(D449,""en"",""ja"")"),"好塩基性メタ骨髄球")</f>
        <v>好塩基性メタ骨髄球</v>
      </c>
      <c r="H449" s="3" t="str">
        <f ca="1">IFERROR(__xludf.DUMMYFUNCTION("googletranslate(E449,""en"",""ja"")"),"生物学的標本中の好塩基性後骨髄球の測定。")</f>
        <v>生物学的標本中の好塩基性後骨髄球の測定。</v>
      </c>
      <c r="I449" s="3" t="str">
        <f ca="1">IFERROR(__xludf.DUMMYFUNCTION("googletranslate(F449,""en"",""ja"")"),"好塩基性メタ骨髄球数")</f>
        <v>好塩基性メタ骨髄球数</v>
      </c>
    </row>
    <row r="450" spans="1:9" ht="30">
      <c r="A450" s="3" t="s">
        <v>6</v>
      </c>
      <c r="B450" s="3" t="s">
        <v>1846</v>
      </c>
      <c r="C450" s="3" t="s">
        <v>1847</v>
      </c>
      <c r="D450" s="3" t="s">
        <v>1847</v>
      </c>
      <c r="E450" s="3" t="s">
        <v>1848</v>
      </c>
      <c r="F450" s="3" t="s">
        <v>1849</v>
      </c>
      <c r="G450" s="3" t="str">
        <f ca="1">IFERROR(__xludf.DUMMYFUNCTION("googletranslate(D450,""en"",""ja"")"),"好塩基性骨髄球")</f>
        <v>好塩基性骨髄球</v>
      </c>
      <c r="H450" s="3" t="str">
        <f ca="1">IFERROR(__xludf.DUMMYFUNCTION("googletranslate(E450,""en"",""ja"")"),"生物学的標本中の好塩基性骨髄球の測定。")</f>
        <v>生物学的標本中の好塩基性骨髄球の測定。</v>
      </c>
      <c r="I450" s="3" t="str">
        <f ca="1">IFERROR(__xludf.DUMMYFUNCTION("googletranslate(F450,""en"",""ja"")"),"好塩基性骨髄球数")</f>
        <v>好塩基性骨髄球数</v>
      </c>
    </row>
    <row r="451" spans="1:9" ht="45">
      <c r="A451" s="3" t="s">
        <v>6</v>
      </c>
      <c r="B451" s="3" t="s">
        <v>1850</v>
      </c>
      <c r="C451" s="3" t="s">
        <v>1851</v>
      </c>
      <c r="D451" s="3" t="s">
        <v>1851</v>
      </c>
      <c r="E451" s="3" t="s">
        <v>1852</v>
      </c>
      <c r="F451" s="3" t="s">
        <v>1853</v>
      </c>
      <c r="G451" s="3" t="str">
        <f ca="1">IFERROR(__xludf.DUMMYFUNCTION("googletranslate(D451,""en"",""ja"")"),"好塩基性骨髄球/リンパ球")</f>
        <v>好塩基性骨髄球/リンパ球</v>
      </c>
      <c r="H451" s="3" t="str">
        <f ca="1">IFERROR(__xludf.DUMMYFUNCTION("googletranslate(E451,""en"",""ja"")"),"生物学的標本 (骨髄標本など) におけるリンパ球に対する好塩基球性骨髄球の相対的な測定値 (比率またはパーセンテージ)。")</f>
        <v>生物学的標本 (骨髄標本など) におけるリンパ球に対する好塩基球性骨髄球の相対的な測定値 (比率またはパーセンテージ)。</v>
      </c>
      <c r="I451" s="3" t="str">
        <f ca="1">IFERROR(__xludf.DUMMYFUNCTION("googletranslate(F451,""en"",""ja"")"),"好塩基性骨髄球とリンパ球の比率の測定")</f>
        <v>好塩基性骨髄球とリンパ球の比率の測定</v>
      </c>
    </row>
    <row r="452" spans="1:9" ht="30">
      <c r="A452" s="3" t="s">
        <v>6</v>
      </c>
      <c r="B452" s="3" t="s">
        <v>1854</v>
      </c>
      <c r="C452" s="3" t="s">
        <v>1855</v>
      </c>
      <c r="D452" s="3" t="s">
        <v>1855</v>
      </c>
      <c r="E452" s="3" t="s">
        <v>1856</v>
      </c>
      <c r="F452" s="3" t="s">
        <v>1857</v>
      </c>
      <c r="G452" s="3" t="str">
        <f ca="1">IFERROR(__xludf.DUMMYFUNCTION("googletranslate(D452,""en"",""ja"")"),"好塩基球、セグメント化")</f>
        <v>好塩基球、セグメント化</v>
      </c>
      <c r="H452" s="3" t="str">
        <f ca="1">IFERROR(__xludf.DUMMYFUNCTION("googletranslate(E452,""en"",""ja"")"),"生物学的標本のセグメント化された好塩基球の測定。")</f>
        <v>生物学的標本のセグメント化された好塩基球の測定。</v>
      </c>
      <c r="I452" s="3" t="str">
        <f ca="1">IFERROR(__xludf.DUMMYFUNCTION("googletranslate(F452,""en"",""ja"")"),"セグメント化された好塩基球数")</f>
        <v>セグメント化された好塩基球数</v>
      </c>
    </row>
    <row r="453" spans="1:9">
      <c r="A453" s="3" t="s">
        <v>51</v>
      </c>
      <c r="B453" s="3" t="s">
        <v>1858</v>
      </c>
      <c r="C453" s="3" t="s">
        <v>1859</v>
      </c>
      <c r="D453" s="3" t="s">
        <v>1859</v>
      </c>
      <c r="E453" s="3" t="s">
        <v>1860</v>
      </c>
      <c r="F453" s="3" t="s">
        <v>1859</v>
      </c>
      <c r="G453" s="3" t="str">
        <f ca="1">IFERROR(__xludf.DUMMYFUNCTION("googletranslate(D453,""en"",""ja"")"),"バッテリー容量")</f>
        <v>バッテリー容量</v>
      </c>
      <c r="H453" s="3" t="str">
        <f ca="1">IFERROR(__xludf.DUMMYFUNCTION("googletranslate(E453,""en"",""ja"")"),"バッテリーに蓄えられる総電気エネルギー。")</f>
        <v>バッテリーに蓄えられる総電気エネルギー。</v>
      </c>
      <c r="I453" s="3" t="str">
        <f ca="1">IFERROR(__xludf.DUMMYFUNCTION("googletranslate(F453,""en"",""ja"")"),"バッテリー容量")</f>
        <v>バッテリー容量</v>
      </c>
    </row>
    <row r="454" spans="1:9" ht="30">
      <c r="A454" s="3" t="s">
        <v>51</v>
      </c>
      <c r="B454" s="3" t="s">
        <v>1861</v>
      </c>
      <c r="C454" s="3" t="s">
        <v>1862</v>
      </c>
      <c r="D454" s="3" t="s">
        <v>1862</v>
      </c>
      <c r="E454" s="3" t="s">
        <v>1863</v>
      </c>
      <c r="F454" s="3" t="s">
        <v>1862</v>
      </c>
      <c r="G454" s="3" t="str">
        <f ca="1">IFERROR(__xludf.DUMMYFUNCTION("googletranslate(D454,""en"",""ja"")"),"バッテリーの公称電圧")</f>
        <v>バッテリーの公称電圧</v>
      </c>
      <c r="H454" s="3" t="str">
        <f ca="1">IFERROR(__xludf.DUMMYFUNCTION("googletranslate(E454,""en"",""ja"")"),"バッテリーが完全に充電されたときに出力できる平均電圧。")</f>
        <v>バッテリーが完全に充電されたときに出力できる平均電圧。</v>
      </c>
      <c r="I454" s="3" t="str">
        <f ca="1">IFERROR(__xludf.DUMMYFUNCTION("googletranslate(F454,""en"",""ja"")"),"バッテリーの公称電圧")</f>
        <v>バッテリーの公称電圧</v>
      </c>
    </row>
    <row r="455" spans="1:9" ht="75">
      <c r="A455" s="3" t="s">
        <v>103</v>
      </c>
      <c r="B455" s="3" t="s">
        <v>1864</v>
      </c>
      <c r="C455" s="3" t="s">
        <v>1865</v>
      </c>
      <c r="D455" s="3" t="s">
        <v>1866</v>
      </c>
      <c r="E455" s="3" t="s">
        <v>1867</v>
      </c>
      <c r="F455" s="3" t="s">
        <v>1868</v>
      </c>
      <c r="G455" s="3" t="str">
        <f ca="1">IFERROR(__xludf.DUMMYFUNCTION("googletranslate(D455,""en"",""ja"")"),"ATBLymサブ/ATBLymサブ;非定型Bリンパ球サブ集団/非定型Bリンパ球サブ集団; BLym Aty サブ/BLym Aty サブ")</f>
        <v>ATBLymサブ/ATBLymサブ;非定型Bリンパ球サブ集団/非定型Bリンパ球サブ集団; BLym Aty サブ/BLym Aty サブ</v>
      </c>
      <c r="H455" s="3" t="str">
        <f ca="1">IFERROR(__xludf.DUMMYFUNCTION("googletranslate(E455,""en"",""ja"")"),"生物学的標本中の異型 B リンパ球の部分集団に対する、異型 B リンパ球の部分集団の相対測定値 (比率またはパーセンテージ)。")</f>
        <v>生物学的標本中の異型 B リンパ球の部分集団に対する、異型 B リンパ球の部分集団の相対測定値 (比率またはパーセンテージ)。</v>
      </c>
      <c r="I455" s="3" t="str">
        <f ca="1">IFERROR(__xludf.DUMMYFUNCTION("googletranslate(F455,""en"",""ja"")"),"異型Bリンパ球部分集団対異型Bリンパ球部分集団の比率の測定")</f>
        <v>異型Bリンパ球部分集団対異型Bリンパ球部分集団の比率の測定</v>
      </c>
    </row>
    <row r="456" spans="1:9" ht="30">
      <c r="A456" s="3" t="s">
        <v>67</v>
      </c>
      <c r="B456" s="3" t="s">
        <v>1869</v>
      </c>
      <c r="C456" s="3" t="s">
        <v>1870</v>
      </c>
      <c r="D456" s="3" t="s">
        <v>1870</v>
      </c>
      <c r="E456" s="3" t="s">
        <v>1871</v>
      </c>
      <c r="F456" s="3" t="s">
        <v>1872</v>
      </c>
      <c r="G456" s="3" t="str">
        <f ca="1">IFERROR(__xludf.DUMMYFUNCTION("googletranslate(D456,""en"",""ja"")"),"バークホルデリア・セノセパシア")</f>
        <v>バークホルデリア・セノセパシア</v>
      </c>
      <c r="H456" s="3" t="str">
        <f ca="1">IFERROR(__xludf.DUMMYFUNCTION("googletranslate(E456,""en"",""ja"")"),"生物学的標本における Burkholderia cenocepacia の測定。")</f>
        <v>生物学的標本における Burkholderia cenocepacia の測定。</v>
      </c>
      <c r="I456" s="3" t="str">
        <f ca="1">IFERROR(__xludf.DUMMYFUNCTION("googletranslate(F456,""en"",""ja"")"),"Burkholderia cenocepacia の測定")</f>
        <v>Burkholderia cenocepacia の測定</v>
      </c>
    </row>
    <row r="457" spans="1:9" ht="30">
      <c r="A457" s="3" t="s">
        <v>6</v>
      </c>
      <c r="B457" s="3" t="s">
        <v>1873</v>
      </c>
      <c r="C457" s="3" t="s">
        <v>1874</v>
      </c>
      <c r="D457" s="3" t="s">
        <v>1874</v>
      </c>
      <c r="E457" s="3" t="s">
        <v>1875</v>
      </c>
      <c r="F457" s="3" t="s">
        <v>1876</v>
      </c>
      <c r="G457" s="3" t="str">
        <f ca="1">IFERROR(__xludf.DUMMYFUNCTION("googletranslate(D457,""en"",""ja"")"),"ベータ細胞の機能")</f>
        <v>ベータ細胞の機能</v>
      </c>
      <c r="H457" s="3" t="str">
        <f ca="1">IFERROR(__xludf.DUMMYFUNCTION("googletranslate(E457,""en"",""ja"")"),"生物学的標本におけるベータ細胞の機能 (インスリンの産生と分泌) の測定。")</f>
        <v>生物学的標本におけるベータ細胞の機能 (インスリンの産生と分泌) の測定。</v>
      </c>
      <c r="I457" s="3" t="str">
        <f ca="1">IFERROR(__xludf.DUMMYFUNCTION("googletranslate(F457,""en"",""ja"")"),"ベータ細胞機能測定")</f>
        <v>ベータ細胞機能測定</v>
      </c>
    </row>
    <row r="458" spans="1:9" ht="45">
      <c r="A458" s="3" t="s">
        <v>67</v>
      </c>
      <c r="B458" s="3" t="s">
        <v>1877</v>
      </c>
      <c r="C458" s="3" t="s">
        <v>1878</v>
      </c>
      <c r="D458" s="3" t="s">
        <v>1879</v>
      </c>
      <c r="E458" s="3" t="s">
        <v>1880</v>
      </c>
      <c r="F458" s="3" t="s">
        <v>1881</v>
      </c>
      <c r="G458" s="3" t="str">
        <f ca="1">IFERROR(__xludf.DUMMYFUNCTION("googletranslate(D458,""en"",""ja"")"),"B. セパシア;バークホルデリア・セパシア。シュードモナス・セパシア")</f>
        <v>B. セパシア;バークホルデリア・セパシア。シュードモナス・セパシア</v>
      </c>
      <c r="H458" s="3" t="str">
        <f ca="1">IFERROR(__xludf.DUMMYFUNCTION("googletranslate(E458,""en"",""ja"")"),"生物学的標本中のバークホルデリア・セパシアの測定。")</f>
        <v>生物学的標本中のバークホルデリア・セパシアの測定。</v>
      </c>
      <c r="I458" s="3" t="str">
        <f ca="1">IFERROR(__xludf.DUMMYFUNCTION("googletranslate(F458,""en"",""ja"")"),"バークホルデリア・セパシアの測定")</f>
        <v>バークホルデリア・セパシアの測定</v>
      </c>
    </row>
    <row r="459" spans="1:9" ht="30">
      <c r="A459" s="3" t="s">
        <v>118</v>
      </c>
      <c r="B459" s="3" t="s">
        <v>1882</v>
      </c>
      <c r="C459" s="3" t="s">
        <v>1883</v>
      </c>
      <c r="D459" s="3" t="s">
        <v>1883</v>
      </c>
      <c r="E459" s="3" t="s">
        <v>1884</v>
      </c>
      <c r="F459" s="3" t="s">
        <v>1883</v>
      </c>
      <c r="G459" s="3" t="str">
        <f ca="1">IFERROR(__xludf.DUMMYFUNCTION("googletranslate(D459,""en"",""ja"")"),"体細胞量")</f>
        <v>体細胞量</v>
      </c>
      <c r="H459" s="3" t="str">
        <f ca="1">IFERROR(__xludf.DUMMYFUNCTION("googletranslate(E459,""en"",""ja"")"),"体内の代謝活動が活発な細胞の総質量の推定測定値。")</f>
        <v>体内の代謝活動が活発な細胞の総質量の推定測定値。</v>
      </c>
      <c r="I459" s="3" t="str">
        <f ca="1">IFERROR(__xludf.DUMMYFUNCTION("googletranslate(F459,""en"",""ja"")"),"体細胞量")</f>
        <v>体細胞量</v>
      </c>
    </row>
    <row r="460" spans="1:9" ht="75">
      <c r="A460" s="3" t="s">
        <v>6</v>
      </c>
      <c r="B460" s="3" t="s">
        <v>1885</v>
      </c>
      <c r="C460" s="3" t="s">
        <v>1886</v>
      </c>
      <c r="D460" s="3" t="s">
        <v>1887</v>
      </c>
      <c r="E460" s="3" t="s">
        <v>1888</v>
      </c>
      <c r="F460" s="3" t="s">
        <v>1889</v>
      </c>
      <c r="G460" s="3" t="str">
        <f ca="1">IFERROR(__xludf.DUMMYFUNCTION("googletranslate(D460,""en"",""ja"")"),"可溶性B細胞成熟抗原;可溶性BCM;可溶性BCMA;可溶性CD269;可溶性 TNF 受容体スーパーファミリー メンバー 17;可溶性TNFRSF13A")</f>
        <v>可溶性B細胞成熟抗原;可溶性BCM;可溶性BCMA;可溶性CD269;可溶性 TNF 受容体スーパーファミリー メンバー 17;可溶性TNFRSF13A</v>
      </c>
      <c r="H460" s="3" t="str">
        <f ca="1">IFERROR(__xludf.DUMMYFUNCTION("googletranslate(E460,""en"",""ja"")"),"生物学的標本中の可溶性 B 細胞成熟抗原の測定。")</f>
        <v>生物学的標本中の可溶性 B 細胞成熟抗原の測定。</v>
      </c>
      <c r="I460" s="3" t="str">
        <f ca="1">IFERROR(__xludf.DUMMYFUNCTION("googletranslate(F460,""en"",""ja"")"),"可溶性B細胞成熟抗原の測定")</f>
        <v>可溶性B細胞成熟抗原の測定</v>
      </c>
    </row>
    <row r="461" spans="1:9" ht="30">
      <c r="A461" s="3" t="s">
        <v>142</v>
      </c>
      <c r="B461" s="3" t="s">
        <v>1890</v>
      </c>
      <c r="C461" s="3" t="s">
        <v>1891</v>
      </c>
      <c r="D461" s="3" t="s">
        <v>1891</v>
      </c>
      <c r="E461" s="3" t="s">
        <v>1892</v>
      </c>
      <c r="F461" s="3" t="s">
        <v>1891</v>
      </c>
      <c r="G461" s="3" t="str">
        <f ca="1">IFERROR(__xludf.DUMMYFUNCTION("googletranslate(D461,""en"",""ja"")"),"避妊方法")</f>
        <v>避妊方法</v>
      </c>
      <c r="H461" s="3" t="str">
        <f ca="1">IFERROR(__xludf.DUMMYFUNCTION("googletranslate(E461,""en"",""ja"")"),"受胎または妊娠を防止する方法。")</f>
        <v>受胎または妊娠を防止する方法。</v>
      </c>
      <c r="I461" s="3" t="str">
        <f ca="1">IFERROR(__xludf.DUMMYFUNCTION("googletranslate(F461,""en"",""ja"")"),"避妊方法")</f>
        <v>避妊方法</v>
      </c>
    </row>
    <row r="462" spans="1:9" ht="120">
      <c r="A462" s="3" t="s">
        <v>103</v>
      </c>
      <c r="B462" s="3" t="s">
        <v>1893</v>
      </c>
      <c r="C462" s="3" t="s">
        <v>1894</v>
      </c>
      <c r="D462" s="3" t="s">
        <v>1895</v>
      </c>
      <c r="E462" s="3" t="s">
        <v>1896</v>
      </c>
      <c r="F462" s="3" t="s">
        <v>1897</v>
      </c>
      <c r="G462" s="3" t="str">
        <f ca="1">IFERROR(__xludf.DUMMYFUNCTION("googletranslate(D462,""en"",""ja"")"),"B リンパ球古典記憶サブ集団/B リンパ球古典記憶サブ集団; BLym クラス メム サブ/BLym クラス メム サブ; BLym クラシック MemSub/BLym クラシック MemSub; BLym Classical Mem Sub/BLym Classical Mem Sub")</f>
        <v>B リンパ球古典記憶サブ集団/B リンパ球古典記憶サブ集団; BLym クラス メム サブ/BLym クラス メム サブ; BLym クラシック MemSub/BLym クラシック MemSub; BLym Classical Mem Sub/BLym Classical Mem Sub</v>
      </c>
      <c r="H462" s="3" t="str">
        <f ca="1">IFERROR(__xludf.DUMMYFUNCTION("googletranslate(E462,""en"",""ja"")"),"生物学的標本における古典記憶 B リンパ球の部分集団に対する古典記憶 B リンパ球の部分集団の相対測定値 (比率またはパーセンテージ)。")</f>
        <v>生物学的標本における古典記憶 B リンパ球の部分集団に対する古典記憶 B リンパ球の部分集団の相対測定値 (比率またはパーセンテージ)。</v>
      </c>
      <c r="I462" s="3" t="str">
        <f ca="1">IFERROR(__xludf.DUMMYFUNCTION("googletranslate(F462,""en"",""ja"")"),"古典記憶Bリンパ球部分集団と古典記憶Bリンパ球部分集団の比率の測定")</f>
        <v>古典記憶Bリンパ球部分集団と古典記憶Bリンパ球部分集団の比率の測定</v>
      </c>
    </row>
    <row r="463" spans="1:9" ht="30">
      <c r="A463" s="3" t="s">
        <v>67</v>
      </c>
      <c r="B463" s="3" t="s">
        <v>1898</v>
      </c>
      <c r="C463" s="3" t="s">
        <v>1899</v>
      </c>
      <c r="D463" s="3" t="s">
        <v>1899</v>
      </c>
      <c r="E463" s="3" t="s">
        <v>1900</v>
      </c>
      <c r="F463" s="3" t="s">
        <v>1901</v>
      </c>
      <c r="G463" s="3" t="str">
        <f ca="1">IFERROR(__xludf.DUMMYFUNCTION("googletranslate(D463,""en"",""ja"")"),"細菌シアリダーゼ")</f>
        <v>細菌シアリダーゼ</v>
      </c>
      <c r="H463" s="3" t="str">
        <f ca="1">IFERROR(__xludf.DUMMYFUNCTION("googletranslate(E463,""en"",""ja"")"),"生物学的標本中の細菌のシアリダーゼ酵素の測定。")</f>
        <v>生物学的標本中の細菌のシアリダーゼ酵素の測定。</v>
      </c>
      <c r="I463" s="3" t="str">
        <f ca="1">IFERROR(__xludf.DUMMYFUNCTION("googletranslate(F463,""en"",""ja"")"),"細菌シアリダーゼ測定")</f>
        <v>細菌シアリダーゼ測定</v>
      </c>
    </row>
    <row r="464" spans="1:9" ht="30">
      <c r="A464" s="3" t="s">
        <v>6</v>
      </c>
      <c r="B464" s="3" t="s">
        <v>1902</v>
      </c>
      <c r="C464" s="3" t="s">
        <v>1903</v>
      </c>
      <c r="D464" s="3" t="s">
        <v>1903</v>
      </c>
      <c r="E464" s="3" t="s">
        <v>1904</v>
      </c>
      <c r="F464" s="3" t="s">
        <v>1905</v>
      </c>
      <c r="G464" s="3" t="str">
        <f ca="1">IFERROR(__xludf.DUMMYFUNCTION("googletranslate(D464,""en"",""ja"")"),"ベータディフェンシン 2")</f>
        <v>ベータディフェンシン 2</v>
      </c>
      <c r="H464" s="3" t="str">
        <f ca="1">IFERROR(__xludf.DUMMYFUNCTION("googletranslate(E464,""en"",""ja"")"),"生物学的検体中のベータディフェンシン 2 の測定。")</f>
        <v>生物学的検体中のベータディフェンシン 2 の測定。</v>
      </c>
      <c r="I464" s="3" t="str">
        <f ca="1">IFERROR(__xludf.DUMMYFUNCTION("googletranslate(F464,""en"",""ja"")"),"ベータディフェンシン 2 の測定")</f>
        <v>ベータディフェンシン 2 の測定</v>
      </c>
    </row>
    <row r="465" spans="1:9" ht="45">
      <c r="A465" s="3" t="s">
        <v>103</v>
      </c>
      <c r="B465" s="3" t="s">
        <v>1906</v>
      </c>
      <c r="C465" s="3" t="s">
        <v>1907</v>
      </c>
      <c r="D465" s="3" t="s">
        <v>1908</v>
      </c>
      <c r="E465" s="3" t="s">
        <v>1909</v>
      </c>
      <c r="F465" s="3" t="s">
        <v>1910</v>
      </c>
      <c r="G465" s="3" t="str">
        <f ca="1">IFERROR(__xludf.DUMMYFUNCTION("googletranslate(D465,""en"",""ja"")"),"B リンパ球ダブルネガティブ。 BLym Dbl 否定; BLym DN; BLym ダブルネグ")</f>
        <v>B リンパ球ダブルネガティブ。 BLym Dbl 否定; BLym DN; BLym ダブルネグ</v>
      </c>
      <c r="H465" s="3" t="str">
        <f ca="1">IFERROR(__xludf.DUMMYFUNCTION("googletranslate(E465,""en"",""ja"")"),"生物学的検体中のダブルネガティブ B リンパ球 (両方とも CD27-IgD である B リンパ球) の測定。")</f>
        <v>生物学的検体中のダブルネガティブ B リンパ球 (両方とも CD27-IgD である B リンパ球) の測定。</v>
      </c>
      <c r="I465" s="3" t="str">
        <f ca="1">IFERROR(__xludf.DUMMYFUNCTION("googletranslate(F465,""en"",""ja"")"),"ダブルネガティブ B リンパ球数")</f>
        <v>ダブルネガティブ B リンパ球数</v>
      </c>
    </row>
    <row r="466" spans="1:9" ht="45">
      <c r="A466" s="3" t="s">
        <v>103</v>
      </c>
      <c r="B466" s="3" t="s">
        <v>1911</v>
      </c>
      <c r="C466" s="3" t="s">
        <v>1912</v>
      </c>
      <c r="D466" s="3" t="s">
        <v>1913</v>
      </c>
      <c r="E466" s="3" t="s">
        <v>1914</v>
      </c>
      <c r="F466" s="3" t="s">
        <v>1915</v>
      </c>
      <c r="G466" s="3" t="str">
        <f ca="1">IFERROR(__xludf.DUMMYFUNCTION("googletranslate(D466,""en"",""ja"")"),"B リンパ球 ダブルネガティブ/B リンパ球; BLym Dbl 否定/BLym; BLym DN/BLym")</f>
        <v>B リンパ球 ダブルネガティブ/B リンパ球; BLym Dbl 否定/BLym; BLym DN/BLym</v>
      </c>
      <c r="H466" s="3" t="str">
        <f ca="1">IFERROR(__xludf.DUMMYFUNCTION("googletranslate(E466,""en"",""ja"")"),"生物学的標本中の B リンパ球に対するダブルネガティブ B リンパ球の相対測定値 (比率またはパーセンテージ)。")</f>
        <v>生物学的標本中の B リンパ球に対するダブルネガティブ B リンパ球の相対測定値 (比率またはパーセンテージ)。</v>
      </c>
      <c r="I466" s="3" t="str">
        <f ca="1">IFERROR(__xludf.DUMMYFUNCTION("googletranslate(F466,""en"",""ja"")"),"ダブルネガティブ B リンパ球対 B リンパ球比の測定")</f>
        <v>ダブルネガティブ B リンパ球対 B リンパ球比の測定</v>
      </c>
    </row>
    <row r="467" spans="1:9" ht="30">
      <c r="A467" s="3" t="s">
        <v>6</v>
      </c>
      <c r="B467" s="3" t="s">
        <v>1916</v>
      </c>
      <c r="C467" s="3" t="s">
        <v>1917</v>
      </c>
      <c r="D467" s="3" t="s">
        <v>1917</v>
      </c>
      <c r="E467" s="3" t="s">
        <v>1918</v>
      </c>
      <c r="F467" s="3" t="s">
        <v>1919</v>
      </c>
      <c r="G467" s="3" t="str">
        <f ca="1">IFERROR(__xludf.DUMMYFUNCTION("googletranslate(D467,""en"",""ja"")"),"脳由来神経栄養因子")</f>
        <v>脳由来神経栄養因子</v>
      </c>
      <c r="H467" s="3" t="str">
        <f ca="1">IFERROR(__xludf.DUMMYFUNCTION("googletranslate(E467,""en"",""ja"")"),"生物学的標本中の脳由来神経栄養因子の測定。")</f>
        <v>生物学的標本中の脳由来神経栄養因子の測定。</v>
      </c>
      <c r="I467" s="3" t="str">
        <f ca="1">IFERROR(__xludf.DUMMYFUNCTION("googletranslate(F467,""en"",""ja"")"),"脳由来神経栄養因子の測定")</f>
        <v>脳由来神経栄養因子の測定</v>
      </c>
    </row>
    <row r="468" spans="1:9" ht="60">
      <c r="A468" s="3" t="s">
        <v>103</v>
      </c>
      <c r="B468" s="3" t="s">
        <v>1920</v>
      </c>
      <c r="C468" s="3" t="s">
        <v>1921</v>
      </c>
      <c r="D468" s="3" t="s">
        <v>1922</v>
      </c>
      <c r="E468" s="3" t="s">
        <v>1923</v>
      </c>
      <c r="F468" s="3" t="s">
        <v>1924</v>
      </c>
      <c r="G468" s="3" t="str">
        <f ca="1">IFERROR(__xludf.DUMMYFUNCTION("googletranslate(D468,""en"",""ja"")"),"B リンパ球ダブルネガティブ部分集団。 BLym Dbl Neg Sub; BLym DN サブ; BLym ダブルネガサブ")</f>
        <v>B リンパ球ダブルネガティブ部分集団。 BLym Dbl Neg Sub; BLym DN サブ; BLym ダブルネガサブ</v>
      </c>
      <c r="H468" s="3" t="str">
        <f ca="1">IFERROR(__xludf.DUMMYFUNCTION("googletranslate(E468,""en"",""ja"")"),"生物学的標本中のダブルネガティブ B リンパ球 (両方とも CD27-IgD である B リンパ球) の部分集団の測定。")</f>
        <v>生物学的標本中のダブルネガティブ B リンパ球 (両方とも CD27-IgD である B リンパ球) の部分集団の測定。</v>
      </c>
      <c r="I468" s="3" t="str">
        <f ca="1">IFERROR(__xludf.DUMMYFUNCTION("googletranslate(F468,""en"",""ja"")"),"ダブルネガティブ B リンパ球部分集団数")</f>
        <v>ダブルネガティブ B リンパ球部分集団数</v>
      </c>
    </row>
    <row r="469" spans="1:9" ht="60">
      <c r="A469" s="3" t="s">
        <v>103</v>
      </c>
      <c r="B469" s="3" t="s">
        <v>1925</v>
      </c>
      <c r="C469" s="3" t="s">
        <v>1926</v>
      </c>
      <c r="D469" s="3" t="s">
        <v>1927</v>
      </c>
      <c r="E469" s="3" t="s">
        <v>1928</v>
      </c>
      <c r="F469" s="3" t="s">
        <v>1929</v>
      </c>
      <c r="G469" s="3" t="str">
        <f ca="1">IFERROR(__xludf.DUMMYFUNCTION("googletranslate(D469,""en"",""ja"")"),"B リンパ球 ダブル ネガティブ サブ集団/B リンパ球; BLym Dbl Neg Sub/BLym; BLym DN Sub/BLym")</f>
        <v>B リンパ球 ダブル ネガティブ サブ集団/B リンパ球; BLym Dbl Neg Sub/BLym; BLym DN Sub/BLym</v>
      </c>
      <c r="H469" s="3" t="str">
        <f ca="1">IFERROR(__xludf.DUMMYFUNCTION("googletranslate(E469,""en"",""ja"")"),"生物学的標本中の B リンパ球に対するダブルネガティブ B リンパ球の部分集団の相対測定値 (比率またはパーセンテージ)。")</f>
        <v>生物学的標本中の B リンパ球に対するダブルネガティブ B リンパ球の部分集団の相対測定値 (比率またはパーセンテージ)。</v>
      </c>
      <c r="I469" s="3" t="str">
        <f ca="1">IFERROR(__xludf.DUMMYFUNCTION("googletranslate(F469,""en"",""ja"")"),"ダブルネガティブ B リンパ球サブ集団と B リンパ球の比率の測定")</f>
        <v>ダブルネガティブ B リンパ球サブ集団と B リンパ球の比率の測定</v>
      </c>
    </row>
    <row r="470" spans="1:9" ht="75">
      <c r="A470" s="3" t="s">
        <v>103</v>
      </c>
      <c r="B470" s="3" t="s">
        <v>1930</v>
      </c>
      <c r="C470" s="3" t="s">
        <v>1931</v>
      </c>
      <c r="D470" s="3" t="s">
        <v>1932</v>
      </c>
      <c r="E470" s="3" t="s">
        <v>1933</v>
      </c>
      <c r="F470" s="3" t="s">
        <v>1934</v>
      </c>
      <c r="G470" s="3" t="str">
        <f ca="1">IFERROR(__xludf.DUMMYFUNCTION("googletranslate(D470,""en"",""ja"")"),"B リンパ球ダブルネガティブサブ集団/B リンパ球ダブルネガティブ; BLym Dbl Neg Sub/BLym Dbl Neg; BLym DN サブ/BLym DN")</f>
        <v>B リンパ球ダブルネガティブサブ集団/B リンパ球ダブルネガティブ; BLym Dbl Neg Sub/BLym Dbl Neg; BLym DN サブ/BLym DN</v>
      </c>
      <c r="H470" s="3" t="str">
        <f ca="1">IFERROR(__xludf.DUMMYFUNCTION("googletranslate(E470,""en"",""ja"")"),"生物学的標本中のダブルネガティブ B リンパ球に対するダブルネガティブ B リンパ球の部分集団の相対測定値 (比率またはパーセンテージ)。")</f>
        <v>生物学的標本中のダブルネガティブ B リンパ球に対するダブルネガティブ B リンパ球の部分集団の相対測定値 (比率またはパーセンテージ)。</v>
      </c>
      <c r="I470" s="3" t="str">
        <f ca="1">IFERROR(__xludf.DUMMYFUNCTION("googletranslate(F470,""en"",""ja"")"),"ダブルネガティブ B リンパ球部分集団とダブルネガティブ B リンパ球の比率の測定")</f>
        <v>ダブルネガティブ B リンパ球部分集団とダブルネガティブ B リンパ球の比率の測定</v>
      </c>
    </row>
    <row r="471" spans="1:9" ht="30">
      <c r="A471" s="3" t="s">
        <v>67</v>
      </c>
      <c r="B471" s="3" t="s">
        <v>1935</v>
      </c>
      <c r="C471" s="3" t="s">
        <v>1936</v>
      </c>
      <c r="D471" s="3" t="s">
        <v>1936</v>
      </c>
      <c r="E471" s="3" t="s">
        <v>1937</v>
      </c>
      <c r="F471" s="3" t="s">
        <v>1938</v>
      </c>
      <c r="G471" s="3" t="str">
        <f ca="1">IFERROR(__xludf.DUMMYFUNCTION("googletranslate(D471,""en"",""ja"")"),"バークホルデリア・ドロサ")</f>
        <v>バークホルデリア・ドロサ</v>
      </c>
      <c r="H471" s="3" t="str">
        <f ca="1">IFERROR(__xludf.DUMMYFUNCTION("googletranslate(E471,""en"",""ja"")"),"生物学的標本中のバークホルデリア・ドロサの測定。")</f>
        <v>生物学的標本中のバークホルデリア・ドロサの測定。</v>
      </c>
      <c r="I471" s="3" t="str">
        <f ca="1">IFERROR(__xludf.DUMMYFUNCTION("googletranslate(F471,""en"",""ja"")"),"バークホルデリア・ドロサの測定")</f>
        <v>バークホルデリア・ドロサの測定</v>
      </c>
    </row>
    <row r="472" spans="1:9">
      <c r="A472" s="3" t="s">
        <v>6</v>
      </c>
      <c r="B472" s="3" t="s">
        <v>1939</v>
      </c>
      <c r="C472" s="3" t="s">
        <v>1940</v>
      </c>
      <c r="D472" s="3" t="s">
        <v>1940</v>
      </c>
      <c r="E472" s="3" t="s">
        <v>1941</v>
      </c>
      <c r="F472" s="3" t="s">
        <v>1942</v>
      </c>
      <c r="G472" s="3" t="str">
        <f ca="1">IFERROR(__xludf.DUMMYFUNCTION("googletranslate(D472,""en"",""ja"")"),"ベンゼン")</f>
        <v>ベンゼン</v>
      </c>
      <c r="H472" s="3" t="str">
        <f ca="1">IFERROR(__xludf.DUMMYFUNCTION("googletranslate(E472,""en"",""ja"")"),"試料中のベンゼンの測定。")</f>
        <v>試料中のベンゼンの測定。</v>
      </c>
      <c r="I472" s="3" t="str">
        <f ca="1">IFERROR(__xludf.DUMMYFUNCTION("googletranslate(F472,""en"",""ja"")"),"ベンゼンの測定")</f>
        <v>ベンゼンの測定</v>
      </c>
    </row>
    <row r="473" spans="1:9">
      <c r="A473" s="3" t="s">
        <v>51</v>
      </c>
      <c r="B473" s="3" t="s">
        <v>1939</v>
      </c>
      <c r="C473" s="3" t="s">
        <v>1940</v>
      </c>
      <c r="D473" s="3" t="s">
        <v>1940</v>
      </c>
      <c r="E473" s="3" t="s">
        <v>1941</v>
      </c>
      <c r="F473" s="3" t="s">
        <v>1942</v>
      </c>
      <c r="G473" s="3" t="str">
        <f ca="1">IFERROR(__xludf.DUMMYFUNCTION("googletranslate(D473,""en"",""ja"")"),"ベンゼン")</f>
        <v>ベンゼン</v>
      </c>
      <c r="H473" s="3" t="str">
        <f ca="1">IFERROR(__xludf.DUMMYFUNCTION("googletranslate(E473,""en"",""ja"")"),"試料中のベンゼンの測定。")</f>
        <v>試料中のベンゼンの測定。</v>
      </c>
      <c r="I473" s="3" t="str">
        <f ca="1">IFERROR(__xludf.DUMMYFUNCTION("googletranslate(F473,""en"",""ja"")"),"ベンゼンの測定")</f>
        <v>ベンゼンの測定</v>
      </c>
    </row>
    <row r="474" spans="1:9">
      <c r="A474" s="3" t="s">
        <v>51</v>
      </c>
      <c r="B474" s="3" t="s">
        <v>1943</v>
      </c>
      <c r="C474" s="3" t="s">
        <v>1944</v>
      </c>
      <c r="D474" s="3" t="s">
        <v>1945</v>
      </c>
      <c r="E474" s="3" t="s">
        <v>1946</v>
      </c>
      <c r="F474" s="3" t="s">
        <v>1947</v>
      </c>
      <c r="G474" s="3" t="str">
        <f ca="1">IFERROR(__xludf.DUMMYFUNCTION("googletranslate(D474,""en"",""ja"")"),"なれ;ベリリウム")</f>
        <v>なれ;ベリリウム</v>
      </c>
      <c r="H474" s="3" t="str">
        <f ca="1">IFERROR(__xludf.DUMMYFUNCTION("googletranslate(E474,""en"",""ja"")"),"試料中のベリリウムの測定。")</f>
        <v>試料中のベリリウムの測定。</v>
      </c>
      <c r="I474" s="3" t="str">
        <f ca="1">IFERROR(__xludf.DUMMYFUNCTION("googletranslate(F474,""en"",""ja"")"),"ベリリウム測定")</f>
        <v>ベリリウム測定</v>
      </c>
    </row>
    <row r="475" spans="1:9" ht="30">
      <c r="A475" s="3" t="s">
        <v>6</v>
      </c>
      <c r="B475" s="3" t="s">
        <v>1948</v>
      </c>
      <c r="C475" s="3" t="s">
        <v>1949</v>
      </c>
      <c r="D475" s="3" t="s">
        <v>1950</v>
      </c>
      <c r="E475" s="3" t="s">
        <v>1951</v>
      </c>
      <c r="F475" s="3" t="s">
        <v>1952</v>
      </c>
      <c r="G475" s="3" t="str">
        <f ca="1">IFERROR(__xludf.DUMMYFUNCTION("googletranslate(D475,""en"",""ja"")"),"b-カロテン;ベータカロテン;ベータカロチン")</f>
        <v>b-カロテン;ベータカロテン;ベータカロチン</v>
      </c>
      <c r="H475" s="3" t="str">
        <f ca="1">IFERROR(__xludf.DUMMYFUNCTION("googletranslate(E475,""en"",""ja"")"),"生物学的標本中のベータカロテンの測定。")</f>
        <v>生物学的標本中のベータカロテンの測定。</v>
      </c>
      <c r="I475" s="3" t="str">
        <f ca="1">IFERROR(__xludf.DUMMYFUNCTION("googletranslate(F475,""en"",""ja"")"),"ベータカロチンの測定")</f>
        <v>ベータカロチンの測定</v>
      </c>
    </row>
    <row r="476" spans="1:9" ht="30">
      <c r="A476" s="3" t="s">
        <v>6</v>
      </c>
      <c r="B476" s="3" t="s">
        <v>1953</v>
      </c>
      <c r="C476" s="3" t="s">
        <v>1954</v>
      </c>
      <c r="D476" s="3" t="s">
        <v>1954</v>
      </c>
      <c r="E476" s="3" t="s">
        <v>1955</v>
      </c>
      <c r="F476" s="3" t="s">
        <v>1956</v>
      </c>
      <c r="G476" s="3" t="str">
        <f ca="1">IFERROR(__xludf.DUMMYFUNCTION("googletranslate(D476,""en"",""ja"")"),"ベタイン")</f>
        <v>ベタイン</v>
      </c>
      <c r="H476" s="3" t="str">
        <f ca="1">IFERROR(__xludf.DUMMYFUNCTION("googletranslate(E476,""en"",""ja"")"),"生物学的標本中のベタインクラスの化合物の測定。")</f>
        <v>生物学的標本中のベタインクラスの化合物の測定。</v>
      </c>
      <c r="I476" s="3" t="str">
        <f ca="1">IFERROR(__xludf.DUMMYFUNCTION("googletranslate(F476,""en"",""ja"")"),"ベタイン測定")</f>
        <v>ベタイン測定</v>
      </c>
    </row>
    <row r="477" spans="1:9">
      <c r="A477" s="3" t="s">
        <v>6</v>
      </c>
      <c r="B477" s="3" t="s">
        <v>1957</v>
      </c>
      <c r="C477" s="3" t="s">
        <v>1958</v>
      </c>
      <c r="D477" s="3" t="s">
        <v>1958</v>
      </c>
      <c r="E477" s="3" t="s">
        <v>1959</v>
      </c>
      <c r="F477" s="3" t="s">
        <v>1960</v>
      </c>
      <c r="G477" s="3" t="str">
        <f ca="1">IFERROR(__xludf.DUMMYFUNCTION("googletranslate(D477,""en"",""ja"")"),"ブフォテニン")</f>
        <v>ブフォテニン</v>
      </c>
      <c r="H477" s="3" t="str">
        <f ca="1">IFERROR(__xludf.DUMMYFUNCTION("googletranslate(E477,""en"",""ja"")"),"生物学的標本中のブフォテニンの測定。")</f>
        <v>生物学的標本中のブフォテニンの測定。</v>
      </c>
      <c r="I477" s="3" t="str">
        <f ca="1">IFERROR(__xludf.DUMMYFUNCTION("googletranslate(F477,""en"",""ja"")"),"ブフォテニンの測定")</f>
        <v>ブフォテニンの測定</v>
      </c>
    </row>
    <row r="478" spans="1:9" ht="45">
      <c r="A478" s="3" t="s">
        <v>6</v>
      </c>
      <c r="B478" s="3" t="s">
        <v>1961</v>
      </c>
      <c r="C478" s="3" t="s">
        <v>1962</v>
      </c>
      <c r="D478" s="3" t="s">
        <v>1963</v>
      </c>
      <c r="E478" s="3" t="s">
        <v>1964</v>
      </c>
      <c r="F478" s="3" t="s">
        <v>1965</v>
      </c>
      <c r="G478" s="3" t="str">
        <f ca="1">IFERROR(__xludf.DUMMYFUNCTION("googletranslate(D478,""en"",""ja"")"),"ベータおよびガンマトコフェロール;ベータ+ガンマトコフェロール")</f>
        <v>ベータおよびガンマトコフェロール;ベータ+ガンマトコフェロール</v>
      </c>
      <c r="H478" s="3" t="str">
        <f ca="1">IFERROR(__xludf.DUMMYFUNCTION("googletranslate(E478,""en"",""ja"")"),"生物学的標本中のベータおよびガンマ トコフェロールの測定。")</f>
        <v>生物学的標本中のベータおよびガンマ トコフェロールの測定。</v>
      </c>
      <c r="I478" s="3" t="str">
        <f ca="1">IFERROR(__xludf.DUMMYFUNCTION("googletranslate(F478,""en"",""ja"")"),"ベータおよびガンマトコフェロールの測定")</f>
        <v>ベータおよびガンマトコフェロールの測定</v>
      </c>
    </row>
    <row r="479" spans="1:9" ht="30">
      <c r="A479" s="3" t="s">
        <v>6</v>
      </c>
      <c r="B479" s="3" t="s">
        <v>1966</v>
      </c>
      <c r="C479" s="3" t="s">
        <v>1967</v>
      </c>
      <c r="D479" s="3" t="s">
        <v>1967</v>
      </c>
      <c r="E479" s="3" t="s">
        <v>1968</v>
      </c>
      <c r="F479" s="3" t="s">
        <v>1969</v>
      </c>
      <c r="G479" s="3" t="str">
        <f ca="1">IFERROR(__xludf.DUMMYFUNCTION("googletranslate(D479,""en"",""ja"")"),"β-ヒドロキシ酪酸/アセト酢酸")</f>
        <v>β-ヒドロキシ酪酸/アセト酢酸</v>
      </c>
      <c r="H479" s="3" t="str">
        <f ca="1">IFERROR(__xludf.DUMMYFUNCTION("googletranslate(E479,""en"",""ja"")"),"生物学的標本中のアセト酢酸に対するベータ-ヒドロキシ酪酸の相対測定値 (比)。")</f>
        <v>生物学的標本中のアセト酢酸に対するベータ-ヒドロキシ酪酸の相対測定値 (比)。</v>
      </c>
      <c r="I479" s="3" t="str">
        <f ca="1">IFERROR(__xludf.DUMMYFUNCTION("googletranslate(F479,""en"",""ja"")"),"β-ヒドロキシ酪酸とアセト酢酸の比の測定")</f>
        <v>β-ヒドロキシ酪酸とアセト酢酸の比の測定</v>
      </c>
    </row>
    <row r="480" spans="1:9" ht="60">
      <c r="A480" s="3" t="s">
        <v>6</v>
      </c>
      <c r="B480" s="3" t="s">
        <v>1970</v>
      </c>
      <c r="C480" s="3" t="s">
        <v>1971</v>
      </c>
      <c r="D480" s="3" t="s">
        <v>1972</v>
      </c>
      <c r="E480" s="3" t="s">
        <v>1973</v>
      </c>
      <c r="F480" s="3" t="s">
        <v>1974</v>
      </c>
      <c r="G480" s="3" t="str">
        <f ca="1">IFERROR(__xludf.DUMMYFUNCTION("googletranslate(D480,""en"",""ja"")"),"3-ヒドロキシ酪酸排泄率; B-ヒドロキシ酪酸排泄率;ベータヒドロキシ酪酸排泄率; BHB 排泄率")</f>
        <v>3-ヒドロキシ酪酸排泄率; B-ヒドロキシ酪酸排泄率;ベータヒドロキシ酪酸排泄率; BHB 排泄率</v>
      </c>
      <c r="H480" s="3" t="str">
        <f ca="1">IFERROR(__xludf.DUMMYFUNCTION("googletranslate(E480,""en"",""ja"")"),"規定の期間（例：1 時間）にわたって生物学的検体中に排泄されるベータ-ヒドロキシ酪酸の量の測定。")</f>
        <v>規定の期間（例：1 時間）にわたって生物学的検体中に排泄されるベータ-ヒドロキシ酪酸の量の測定。</v>
      </c>
      <c r="I480" s="3" t="str">
        <f ca="1">IFERROR(__xludf.DUMMYFUNCTION("googletranslate(F480,""en"",""ja"")"),"β-ヒドロキシ酪酸排泄率測定")</f>
        <v>β-ヒドロキシ酪酸排泄率測定</v>
      </c>
    </row>
    <row r="481" spans="1:9" ht="30">
      <c r="A481" s="3" t="s">
        <v>67</v>
      </c>
      <c r="B481" s="3" t="s">
        <v>1975</v>
      </c>
      <c r="C481" s="3" t="s">
        <v>1976</v>
      </c>
      <c r="D481" s="3" t="s">
        <v>1976</v>
      </c>
      <c r="E481" s="3" t="s">
        <v>1977</v>
      </c>
      <c r="F481" s="3" t="s">
        <v>1978</v>
      </c>
      <c r="G481" s="3" t="str">
        <f ca="1">IFERROR(__xludf.DUMMYFUNCTION("googletranslate(D481,""en"",""ja"")"),"ブラストシスティス・ホミニスのDNA")</f>
        <v>ブラストシスティス・ホミニスのDNA</v>
      </c>
      <c r="H481" s="3" t="str">
        <f ca="1">IFERROR(__xludf.DUMMYFUNCTION("googletranslate(E481,""en"",""ja"")"),"生物学的標本中の Blastocystis hominis DNA の測定。")</f>
        <v>生物学的標本中の Blastocystis hominis DNA の測定。</v>
      </c>
      <c r="I481" s="3" t="str">
        <f ca="1">IFERROR(__xludf.DUMMYFUNCTION("googletranslate(F481,""en"",""ja"")"),"Blastocystis hominis DNA測定")</f>
        <v>Blastocystis hominis DNA測定</v>
      </c>
    </row>
    <row r="482" spans="1:9" ht="60">
      <c r="A482" s="3" t="s">
        <v>6</v>
      </c>
      <c r="B482" s="3" t="s">
        <v>1979</v>
      </c>
      <c r="C482" s="3" t="s">
        <v>1980</v>
      </c>
      <c r="D482" s="3" t="s">
        <v>1981</v>
      </c>
      <c r="E482" s="3" t="s">
        <v>1982</v>
      </c>
      <c r="F482" s="3" t="s">
        <v>1983</v>
      </c>
      <c r="G482" s="3" t="str">
        <f ca="1">IFERROR(__xludf.DUMMYFUNCTION("googletranslate(D482,""en"",""ja"")"),"3-ヒドロキシ酪酸; B-ヒドロキシ酪酸;ベータ-ヒドロキシ酪酸; β-ヒドロキシ酪酸; BHB")</f>
        <v>3-ヒドロキシ酪酸; B-ヒドロキシ酪酸;ベータ-ヒドロキシ酪酸; β-ヒドロキシ酪酸; BHB</v>
      </c>
      <c r="H482" s="3" t="str">
        <f ca="1">IFERROR(__xludf.DUMMYFUNCTION("googletranslate(E482,""en"",""ja"")"),"生物学的標本中の総ベータヒドロキシ酪酸の測定。")</f>
        <v>生物学的標本中の総ベータヒドロキシ酪酸の測定。</v>
      </c>
      <c r="I482" s="3" t="str">
        <f ca="1">IFERROR(__xludf.DUMMYFUNCTION("googletranslate(F482,""en"",""ja"")"),"β-ヒドロキシ酪酸の測定")</f>
        <v>β-ヒドロキシ酪酸の測定</v>
      </c>
    </row>
    <row r="483" spans="1:9">
      <c r="A483" s="3" t="s">
        <v>6</v>
      </c>
      <c r="B483" s="3" t="s">
        <v>1984</v>
      </c>
      <c r="C483" s="3" t="s">
        <v>1985</v>
      </c>
      <c r="D483" s="3" t="s">
        <v>1986</v>
      </c>
      <c r="E483" s="3" t="s">
        <v>1987</v>
      </c>
      <c r="F483" s="3" t="s">
        <v>1988</v>
      </c>
      <c r="G483" s="3" t="str">
        <f ca="1">IFERROR(__xludf.DUMMYFUNCTION("googletranslate(D483,""en"",""ja"")"),"重炭酸塩; HCO3")</f>
        <v>重炭酸塩; HCO3</v>
      </c>
      <c r="H483" s="3" t="str">
        <f ca="1">IFERROR(__xludf.DUMMYFUNCTION("googletranslate(E483,""en"",""ja"")"),"生物学的標本中の重炭酸塩の測定。")</f>
        <v>生物学的標本中の重炭酸塩の測定。</v>
      </c>
      <c r="I483" s="3" t="str">
        <f ca="1">IFERROR(__xludf.DUMMYFUNCTION("googletranslate(F483,""en"",""ja"")"),"重炭酸塩の測定")</f>
        <v>重炭酸塩の測定</v>
      </c>
    </row>
    <row r="484" spans="1:9" ht="30">
      <c r="A484" s="3" t="s">
        <v>103</v>
      </c>
      <c r="B484" s="3" t="s">
        <v>1989</v>
      </c>
      <c r="C484" s="3" t="s">
        <v>1990</v>
      </c>
      <c r="D484" s="3" t="s">
        <v>1991</v>
      </c>
      <c r="E484" s="3" t="s">
        <v>1992</v>
      </c>
      <c r="F484" s="3" t="s">
        <v>1993</v>
      </c>
      <c r="G484" s="3" t="str">
        <f ca="1">IFERROR(__xludf.DUMMYFUNCTION("googletranslate(D484,""en"",""ja"")"),"B リンパ球 IgG+; BLym IgG+")</f>
        <v>B リンパ球 IgG+; BLym IgG+</v>
      </c>
      <c r="H484" s="3" t="str">
        <f ca="1">IFERROR(__xludf.DUMMYFUNCTION("googletranslate(E484,""en"",""ja"")"),"生物学的標本中の IgG+ B リンパ球の測定。")</f>
        <v>生物学的標本中の IgG+ B リンパ球の測定。</v>
      </c>
      <c r="I484" s="3" t="str">
        <f ca="1">IFERROR(__xludf.DUMMYFUNCTION("googletranslate(F484,""en"",""ja"")"),"IgG 陽性 B リンパ球数")</f>
        <v>IgG 陽性 B リンパ球数</v>
      </c>
    </row>
    <row r="485" spans="1:9" ht="45">
      <c r="A485" s="3" t="s">
        <v>103</v>
      </c>
      <c r="B485" s="3" t="s">
        <v>1994</v>
      </c>
      <c r="C485" s="3" t="s">
        <v>1995</v>
      </c>
      <c r="D485" s="3" t="s">
        <v>1996</v>
      </c>
      <c r="E485" s="3" t="s">
        <v>1997</v>
      </c>
      <c r="F485" s="3" t="s">
        <v>1998</v>
      </c>
      <c r="G485" s="3" t="str">
        <f ca="1">IFERROR(__xludf.DUMMYFUNCTION("googletranslate(D485,""en"",""ja"")"),"B リンパ球 IgG+/B リンパ球; BLym IgG+/BLym")</f>
        <v>B リンパ球 IgG+/B リンパ球; BLym IgG+/BLym</v>
      </c>
      <c r="H485" s="3" t="str">
        <f ca="1">IFERROR(__xludf.DUMMYFUNCTION("googletranslate(E485,""en"",""ja"")"),"生物学的検体中の総 B リンパ球に対する IgG+ B リンパ球の相対測定値 (比率またはパーセンテージ)。")</f>
        <v>生物学的検体中の総 B リンパ球に対する IgG+ B リンパ球の相対測定値 (比率またはパーセンテージ)。</v>
      </c>
      <c r="I485" s="3" t="str">
        <f ca="1">IFERROR(__xludf.DUMMYFUNCTION("googletranslate(F485,""en"",""ja"")"),"IgG陽性Bリンパ球とBリンパ球の比率の測定")</f>
        <v>IgG陽性Bリンパ球とBリンパ球の比率の測定</v>
      </c>
    </row>
    <row r="486" spans="1:9" ht="30">
      <c r="A486" s="3" t="s">
        <v>103</v>
      </c>
      <c r="B486" s="3" t="s">
        <v>1999</v>
      </c>
      <c r="C486" s="3" t="s">
        <v>2000</v>
      </c>
      <c r="D486" s="3" t="s">
        <v>2001</v>
      </c>
      <c r="E486" s="3" t="s">
        <v>2002</v>
      </c>
      <c r="F486" s="3" t="s">
        <v>2003</v>
      </c>
      <c r="G486" s="3" t="str">
        <f ca="1">IFERROR(__xludf.DUMMYFUNCTION("googletranslate(D486,""en"",""ja"")"),"Bリンパ球IgM+; BLym IgM+")</f>
        <v>Bリンパ球IgM+; BLym IgM+</v>
      </c>
      <c r="H486" s="3" t="str">
        <f ca="1">IFERROR(__xludf.DUMMYFUNCTION("googletranslate(E486,""en"",""ja"")"),"生物学的標本中の IgM+ B リンパ球の測定。")</f>
        <v>生物学的標本中の IgM+ B リンパ球の測定。</v>
      </c>
      <c r="I486" s="3" t="str">
        <f ca="1">IFERROR(__xludf.DUMMYFUNCTION("googletranslate(F486,""en"",""ja"")"),"IgM 陽性 B リンパ球数")</f>
        <v>IgM 陽性 B リンパ球数</v>
      </c>
    </row>
    <row r="487" spans="1:9" ht="45">
      <c r="A487" s="3" t="s">
        <v>103</v>
      </c>
      <c r="B487" s="3" t="s">
        <v>2004</v>
      </c>
      <c r="C487" s="3" t="s">
        <v>2005</v>
      </c>
      <c r="D487" s="3" t="s">
        <v>2006</v>
      </c>
      <c r="E487" s="3" t="s">
        <v>2007</v>
      </c>
      <c r="F487" s="3" t="s">
        <v>2008</v>
      </c>
      <c r="G487" s="3" t="str">
        <f ca="1">IFERROR(__xludf.DUMMYFUNCTION("googletranslate(D487,""en"",""ja"")"),"B リンパ球 IgM+/B リンパ球; BLym IgM+/BLym")</f>
        <v>B リンパ球 IgM+/B リンパ球; BLym IgM+/BLym</v>
      </c>
      <c r="H487" s="3" t="str">
        <f ca="1">IFERROR(__xludf.DUMMYFUNCTION("googletranslate(E487,""en"",""ja"")"),"生物学的検体中の総 B リンパ球に対する IgM+ B リンパ球の相対測定値 (比率またはパーセンテージ)。")</f>
        <v>生物学的検体中の総 B リンパ球に対する IgM+ B リンパ球の相対測定値 (比率またはパーセンテージ)。</v>
      </c>
      <c r="I487" s="3" t="str">
        <f ca="1">IFERROR(__xludf.DUMMYFUNCTION("googletranslate(F487,""en"",""ja"")"),"IgM陽性Bリンパ球とBリンパ球の比率の測定")</f>
        <v>IgM陽性Bリンパ球とBリンパ球の比率の測定</v>
      </c>
    </row>
    <row r="488" spans="1:9" ht="45">
      <c r="A488" s="3" t="s">
        <v>6</v>
      </c>
      <c r="B488" s="3" t="s">
        <v>2009</v>
      </c>
      <c r="C488" s="3" t="s">
        <v>2010</v>
      </c>
      <c r="D488" s="3" t="s">
        <v>2011</v>
      </c>
      <c r="E488" s="3" t="s">
        <v>2012</v>
      </c>
      <c r="F488" s="3" t="s">
        <v>2013</v>
      </c>
      <c r="G488" s="3" t="str">
        <f ca="1">IFERROR(__xludf.DUMMYFUNCTION("googletranslate(D488,""en"",""ja"")"),"アルブミン結合型ビリルビン。ビリプロテイン;デルタビリルビン;デルタ分数")</f>
        <v>アルブミン結合型ビリルビン。ビリプロテイン;デルタビリルビン;デルタ分数</v>
      </c>
      <c r="H488" s="3" t="str">
        <f ca="1">IFERROR(__xludf.DUMMYFUNCTION("googletranslate(E488,""en"",""ja"")"),"生物学的標本中のアルブミン結合ビリルビンの測定。")</f>
        <v>生物学的標本中のアルブミン結合ビリルビンの測定。</v>
      </c>
      <c r="I488" s="3" t="str">
        <f ca="1">IFERROR(__xludf.DUMMYFUNCTION("googletranslate(F488,""en"",""ja"")"),"デルタビリルビン測定")</f>
        <v>デルタビリルビン測定</v>
      </c>
    </row>
    <row r="489" spans="1:9" ht="60">
      <c r="A489" s="3" t="s">
        <v>6</v>
      </c>
      <c r="B489" s="3" t="s">
        <v>2014</v>
      </c>
      <c r="C489" s="3" t="s">
        <v>2015</v>
      </c>
      <c r="D489" s="3" t="s">
        <v>2016</v>
      </c>
      <c r="E489" s="3" t="s">
        <v>2017</v>
      </c>
      <c r="F489" s="3" t="s">
        <v>2018</v>
      </c>
      <c r="G489" s="3" t="str">
        <f ca="1">IFERROR(__xludf.DUMMYFUNCTION("googletranslate(D489,""en"",""ja"")"),"抱合型ビリルビン + アルブミン結合型ビリルビン;結合型ビリルビン + デルタビリルビン;直接ビリルビン")</f>
        <v>抱合型ビリルビン + アルブミン結合型ビリルビン;結合型ビリルビン + デルタビリルビン;直接ビリルビン</v>
      </c>
      <c r="H489" s="3" t="str">
        <f ca="1">IFERROR(__xludf.DUMMYFUNCTION("googletranslate(E489,""en"",""ja"")"),"生物学的標本中のグルクロン酸抱合ビリルビンおよびアルブミン結合ビリルビンの測定。")</f>
        <v>生物学的標本中のグルクロン酸抱合ビリルビンおよびアルブミン結合ビリルビンの測定。</v>
      </c>
      <c r="I489" s="3" t="str">
        <f ca="1">IFERROR(__xludf.DUMMYFUNCTION("googletranslate(F489,""en"",""ja"")"),"ビリルビンの直接測定")</f>
        <v>ビリルビンの直接測定</v>
      </c>
    </row>
    <row r="490" spans="1:9" ht="45">
      <c r="A490" s="3" t="s">
        <v>6</v>
      </c>
      <c r="B490" s="3" t="s">
        <v>2019</v>
      </c>
      <c r="C490" s="3" t="s">
        <v>2020</v>
      </c>
      <c r="D490" s="3" t="s">
        <v>2020</v>
      </c>
      <c r="E490" s="3" t="s">
        <v>2021</v>
      </c>
      <c r="F490" s="3" t="s">
        <v>2022</v>
      </c>
      <c r="G490" s="3" t="str">
        <f ca="1">IFERROR(__xludf.DUMMYFUNCTION("googletranslate(D490,""en"",""ja"")"),"直接ビリルビン/ビリルビン")</f>
        <v>直接ビリルビン/ビリルビン</v>
      </c>
      <c r="H490" s="3" t="str">
        <f ca="1">IFERROR(__xludf.DUMMYFUNCTION("googletranslate(E490,""en"",""ja"")"),"生物学的標本中の総ビリルビンに対する直接ビリルビンの相対測定値 (比率またはパーセンテージ)。")</f>
        <v>生物学的標本中の総ビリルビンに対する直接ビリルビンの相対測定値 (比率またはパーセンテージ)。</v>
      </c>
      <c r="I490" s="3" t="str">
        <f ca="1">IFERROR(__xludf.DUMMYFUNCTION("googletranslate(F490,""en"",""ja"")"),"ビリルビン対ビリルビン比の直接測定")</f>
        <v>ビリルビン対ビリルビン比の直接測定</v>
      </c>
    </row>
    <row r="491" spans="1:9" ht="30">
      <c r="A491" s="3" t="s">
        <v>6</v>
      </c>
      <c r="B491" s="3" t="s">
        <v>2023</v>
      </c>
      <c r="C491" s="3" t="s">
        <v>2024</v>
      </c>
      <c r="D491" s="3" t="s">
        <v>2025</v>
      </c>
      <c r="E491" s="3" t="s">
        <v>2026</v>
      </c>
      <c r="F491" s="3" t="s">
        <v>2027</v>
      </c>
      <c r="G491" s="3" t="str">
        <f ca="1">IFERROR(__xludf.DUMMYFUNCTION("googletranslate(D491,""en"",""ja"")"),"胆汁酸;胆汁酸;胆汁酸塩;胆汁酸塩")</f>
        <v>胆汁酸;胆汁酸;胆汁酸塩;胆汁酸塩</v>
      </c>
      <c r="H491" s="3" t="str">
        <f ca="1">IFERROR(__xludf.DUMMYFUNCTION("googletranslate(E491,""en"",""ja"")"),"生物学的標本中の総胆汁酸の測定。")</f>
        <v>生物学的標本中の総胆汁酸の測定。</v>
      </c>
      <c r="I491" s="3" t="str">
        <f ca="1">IFERROR(__xludf.DUMMYFUNCTION("googletranslate(F491,""en"",""ja"")"),"胆汁酸測定")</f>
        <v>胆汁酸測定</v>
      </c>
    </row>
    <row r="492" spans="1:9" ht="30">
      <c r="A492" s="3" t="s">
        <v>6</v>
      </c>
      <c r="B492" s="3" t="s">
        <v>2028</v>
      </c>
      <c r="C492" s="3" t="s">
        <v>2029</v>
      </c>
      <c r="D492" s="3" t="s">
        <v>2030</v>
      </c>
      <c r="E492" s="3" t="s">
        <v>2031</v>
      </c>
      <c r="F492" s="3" t="s">
        <v>2032</v>
      </c>
      <c r="G492" s="3" t="str">
        <f ca="1">IFERROR(__xludf.DUMMYFUNCTION("googletranslate(D492,""en"",""ja"")"),"結合型ビリルビン;グルクロン酸抱合ビリルビン")</f>
        <v>結合型ビリルビン;グルクロン酸抱合ビリルビン</v>
      </c>
      <c r="H492" s="3" t="str">
        <f ca="1">IFERROR(__xludf.DUMMYFUNCTION("googletranslate(E492,""en"",""ja"")"),"生物学的標本中のグルクロン酸抱合ビリルビン (水溶性) の測定。")</f>
        <v>生物学的標本中のグルクロン酸抱合ビリルビン (水溶性) の測定。</v>
      </c>
      <c r="I492" s="3" t="str">
        <f ca="1">IFERROR(__xludf.DUMMYFUNCTION("googletranslate(F492,""en"",""ja"")"),"グルクロン酸抱合ビリルビンの測定")</f>
        <v>グルクロン酸抱合ビリルビンの測定</v>
      </c>
    </row>
    <row r="493" spans="1:9">
      <c r="A493" s="3" t="s">
        <v>6</v>
      </c>
      <c r="B493" s="3" t="s">
        <v>2033</v>
      </c>
      <c r="C493" s="3" t="s">
        <v>2034</v>
      </c>
      <c r="D493" s="3" t="s">
        <v>2035</v>
      </c>
      <c r="E493" s="3" t="s">
        <v>2036</v>
      </c>
      <c r="F493" s="3" t="s">
        <v>2037</v>
      </c>
      <c r="G493" s="3" t="str">
        <f ca="1">IFERROR(__xludf.DUMMYFUNCTION("googletranslate(D493,""en"",""ja"")"),"ビリルビン;総ビリルビン")</f>
        <v>ビリルビン;総ビリルビン</v>
      </c>
      <c r="H493" s="3" t="str">
        <f ca="1">IFERROR(__xludf.DUMMYFUNCTION("googletranslate(E493,""en"",""ja"")"),"生物学的標本中の総ビリルビンの測定。")</f>
        <v>生物学的標本中の総ビリルビンの測定。</v>
      </c>
      <c r="I493" s="3" t="str">
        <f ca="1">IFERROR(__xludf.DUMMYFUNCTION("googletranslate(F493,""en"",""ja"")"),"総ビリルビン測定")</f>
        <v>総ビリルビン測定</v>
      </c>
    </row>
    <row r="494" spans="1:9" ht="45">
      <c r="A494" s="3" t="s">
        <v>6</v>
      </c>
      <c r="B494" s="3" t="s">
        <v>2038</v>
      </c>
      <c r="C494" s="3" t="s">
        <v>2039</v>
      </c>
      <c r="D494" s="3" t="s">
        <v>2040</v>
      </c>
      <c r="E494" s="3" t="s">
        <v>2041</v>
      </c>
      <c r="F494" s="3" t="s">
        <v>2042</v>
      </c>
      <c r="G494" s="3" t="str">
        <f ca="1">IFERROR(__xludf.DUMMYFUNCTION("googletranslate(D494,""en"",""ja"")"),"間接ビリルビン。非グルクロン酸抱合ビリルビン。非抱合型ビリルビン")</f>
        <v>間接ビリルビン。非グルクロン酸抱合ビリルビン。非抱合型ビリルビン</v>
      </c>
      <c r="H494" s="3" t="str">
        <f ca="1">IFERROR(__xludf.DUMMYFUNCTION("googletranslate(E494,""en"",""ja"")"),"生物学的標本中の非結合ビリルビンまたは非水溶性ビリルビンの測定。")</f>
        <v>生物学的標本中の非結合ビリルビンまたは非水溶性ビリルビンの測定。</v>
      </c>
      <c r="I494" s="3" t="str">
        <f ca="1">IFERROR(__xludf.DUMMYFUNCTION("googletranslate(F494,""en"",""ja"")"),"間接ビリルビン測定")</f>
        <v>間接ビリルビン測定</v>
      </c>
    </row>
    <row r="495" spans="1:9" ht="45">
      <c r="A495" s="3" t="s">
        <v>503</v>
      </c>
      <c r="B495" s="3" t="s">
        <v>2043</v>
      </c>
      <c r="C495" s="3" t="s">
        <v>2044</v>
      </c>
      <c r="D495" s="3" t="s">
        <v>2045</v>
      </c>
      <c r="E495" s="3" t="s">
        <v>2046</v>
      </c>
      <c r="F495" s="3" t="s">
        <v>2047</v>
      </c>
      <c r="G495" s="3" t="str">
        <f ca="1">IFERROR(__xludf.DUMMYFUNCTION("googletranslate(D495,""en"",""ja"")"),"第一親等の血縁者、生物学的親族の数。一親等血縁者の数（生物学的）")</f>
        <v>第一親等の血縁者、生物学的親族の数。一親等血縁者の数（生物学的）</v>
      </c>
      <c r="H495" s="3" t="str">
        <f ca="1">IFERROR(__xludf.DUMMYFUNCTION("googletranslate(E495,""en"",""ja"")"),"対象者と生物学的に関係のある一親等の親戚の数。")</f>
        <v>対象者と生物学的に関係のある一親等の親戚の数。</v>
      </c>
      <c r="I495" s="3" t="str">
        <f ca="1">IFERROR(__xludf.DUMMYFUNCTION("googletranslate(F495,""en"",""ja"")"),"一親等の生物学的親戚の数")</f>
        <v>一親等の生物学的親戚の数</v>
      </c>
    </row>
    <row r="496" spans="1:9" ht="30">
      <c r="A496" s="3" t="s">
        <v>503</v>
      </c>
      <c r="B496" s="3" t="s">
        <v>2048</v>
      </c>
      <c r="C496" s="3" t="s">
        <v>2049</v>
      </c>
      <c r="D496" s="3" t="s">
        <v>2049</v>
      </c>
      <c r="E496" s="3" t="s">
        <v>2050</v>
      </c>
      <c r="F496" s="3" t="s">
        <v>2051</v>
      </c>
      <c r="G496" s="3" t="str">
        <f ca="1">IFERROR(__xludf.DUMMYFUNCTION("googletranslate(D496,""en"",""ja"")"),"兄弟の数、生物学的")</f>
        <v>兄弟の数、生物学的</v>
      </c>
      <c r="H496" s="3" t="str">
        <f ca="1">IFERROR(__xludf.DUMMYFUNCTION("googletranslate(E496,""en"",""ja"")"),"被験者と生物学的に関係のある兄弟の数。 (NCI)")</f>
        <v>被験者と生物学的に関係のある兄弟の数。 (NCI)</v>
      </c>
      <c r="I496" s="3" t="str">
        <f ca="1">IFERROR(__xludf.DUMMYFUNCTION("googletranslate(F496,""en"",""ja"")"),"生物学的兄弟の数")</f>
        <v>生物学的兄弟の数</v>
      </c>
    </row>
    <row r="497" spans="1:9" ht="30">
      <c r="A497" s="3" t="s">
        <v>185</v>
      </c>
      <c r="B497" s="3" t="s">
        <v>2052</v>
      </c>
      <c r="C497" s="3" t="s">
        <v>2053</v>
      </c>
      <c r="D497" s="3" t="s">
        <v>2053</v>
      </c>
      <c r="E497" s="3" t="s">
        <v>2054</v>
      </c>
      <c r="F497" s="3" t="s">
        <v>2053</v>
      </c>
      <c r="G497" s="3" t="str">
        <f ca="1">IFERROR(__xludf.DUMMYFUNCTION("googletranslate(D497,""en"",""ja"")"),"採取された生検標本インジケーター")</f>
        <v>採取された生検標本インジケーター</v>
      </c>
      <c r="H497" s="3" t="str">
        <f ca="1">IFERROR(__xludf.DUMMYFUNCTION("googletranslate(E497,""en"",""ja"")"),"生検標本が収集されたかどうかに関する指標。")</f>
        <v>生検標本が収集されたかどうかに関する指標。</v>
      </c>
      <c r="I497" s="3" t="str">
        <f ca="1">IFERROR(__xludf.DUMMYFUNCTION("googletranslate(F497,""en"",""ja"")"),"採取された生検標本インジケーター")</f>
        <v>採取された生検標本インジケーター</v>
      </c>
    </row>
    <row r="498" spans="1:9" ht="30">
      <c r="A498" s="3" t="s">
        <v>185</v>
      </c>
      <c r="B498" s="3" t="s">
        <v>2055</v>
      </c>
      <c r="C498" s="3" t="s">
        <v>2056</v>
      </c>
      <c r="D498" s="3" t="s">
        <v>2056</v>
      </c>
      <c r="E498" s="3" t="s">
        <v>2057</v>
      </c>
      <c r="F498" s="3" t="s">
        <v>2056</v>
      </c>
      <c r="G498" s="3" t="str">
        <f ca="1">IFERROR(__xludf.DUMMYFUNCTION("googletranslate(D498,""en"",""ja"")"),"採取された生検標本の数")</f>
        <v>採取された生検標本の数</v>
      </c>
      <c r="H498" s="3" t="str">
        <f ca="1">IFERROR(__xludf.DUMMYFUNCTION("googletranslate(E498,""en"",""ja"")"),"収集された生検標本の総数。")</f>
        <v>収集された生検標本の総数。</v>
      </c>
      <c r="I498" s="3" t="str">
        <f ca="1">IFERROR(__xludf.DUMMYFUNCTION("googletranslate(F498,""en"",""ja"")"),"採取された生検標本の数")</f>
        <v>採取された生検標本の数</v>
      </c>
    </row>
    <row r="499" spans="1:9" ht="30">
      <c r="A499" s="3" t="s">
        <v>503</v>
      </c>
      <c r="B499" s="3" t="s">
        <v>2058</v>
      </c>
      <c r="C499" s="3" t="s">
        <v>2059</v>
      </c>
      <c r="D499" s="3" t="s">
        <v>2059</v>
      </c>
      <c r="E499" s="3" t="s">
        <v>2060</v>
      </c>
      <c r="F499" s="3" t="s">
        <v>2061</v>
      </c>
      <c r="G499" s="3" t="str">
        <f ca="1">IFERROR(__xludf.DUMMYFUNCTION("googletranslate(D499,""en"",""ja"")"),"姉妹の数、生物学的")</f>
        <v>姉妹の数、生物学的</v>
      </c>
      <c r="H499" s="3" t="str">
        <f ca="1">IFERROR(__xludf.DUMMYFUNCTION("googletranslate(E499,""en"",""ja"")"),"被験者と生物学的に関係のある姉妹の数。 (NCI)")</f>
        <v>被験者と生物学的に関係のある姉妹の数。 (NCI)</v>
      </c>
      <c r="I499" s="3" t="str">
        <f ca="1">IFERROR(__xludf.DUMMYFUNCTION("googletranslate(F499,""en"",""ja"")"),"生物学的姉妹の数")</f>
        <v>生物学的姉妹の数</v>
      </c>
    </row>
    <row r="500" spans="1:9" ht="45">
      <c r="A500" s="3" t="s">
        <v>6</v>
      </c>
      <c r="B500" s="3" t="s">
        <v>2062</v>
      </c>
      <c r="C500" s="3" t="s">
        <v>2063</v>
      </c>
      <c r="D500" s="3" t="s">
        <v>2063</v>
      </c>
      <c r="E500" s="3" t="s">
        <v>2064</v>
      </c>
      <c r="F500" s="3" t="s">
        <v>2065</v>
      </c>
      <c r="G500" s="3" t="str">
        <f ca="1">IFERROR(__xludf.DUMMYFUNCTION("googletranslate(D500,""en"",""ja"")"),"バイトセル")</f>
        <v>バイトセル</v>
      </c>
      <c r="H500" s="3" t="str">
        <f ca="1">IFERROR(__xludf.DUMMYFUNCTION("googletranslate(E500,""en"",""ja"")"),"生体標本中の咬傷細胞（酸化的溶血により咬傷が除去されたように見える赤血球）の測定。")</f>
        <v>生体標本中の咬傷細胞（酸化的溶血により咬傷が除去されたように見える赤血球）の測定。</v>
      </c>
      <c r="I500" s="3" t="str">
        <f ca="1">IFERROR(__xludf.DUMMYFUNCTION("googletranslate(F500,""en"",""ja"")"),"咬合細胞数")</f>
        <v>咬合細胞数</v>
      </c>
    </row>
    <row r="501" spans="1:9" ht="30">
      <c r="A501" s="3" t="s">
        <v>6</v>
      </c>
      <c r="B501" s="3" t="s">
        <v>2066</v>
      </c>
      <c r="C501" s="3" t="s">
        <v>2067</v>
      </c>
      <c r="D501" s="3" t="s">
        <v>2067</v>
      </c>
      <c r="E501" s="3" t="s">
        <v>2068</v>
      </c>
      <c r="F501" s="3" t="s">
        <v>2069</v>
      </c>
      <c r="G501" s="3" t="str">
        <f ca="1">IFERROR(__xludf.DUMMYFUNCTION("googletranslate(D501,""en"",""ja"")"),"ベンス・ジョーンズプロテイン")</f>
        <v>ベンス・ジョーンズプロテイン</v>
      </c>
      <c r="H501" s="3" t="str">
        <f ca="1">IFERROR(__xludf.DUMMYFUNCTION("googletranslate(E501,""en"",""ja"")"),"生物学的標本中の総ベンス・ジョーンズタンパク質の測定。")</f>
        <v>生物学的標本中の総ベンス・ジョーンズタンパク質の測定。</v>
      </c>
      <c r="I501" s="3" t="str">
        <f ca="1">IFERROR(__xludf.DUMMYFUNCTION("googletranslate(F501,""en"",""ja"")"),"ベンス・ジョーンズタンパク質測定")</f>
        <v>ベンス・ジョーンズタンパク質測定</v>
      </c>
    </row>
    <row r="502" spans="1:9" ht="45">
      <c r="A502" s="3" t="s">
        <v>118</v>
      </c>
      <c r="B502" s="3" t="s">
        <v>2070</v>
      </c>
      <c r="C502" s="3" t="s">
        <v>2071</v>
      </c>
      <c r="D502" s="3" t="s">
        <v>2071</v>
      </c>
      <c r="E502" s="3" t="s">
        <v>2072</v>
      </c>
      <c r="F502" s="3" t="s">
        <v>2071</v>
      </c>
      <c r="G502" s="3" t="str">
        <f ca="1">IFERROR(__xludf.DUMMYFUNCTION("googletranslate(D502,""en"",""ja"")"),"年齢に対する身長のパーセンタイル")</f>
        <v>年齢に対する身長のパーセンタイル</v>
      </c>
      <c r="H502" s="3" t="str">
        <f ca="1">IFERROR(__xludf.DUMMYFUNCTION("googletranslate(E502,""en"",""ja"")"),"個人の体長および年齢と参照集団の体長および年齢との関係を評価したもので、パーセンタイルで表されます。")</f>
        <v>個人の体長および年齢と参照集団の体長および年齢との関係を評価したもので、パーセンタイルで表されます。</v>
      </c>
      <c r="I502" s="3" t="str">
        <f ca="1">IFERROR(__xludf.DUMMYFUNCTION("googletranslate(F502,""en"",""ja"")"),"年齢に対する身長のパーセンタイル")</f>
        <v>年齢に対する身長のパーセンタイル</v>
      </c>
    </row>
    <row r="503" spans="1:9">
      <c r="A503" s="3" t="s">
        <v>6</v>
      </c>
      <c r="B503" s="3" t="s">
        <v>2073</v>
      </c>
      <c r="C503" s="3" t="s">
        <v>2074</v>
      </c>
      <c r="D503" s="3" t="s">
        <v>2074</v>
      </c>
      <c r="E503" s="3" t="s">
        <v>2075</v>
      </c>
      <c r="F503" s="3" t="s">
        <v>2076</v>
      </c>
      <c r="G503" s="3" t="str">
        <f ca="1">IFERROR(__xludf.DUMMYFUNCTION("googletranslate(D503,""en"",""ja"")"),"爆発")</f>
        <v>爆発</v>
      </c>
      <c r="H503" s="3" t="str">
        <f ca="1">IFERROR(__xludf.DUMMYFUNCTION("googletranslate(E503,""en"",""ja"")"),"生物学的標本中の芽球細胞の測定。")</f>
        <v>生物学的標本中の芽球細胞の測定。</v>
      </c>
      <c r="I503" s="3" t="str">
        <f ca="1">IFERROR(__xludf.DUMMYFUNCTION("googletranslate(F503,""en"",""ja"")"),"爆発回数")</f>
        <v>爆発回数</v>
      </c>
    </row>
    <row r="504" spans="1:9" ht="30">
      <c r="A504" s="3" t="s">
        <v>6</v>
      </c>
      <c r="B504" s="3" t="s">
        <v>2077</v>
      </c>
      <c r="C504" s="3" t="s">
        <v>2078</v>
      </c>
      <c r="D504" s="3" t="s">
        <v>2078</v>
      </c>
      <c r="E504" s="3" t="s">
        <v>2079</v>
      </c>
      <c r="F504" s="3" t="s">
        <v>2080</v>
      </c>
      <c r="G504" s="3" t="str">
        <f ca="1">IFERROR(__xludf.DUMMYFUNCTION("googletranslate(D504,""en"",""ja"")"),"芽球数/総細胞数")</f>
        <v>芽球数/総細胞数</v>
      </c>
      <c r="H504" s="3" t="str">
        <f ca="1">IFERROR(__xludf.DUMMYFUNCTION("googletranslate(E504,""en"",""ja"")"),"生物学的標本の全細胞に対する芽球の相対的な測定値 (比率またはパーセンテージ)。")</f>
        <v>生物学的標本の全細胞に対する芽球の相対的な測定値 (比率またはパーセンテージ)。</v>
      </c>
      <c r="I504" s="3" t="str">
        <f ca="1">IFERROR(__xludf.DUMMYFUNCTION("googletranslate(F504,""en"",""ja"")"),"芽球数と総細胞数の比率の測定")</f>
        <v>芽球数と総細胞数の比率の測定</v>
      </c>
    </row>
    <row r="505" spans="1:9" ht="30">
      <c r="A505" s="3" t="s">
        <v>6</v>
      </c>
      <c r="B505" s="3" t="s">
        <v>2081</v>
      </c>
      <c r="C505" s="3" t="s">
        <v>2082</v>
      </c>
      <c r="D505" s="3" t="s">
        <v>2082</v>
      </c>
      <c r="E505" s="3" t="s">
        <v>2083</v>
      </c>
      <c r="F505" s="3" t="s">
        <v>2084</v>
      </c>
      <c r="G505" s="3" t="str">
        <f ca="1">IFERROR(__xludf.DUMMYFUNCTION("googletranslate(D505,""en"",""ja"")"),"好塩基性赤芽球")</f>
        <v>好塩基性赤芽球</v>
      </c>
      <c r="H505" s="3" t="str">
        <f ca="1">IFERROR(__xludf.DUMMYFUNCTION("googletranslate(E505,""en"",""ja"")"),"ヒト以外の生物から採取した生体標本中の好塩基性赤芽球の測定。")</f>
        <v>ヒト以外の生物から採取した生体標本中の好塩基性赤芽球の測定。</v>
      </c>
      <c r="I505" s="3" t="str">
        <f ca="1">IFERROR(__xludf.DUMMYFUNCTION("googletranslate(F505,""en"",""ja"")"),"好塩基性赤芽球数")</f>
        <v>好塩基性赤芽球数</v>
      </c>
    </row>
    <row r="506" spans="1:9" ht="30">
      <c r="A506" s="3" t="s">
        <v>6</v>
      </c>
      <c r="B506" s="3" t="s">
        <v>2085</v>
      </c>
      <c r="C506" s="3" t="s">
        <v>2086</v>
      </c>
      <c r="D506" s="3" t="s">
        <v>2087</v>
      </c>
      <c r="E506" s="3" t="s">
        <v>2088</v>
      </c>
      <c r="F506" s="3" t="s">
        <v>2089</v>
      </c>
      <c r="G506" s="3" t="str">
        <f ca="1">IFERROR(__xludf.DUMMYFUNCTION("googletranslate(D506,""en"",""ja"")"),"免疫芽球性リンパ球;免疫芽細胞")</f>
        <v>免疫芽球性リンパ球;免疫芽細胞</v>
      </c>
      <c r="H506" s="3" t="str">
        <f ca="1">IFERROR(__xludf.DUMMYFUNCTION("googletranslate(E506,""en"",""ja"")"),"生物学的標本中の免疫芽細胞の測定。")</f>
        <v>生物学的標本中の免疫芽細胞の測定。</v>
      </c>
      <c r="I506" s="3" t="str">
        <f ca="1">IFERROR(__xludf.DUMMYFUNCTION("googletranslate(F506,""en"",""ja"")"),"免疫芽細胞数")</f>
        <v>免疫芽細胞数</v>
      </c>
    </row>
    <row r="507" spans="1:9" ht="30">
      <c r="A507" s="3" t="s">
        <v>6</v>
      </c>
      <c r="B507" s="3" t="s">
        <v>2090</v>
      </c>
      <c r="C507" s="3" t="s">
        <v>2091</v>
      </c>
      <c r="D507" s="3" t="s">
        <v>2091</v>
      </c>
      <c r="E507" s="3" t="s">
        <v>2092</v>
      </c>
      <c r="F507" s="3" t="s">
        <v>2093</v>
      </c>
      <c r="G507" s="3" t="str">
        <f ca="1">IFERROR(__xludf.DUMMYFUNCTION("googletranslate(D507,""en"",""ja"")"),"芽球/白血球")</f>
        <v>芽球/白血球</v>
      </c>
      <c r="H507" s="3" t="str">
        <f ca="1">IFERROR(__xludf.DUMMYFUNCTION("googletranslate(E507,""en"",""ja"")"),"生物学的標本における芽球と白血球の相対的な測定値 (比率またはパーセンテージ)。")</f>
        <v>生物学的標本における芽球と白血球の相対的な測定値 (比率またはパーセンテージ)。</v>
      </c>
      <c r="I507" s="3" t="str">
        <f ca="1">IFERROR(__xludf.DUMMYFUNCTION("googletranslate(F507,""en"",""ja"")"),"芽球と白血球の比率")</f>
        <v>芽球と白血球の比率</v>
      </c>
    </row>
    <row r="508" spans="1:9" ht="45">
      <c r="A508" s="3" t="s">
        <v>6</v>
      </c>
      <c r="B508" s="3" t="s">
        <v>2094</v>
      </c>
      <c r="C508" s="3" t="s">
        <v>2095</v>
      </c>
      <c r="D508" s="3" t="s">
        <v>2095</v>
      </c>
      <c r="E508" s="3" t="s">
        <v>2096</v>
      </c>
      <c r="F508" s="3" t="s">
        <v>2097</v>
      </c>
      <c r="G508" s="3" t="str">
        <f ca="1">IFERROR(__xludf.DUMMYFUNCTION("googletranslate(D508,""en"",""ja"")"),"白血病芽球")</f>
        <v>白血病芽球</v>
      </c>
      <c r="H508" s="3" t="str">
        <f ca="1">IFERROR(__xludf.DUMMYFUNCTION("googletranslate(E508,""en"",""ja"")"),"生物学的標本中の白血病芽球（骨髄の外にあっても未熟な状態のままであるリンパ芽球および/または骨髄芽球）の測定。")</f>
        <v>生物学的標本中の白血病芽球（骨髄の外にあっても未熟な状態のままであるリンパ芽球および/または骨髄芽球）の測定。</v>
      </c>
      <c r="I508" s="3" t="str">
        <f ca="1">IFERROR(__xludf.DUMMYFUNCTION("googletranslate(F508,""en"",""ja"")"),"白血病性芽球数")</f>
        <v>白血病性芽球数</v>
      </c>
    </row>
    <row r="509" spans="1:9" ht="30">
      <c r="A509" s="3" t="s">
        <v>6</v>
      </c>
      <c r="B509" s="3" t="s">
        <v>2098</v>
      </c>
      <c r="C509" s="3" t="s">
        <v>2099</v>
      </c>
      <c r="D509" s="3" t="s">
        <v>2100</v>
      </c>
      <c r="E509" s="3" t="s">
        <v>2101</v>
      </c>
      <c r="F509" s="3" t="s">
        <v>2102</v>
      </c>
      <c r="G509" s="3" t="str">
        <f ca="1">IFERROR(__xludf.DUMMYFUNCTION("googletranslate(D509,""en"",""ja"")"),"前赤芽球;前正常芽細胞。ルブリブラスト")</f>
        <v>前赤芽球;前正常芽細胞。ルブリブラスト</v>
      </c>
      <c r="H509" s="3" t="str">
        <f ca="1">IFERROR(__xludf.DUMMYFUNCTION("googletranslate(E509,""en"",""ja"")"),"生物学的標本のルブリブラストの測定。")</f>
        <v>生物学的標本のルブリブラストの測定。</v>
      </c>
      <c r="I509" s="3" t="str">
        <f ca="1">IFERROR(__xludf.DUMMYFUNCTION("googletranslate(F509,""en"",""ja"")"),"前赤芽球の測定")</f>
        <v>前赤芽球の測定</v>
      </c>
    </row>
    <row r="510" spans="1:9" ht="45">
      <c r="A510" s="3" t="s">
        <v>103</v>
      </c>
      <c r="B510" s="3" t="s">
        <v>2103</v>
      </c>
      <c r="C510" s="3" t="s">
        <v>2104</v>
      </c>
      <c r="D510" s="3" t="s">
        <v>2105</v>
      </c>
      <c r="E510" s="3" t="s">
        <v>2106</v>
      </c>
      <c r="F510" s="3" t="s">
        <v>2107</v>
      </c>
      <c r="G510" s="3" t="str">
        <f ca="1">IFERROR(__xludf.DUMMYFUNCTION("googletranslate(D510,""en"",""ja"")"),"B リンパ球 古典記憶/B リンパ球; BLym クラシック メム/BLym")</f>
        <v>B リンパ球 古典記憶/B リンパ球; BLym クラシック メム/BLym</v>
      </c>
      <c r="H510" s="3" t="str">
        <f ca="1">IFERROR(__xludf.DUMMYFUNCTION("googletranslate(E510,""en"",""ja"")"),"生物学的標本中の総 B リンパ球に対する古典的記憶 B リンパ球の相対測定値 (比率またはパーセンテージ)。")</f>
        <v>生物学的標本中の総 B リンパ球に対する古典的記憶 B リンパ球の相対測定値 (比率またはパーセンテージ)。</v>
      </c>
      <c r="I510" s="3" t="str">
        <f ca="1">IFERROR(__xludf.DUMMYFUNCTION("googletranslate(F510,""en"",""ja"")"),"クラシックメモリーBリンパ球対Bリンパ球比測定")</f>
        <v>クラシックメモリーBリンパ球対Bリンパ球比測定</v>
      </c>
    </row>
    <row r="511" spans="1:9" ht="90">
      <c r="A511" s="3" t="s">
        <v>103</v>
      </c>
      <c r="B511" s="3" t="s">
        <v>2108</v>
      </c>
      <c r="C511" s="3" t="s">
        <v>2109</v>
      </c>
      <c r="D511" s="3" t="s">
        <v>2110</v>
      </c>
      <c r="E511" s="3" t="s">
        <v>2111</v>
      </c>
      <c r="F511" s="3" t="s">
        <v>2112</v>
      </c>
      <c r="G511" s="3" t="str">
        <f ca="1">IFERROR(__xludf.DUMMYFUNCTION("googletranslate(D511,""en"",""ja"")"),"B リンパ球の古典的記憶部分集団/B リンパ球の古典的記憶; BLym クラシック メム サブ/BLym クラシック メム; BLym Classical Mem Sub/BLym Classical Mem")</f>
        <v>B リンパ球の古典的記憶部分集団/B リンパ球の古典的記憶; BLym クラシック メム サブ/BLym クラシック メム; BLym Classical Mem Sub/BLym Classical Mem</v>
      </c>
      <c r="H511" s="3" t="str">
        <f ca="1">IFERROR(__xludf.DUMMYFUNCTION("googletranslate(E511,""en"",""ja"")"),"生物学的標本中のすべての古典記憶 B リンパ球に対する古典記憶 B リンパ球の部分集団の相対測定値 (比率またはパーセンテージ)。")</f>
        <v>生物学的標本中のすべての古典記憶 B リンパ球に対する古典記憶 B リンパ球の部分集団の相対測定値 (比率またはパーセンテージ)。</v>
      </c>
      <c r="I511" s="3" t="str">
        <f ca="1">IFERROR(__xludf.DUMMYFUNCTION("googletranslate(F511,""en"",""ja"")"),"古典記憶 B リンパ球部分集団と古典記憶 B リンパ球の比率の測定")</f>
        <v>古典記憶 B リンパ球部分集団と古典記憶 B リンパ球の比率の測定</v>
      </c>
    </row>
    <row r="512" spans="1:9" ht="30">
      <c r="A512" s="3" t="s">
        <v>490</v>
      </c>
      <c r="B512" s="3" t="s">
        <v>2113</v>
      </c>
      <c r="C512" s="3" t="s">
        <v>2114</v>
      </c>
      <c r="D512" s="3" t="s">
        <v>2114</v>
      </c>
      <c r="E512" s="3" t="s">
        <v>2115</v>
      </c>
      <c r="F512" s="3" t="s">
        <v>2114</v>
      </c>
      <c r="G512" s="3" t="str">
        <f ca="1">IFERROR(__xludf.DUMMYFUNCTION("googletranslate(D512,""en"",""ja"")"),"血流量")</f>
        <v>血流量</v>
      </c>
      <c r="H512" s="3" t="str">
        <f ca="1">IFERROR(__xludf.DUMMYFUNCTION("googletranslate(E512,""en"",""ja"")"),"血管内の点や臓器全体など、特定の場所を通過する単位時間当たりの血液の量。")</f>
        <v>血管内の点や臓器全体など、特定の場所を通過する単位時間当たりの血液の量。</v>
      </c>
      <c r="I512" s="3" t="str">
        <f ca="1">IFERROR(__xludf.DUMMYFUNCTION("googletranslate(F512,""en"",""ja"")"),"血流量")</f>
        <v>血流量</v>
      </c>
    </row>
    <row r="513" spans="1:9" ht="30">
      <c r="A513" s="3" t="s">
        <v>159</v>
      </c>
      <c r="B513" s="3" t="s">
        <v>2113</v>
      </c>
      <c r="C513" s="3" t="s">
        <v>2114</v>
      </c>
      <c r="D513" s="3" t="s">
        <v>2114</v>
      </c>
      <c r="E513" s="3" t="s">
        <v>2115</v>
      </c>
      <c r="F513" s="3" t="s">
        <v>2114</v>
      </c>
      <c r="G513" s="3" t="str">
        <f ca="1">IFERROR(__xludf.DUMMYFUNCTION("googletranslate(D513,""en"",""ja"")"),"血流量")</f>
        <v>血流量</v>
      </c>
      <c r="H513" s="3" t="str">
        <f ca="1">IFERROR(__xludf.DUMMYFUNCTION("googletranslate(E513,""en"",""ja"")"),"血管内の点や臓器全体など、特定の場所を通過する単位時間当たりの血液の量。")</f>
        <v>血管内の点や臓器全体など、特定の場所を通過する単位時間当たりの血液の量。</v>
      </c>
      <c r="I513" s="3" t="str">
        <f ca="1">IFERROR(__xludf.DUMMYFUNCTION("googletranslate(F513,""en"",""ja"")"),"血流量")</f>
        <v>血流量</v>
      </c>
    </row>
    <row r="514" spans="1:9" ht="30">
      <c r="A514" s="3" t="s">
        <v>81</v>
      </c>
      <c r="B514" s="3" t="s">
        <v>2113</v>
      </c>
      <c r="C514" s="3" t="s">
        <v>2114</v>
      </c>
      <c r="D514" s="3" t="s">
        <v>2114</v>
      </c>
      <c r="E514" s="3" t="s">
        <v>2115</v>
      </c>
      <c r="F514" s="3" t="s">
        <v>2114</v>
      </c>
      <c r="G514" s="3" t="str">
        <f ca="1">IFERROR(__xludf.DUMMYFUNCTION("googletranslate(D514,""en"",""ja"")"),"血流量")</f>
        <v>血流量</v>
      </c>
      <c r="H514" s="3" t="str">
        <f ca="1">IFERROR(__xludf.DUMMYFUNCTION("googletranslate(E514,""en"",""ja"")"),"血管内の点や臓器全体など、特定の場所を通過する単位時間当たりの血液の量。")</f>
        <v>血管内の点や臓器全体など、特定の場所を通過する単位時間当たりの血液の量。</v>
      </c>
      <c r="I514" s="3" t="str">
        <f ca="1">IFERROR(__xludf.DUMMYFUNCTION("googletranslate(F514,""en"",""ja"")"),"血流量")</f>
        <v>血流量</v>
      </c>
    </row>
    <row r="515" spans="1:9" ht="30">
      <c r="A515" s="3" t="s">
        <v>142</v>
      </c>
      <c r="B515" s="3" t="s">
        <v>2116</v>
      </c>
      <c r="C515" s="3" t="s">
        <v>2117</v>
      </c>
      <c r="D515" s="3" t="s">
        <v>2117</v>
      </c>
      <c r="E515" s="3" t="s">
        <v>2118</v>
      </c>
      <c r="F515" s="3" t="s">
        <v>2119</v>
      </c>
      <c r="G515" s="3" t="str">
        <f ca="1">IFERROR(__xludf.DUMMYFUNCTION("googletranslate(D515,""en"",""ja"")"),"ブリード/スポットの連続日数")</f>
        <v>ブリード/スポットの連続日数</v>
      </c>
      <c r="H515" s="3" t="str">
        <f ca="1">IFERROR(__xludf.DUMMYFUNCTION("googletranslate(E515,""en"",""ja"")"),"継続的な月経出血および/または斑点を経験した日数。")</f>
        <v>継続的な月経出血および/または斑点を経験した日数。</v>
      </c>
      <c r="I515" s="3" t="str">
        <f ca="1">IFERROR(__xludf.DUMMYFUNCTION("googletranslate(F515,""en"",""ja"")"),"月経出血および/または月経出血の連続日数")</f>
        <v>月経出血および/または月経出血の連続日数</v>
      </c>
    </row>
    <row r="516" spans="1:9" ht="30">
      <c r="A516" s="3" t="s">
        <v>142</v>
      </c>
      <c r="B516" s="3" t="s">
        <v>2120</v>
      </c>
      <c r="C516" s="3" t="s">
        <v>2121</v>
      </c>
      <c r="D516" s="3" t="s">
        <v>2121</v>
      </c>
      <c r="E516" s="3" t="s">
        <v>2122</v>
      </c>
      <c r="F516" s="3" t="s">
        <v>2121</v>
      </c>
      <c r="G516" s="3" t="str">
        <f ca="1">IFERROR(__xludf.DUMMYFUNCTION("googletranslate(D516,""en"",""ja"")"),"異常出血インジケーター")</f>
        <v>異常出血インジケーター</v>
      </c>
      <c r="H516" s="3" t="str">
        <f ca="1">IFERROR(__xludf.DUMMYFUNCTION("googletranslate(E516,""en"",""ja"")"),"異常出血の有無を示す指標。")</f>
        <v>異常出血の有無を示す指標。</v>
      </c>
      <c r="I516" s="3" t="str">
        <f ca="1">IFERROR(__xludf.DUMMYFUNCTION("googletranslate(F516,""en"",""ja"")"),"異常出血インジケーター")</f>
        <v>異常出血インジケーター</v>
      </c>
    </row>
    <row r="517" spans="1:9" ht="30">
      <c r="A517" s="3" t="s">
        <v>6</v>
      </c>
      <c r="B517" s="3" t="s">
        <v>2123</v>
      </c>
      <c r="C517" s="3" t="s">
        <v>2124</v>
      </c>
      <c r="D517" s="3" t="s">
        <v>2125</v>
      </c>
      <c r="E517" s="3" t="s">
        <v>2126</v>
      </c>
      <c r="F517" s="3" t="s">
        <v>2124</v>
      </c>
      <c r="G517" s="3" t="str">
        <f ca="1">IFERROR(__xludf.DUMMYFUNCTION("googletranslate(D517,""en"",""ja"")"),"出血時間。凝固時間の恒常性")</f>
        <v>出血時間。凝固時間の恒常性</v>
      </c>
      <c r="H517" s="3" t="str">
        <f ca="1">IFERROR(__xludf.DUMMYFUNCTION("googletranslate(E517,""en"",""ja"")"),"誘発された出血の開始から停止までの時間の測定。")</f>
        <v>誘発された出血の開始から停止までの時間の測定。</v>
      </c>
      <c r="I517" s="3" t="str">
        <f ca="1">IFERROR(__xludf.DUMMYFUNCTION("googletranslate(F517,""en"",""ja"")"),"出血時間")</f>
        <v>出血時間</v>
      </c>
    </row>
    <row r="518" spans="1:9">
      <c r="A518" s="3" t="s">
        <v>6</v>
      </c>
      <c r="B518" s="3" t="s">
        <v>2127</v>
      </c>
      <c r="C518" s="3" t="s">
        <v>2128</v>
      </c>
      <c r="D518" s="3" t="s">
        <v>2128</v>
      </c>
      <c r="E518" s="3" t="s">
        <v>2129</v>
      </c>
      <c r="F518" s="3" t="s">
        <v>2130</v>
      </c>
      <c r="G518" s="3" t="str">
        <f ca="1">IFERROR(__xludf.DUMMYFUNCTION("googletranslate(D518,""en"",""ja"")"),"ブリスターセル")</f>
        <v>ブリスターセル</v>
      </c>
      <c r="H518" s="3" t="str">
        <f ca="1">IFERROR(__xludf.DUMMYFUNCTION("googletranslate(E518,""en"",""ja"")"),"生物学的標本中の水疱細胞の測定。")</f>
        <v>生物学的標本中の水疱細胞の測定。</v>
      </c>
      <c r="I518" s="3" t="str">
        <f ca="1">IFERROR(__xludf.DUMMYFUNCTION("googletranslate(F518,""en"",""ja"")"),"水疱細胞数")</f>
        <v>水疱細胞数</v>
      </c>
    </row>
    <row r="519" spans="1:9">
      <c r="A519" s="3" t="s">
        <v>1535</v>
      </c>
      <c r="B519" s="3" t="s">
        <v>2131</v>
      </c>
      <c r="C519" s="3" t="s">
        <v>2132</v>
      </c>
      <c r="D519" s="3" t="s">
        <v>2132</v>
      </c>
      <c r="E519" s="3" t="s">
        <v>2133</v>
      </c>
      <c r="F519" s="3" t="s">
        <v>2132</v>
      </c>
      <c r="G519" s="3" t="str">
        <f ca="1">IFERROR(__xludf.DUMMYFUNCTION("googletranslate(D519,""en"",""ja"")"),"ブリスターインジケーター")</f>
        <v>ブリスターインジケーター</v>
      </c>
      <c r="H519" s="3" t="str">
        <f ca="1">IFERROR(__xludf.DUMMYFUNCTION("googletranslate(E519,""en"",""ja"")"),"水膨れが発生したかどうかの指標。")</f>
        <v>水膨れが発生したかどうかの指標。</v>
      </c>
      <c r="I519" s="3" t="str">
        <f ca="1">IFERROR(__xludf.DUMMYFUNCTION("googletranslate(F519,""en"",""ja"")"),"ブリスターインジケーター")</f>
        <v>ブリスターインジケーター</v>
      </c>
    </row>
    <row r="520" spans="1:9">
      <c r="A520" s="3" t="s">
        <v>142</v>
      </c>
      <c r="B520" s="3" t="s">
        <v>2131</v>
      </c>
      <c r="C520" s="3" t="s">
        <v>2132</v>
      </c>
      <c r="D520" s="3" t="s">
        <v>2132</v>
      </c>
      <c r="E520" s="3" t="s">
        <v>2133</v>
      </c>
      <c r="F520" s="3" t="s">
        <v>2132</v>
      </c>
      <c r="G520" s="3" t="str">
        <f ca="1">IFERROR(__xludf.DUMMYFUNCTION("googletranslate(D520,""en"",""ja"")"),"ブリスターインジケーター")</f>
        <v>ブリスターインジケーター</v>
      </c>
      <c r="H520" s="3" t="str">
        <f ca="1">IFERROR(__xludf.DUMMYFUNCTION("googletranslate(E520,""en"",""ja"")"),"水膨れが発生したかどうかの指標。")</f>
        <v>水膨れが発生したかどうかの指標。</v>
      </c>
      <c r="I520" s="3" t="str">
        <f ca="1">IFERROR(__xludf.DUMMYFUNCTION("googletranslate(F520,""en"",""ja"")"),"ブリスターインジケーター")</f>
        <v>ブリスターインジケーター</v>
      </c>
    </row>
    <row r="521" spans="1:9">
      <c r="A521" s="3" t="s">
        <v>185</v>
      </c>
      <c r="B521" s="3" t="s">
        <v>2131</v>
      </c>
      <c r="C521" s="3" t="s">
        <v>2132</v>
      </c>
      <c r="D521" s="3" t="s">
        <v>2132</v>
      </c>
      <c r="E521" s="3" t="s">
        <v>2133</v>
      </c>
      <c r="F521" s="3" t="s">
        <v>2132</v>
      </c>
      <c r="G521" s="3" t="str">
        <f ca="1">IFERROR(__xludf.DUMMYFUNCTION("googletranslate(D521,""en"",""ja"")"),"ブリスターインジケーター")</f>
        <v>ブリスターインジケーター</v>
      </c>
      <c r="H521" s="3" t="str">
        <f ca="1">IFERROR(__xludf.DUMMYFUNCTION("googletranslate(E521,""en"",""ja"")"),"水膨れが発生したかどうかの指標。")</f>
        <v>水膨れが発生したかどうかの指標。</v>
      </c>
      <c r="I521" s="3" t="str">
        <f ca="1">IFERROR(__xludf.DUMMYFUNCTION("googletranslate(F521,""en"",""ja"")"),"ブリスターインジケーター")</f>
        <v>ブリスターインジケーター</v>
      </c>
    </row>
    <row r="522" spans="1:9" ht="60">
      <c r="A522" s="3" t="s">
        <v>103</v>
      </c>
      <c r="B522" s="3" t="s">
        <v>2134</v>
      </c>
      <c r="C522" s="3" t="s">
        <v>2135</v>
      </c>
      <c r="D522" s="3" t="s">
        <v>2136</v>
      </c>
      <c r="E522" s="3" t="s">
        <v>2137</v>
      </c>
      <c r="F522" s="3" t="s">
        <v>2138</v>
      </c>
      <c r="G522" s="3" t="str">
        <f ca="1">IFERROR(__xludf.DUMMYFUNCTION("googletranslate(D522,""en"",""ja"")"),"B リンパ球記憶サブ集団/B リンパ球記憶サブ集団; BLym メム サブ/BLym メム サブ")</f>
        <v>B リンパ球記憶サブ集団/B リンパ球記憶サブ集団; BLym メム サブ/BLym メム サブ</v>
      </c>
      <c r="H522" s="3" t="str">
        <f ca="1">IFERROR(__xludf.DUMMYFUNCTION("googletranslate(E522,""en"",""ja"")"),"生物学的標本における記憶 B リンパ球細胞の部分集団に対する記憶 B リンパ球細胞の部分集団の相対測定値 (比率またはパーセンテージ)。")</f>
        <v>生物学的標本における記憶 B リンパ球細胞の部分集団に対する記憶 B リンパ球細胞の部分集団の相対測定値 (比率またはパーセンテージ)。</v>
      </c>
      <c r="I522" s="3" t="str">
        <f ca="1">IFERROR(__xludf.DUMMYFUNCTION("googletranslate(F522,""en"",""ja"")"),"記憶Bリンパ球部分集団と記憶Bリンパ球部分集団の比率の測定")</f>
        <v>記憶Bリンパ球部分集団と記憶Bリンパ球部分集団の比率の測定</v>
      </c>
    </row>
    <row r="523" spans="1:9" ht="30">
      <c r="A523" s="3" t="s">
        <v>67</v>
      </c>
      <c r="B523" s="3" t="s">
        <v>2139</v>
      </c>
      <c r="C523" s="3" t="s">
        <v>2140</v>
      </c>
      <c r="D523" s="3" t="s">
        <v>2140</v>
      </c>
      <c r="E523" s="3" t="s">
        <v>2141</v>
      </c>
      <c r="F523" s="3" t="s">
        <v>2142</v>
      </c>
      <c r="G523" s="3" t="str">
        <f ca="1">IFERROR(__xludf.DUMMYFUNCTION("googletranslate(D523,""en"",""ja"")"),"ベータラクタマーゼ陰性菌")</f>
        <v>ベータラクタマーゼ陰性菌</v>
      </c>
      <c r="H523" s="3" t="str">
        <f ca="1">IFERROR(__xludf.DUMMYFUNCTION("googletranslate(E523,""en"",""ja"")"),"生物学的標本中のベータラクタマーゼ陰性細菌の測定。")</f>
        <v>生物学的標本中のベータラクタマーゼ陰性細菌の測定。</v>
      </c>
      <c r="I523" s="3" t="str">
        <f ca="1">IFERROR(__xludf.DUMMYFUNCTION("googletranslate(F523,""en"",""ja"")"),"β-ラクタマーゼ陰性菌の測定")</f>
        <v>β-ラクタマーゼ陰性菌の測定</v>
      </c>
    </row>
    <row r="524" spans="1:9" ht="45">
      <c r="A524" s="3" t="s">
        <v>103</v>
      </c>
      <c r="B524" s="3" t="s">
        <v>2143</v>
      </c>
      <c r="C524" s="3" t="s">
        <v>2144</v>
      </c>
      <c r="D524" s="3" t="s">
        <v>2145</v>
      </c>
      <c r="E524" s="3" t="s">
        <v>2146</v>
      </c>
      <c r="F524" s="3" t="s">
        <v>2147</v>
      </c>
      <c r="G524" s="3" t="str">
        <f ca="1">IFERROR(__xludf.DUMMYFUNCTION("googletranslate(D524,""en"",""ja"")"),"B リンパ球ナイーブ成熟/B リンパ球; BLym ナイーブマット/BLym")</f>
        <v>B リンパ球ナイーブ成熟/B リンパ球; BLym ナイーブマット/BLym</v>
      </c>
      <c r="H524" s="3" t="str">
        <f ca="1">IFERROR(__xludf.DUMMYFUNCTION("googletranslate(E524,""en"",""ja"")"),"生物学的標本中の B リンパ球に対するナイーブ成熟 B リンパ球の相対測定値 (比率またはパーセンテージ)。")</f>
        <v>生物学的標本中の B リンパ球に対するナイーブ成熟 B リンパ球の相対測定値 (比率またはパーセンテージ)。</v>
      </c>
      <c r="I524" s="3" t="str">
        <f ca="1">IFERROR(__xludf.DUMMYFUNCTION("googletranslate(F524,""en"",""ja"")"),"ナイーブ成熟Bリンパ球と総Bリンパ球の比率の測定")</f>
        <v>ナイーブ成熟Bリンパ球と総Bリンパ球の比率の測定</v>
      </c>
    </row>
    <row r="525" spans="1:9" ht="75">
      <c r="A525" s="3" t="s">
        <v>103</v>
      </c>
      <c r="B525" s="3" t="s">
        <v>2148</v>
      </c>
      <c r="C525" s="3" t="s">
        <v>2149</v>
      </c>
      <c r="D525" s="3" t="s">
        <v>2150</v>
      </c>
      <c r="E525" s="3" t="s">
        <v>2151</v>
      </c>
      <c r="F525" s="3" t="s">
        <v>2152</v>
      </c>
      <c r="G525" s="3" t="str">
        <f ca="1">IFERROR(__xludf.DUMMYFUNCTION("googletranslate(D525,""en"",""ja"")"),"B リンパ球ナイーブ成熟部分集団/B リンパ球ナイーブ成熟; BLym ナイーブ マット サブ/BLym ナイーブ マット; BLym ナイーブ マット サブ/BLymNM")</f>
        <v>B リンパ球ナイーブ成熟部分集団/B リンパ球ナイーブ成熟; BLym ナイーブ マット サブ/BLym ナイーブ マット; BLym ナイーブ マット サブ/BLymNM</v>
      </c>
      <c r="H525" s="3" t="str">
        <f ca="1">IFERROR(__xludf.DUMMYFUNCTION("googletranslate(E525,""en"",""ja"")"),"生物学的標本中のナイーブ成熟 B リンパ球の総数に対するナイーブ成熟 B リンパ球の部分集団の相対測定値 (比率またはパーセンテージ)。")</f>
        <v>生物学的標本中のナイーブ成熟 B リンパ球の総数に対するナイーブ成熟 B リンパ球の部分集団の相対測定値 (比率またはパーセンテージ)。</v>
      </c>
      <c r="I525" s="3" t="str">
        <f ca="1">IFERROR(__xludf.DUMMYFUNCTION("googletranslate(F525,""en"",""ja"")"),"ナイーブ成熟 B リンパ球部分集団と合計ナイーブ成熟 B リンパ球の比率の測定")</f>
        <v>ナイーブ成熟 B リンパ球部分集団と合計ナイーブ成熟 B リンパ球の比率の測定</v>
      </c>
    </row>
    <row r="526" spans="1:9" ht="30">
      <c r="A526" s="3" t="s">
        <v>67</v>
      </c>
      <c r="B526" s="3" t="s">
        <v>2153</v>
      </c>
      <c r="C526" s="3" t="s">
        <v>2154</v>
      </c>
      <c r="D526" s="3" t="s">
        <v>2154</v>
      </c>
      <c r="E526" s="3" t="s">
        <v>2155</v>
      </c>
      <c r="F526" s="3" t="s">
        <v>2156</v>
      </c>
      <c r="G526" s="3" t="str">
        <f ca="1">IFERROR(__xludf.DUMMYFUNCTION("googletranslate(D526,""en"",""ja"")"),"β-ラクタマーゼ陽性菌")</f>
        <v>β-ラクタマーゼ陽性菌</v>
      </c>
      <c r="H526" s="3" t="str">
        <f ca="1">IFERROR(__xludf.DUMMYFUNCTION("googletranslate(E526,""en"",""ja"")"),"生物学的検体中のベータラクタマーゼ陽性細菌の測定。")</f>
        <v>生物学的検体中のベータラクタマーゼ陽性細菌の測定。</v>
      </c>
      <c r="I526" s="3" t="str">
        <f ca="1">IFERROR(__xludf.DUMMYFUNCTION("googletranslate(F526,""en"",""ja"")"),"βラクタマーゼ陽性菌の測定")</f>
        <v>βラクタマーゼ陽性菌の測定</v>
      </c>
    </row>
    <row r="527" spans="1:9" ht="45">
      <c r="A527" s="3" t="s">
        <v>103</v>
      </c>
      <c r="B527" s="3" t="s">
        <v>2157</v>
      </c>
      <c r="C527" s="3" t="s">
        <v>2158</v>
      </c>
      <c r="D527" s="3" t="s">
        <v>2159</v>
      </c>
      <c r="E527" s="3" t="s">
        <v>2160</v>
      </c>
      <c r="F527" s="3" t="s">
        <v>2161</v>
      </c>
      <c r="G527" s="3" t="str">
        <f ca="1">IFERROR(__xludf.DUMMYFUNCTION("googletranslate(D527,""en"",""ja"")"),"B リンパ球サブ集団/リンパ球; BLymサブ/リム")</f>
        <v>B リンパ球サブ集団/リンパ球; BLymサブ/リム</v>
      </c>
      <c r="H527" s="3" t="str">
        <f ca="1">IFERROR(__xludf.DUMMYFUNCTION("googletranslate(E527,""en"",""ja"")"),"生物学的標本中のリンパ球に対する B リンパ球の部分集団の相対的な測定値 (比率またはパーセンテージ)。")</f>
        <v>生物学的標本中のリンパ球に対する B リンパ球の部分集団の相対的な測定値 (比率またはパーセンテージ)。</v>
      </c>
      <c r="I527" s="3" t="str">
        <f ca="1">IFERROR(__xludf.DUMMYFUNCTION("googletranslate(F527,""en"",""ja"")"),"B リンパ球サブ集団対リンパ球比の測定")</f>
        <v>B リンパ球サブ集団対リンパ球比の測定</v>
      </c>
    </row>
    <row r="528" spans="1:9" ht="45">
      <c r="A528" s="3" t="s">
        <v>6</v>
      </c>
      <c r="B528" s="3" t="s">
        <v>2162</v>
      </c>
      <c r="C528" s="3" t="s">
        <v>2163</v>
      </c>
      <c r="D528" s="3" t="s">
        <v>2164</v>
      </c>
      <c r="E528" s="3" t="s">
        <v>2165</v>
      </c>
      <c r="F528" s="3" t="s">
        <v>2166</v>
      </c>
      <c r="G528" s="3" t="str">
        <f ca="1">IFERROR(__xludf.DUMMYFUNCTION("googletranslate(D528,""en"",""ja"")"),"免疫芽細胞/リンパ球;リンパ球、免疫芽球/リンパ球")</f>
        <v>免疫芽細胞/リンパ球;リンパ球、免疫芽球/リンパ球</v>
      </c>
      <c r="H528" s="3" t="str">
        <f ca="1">IFERROR(__xludf.DUMMYFUNCTION("googletranslate(E528,""en"",""ja"")"),"サンプル中に存在するすべてのリンパ球に対する免疫芽球の相対測定値 (比率またはパーセンテージ)。")</f>
        <v>サンプル中に存在するすべてのリンパ球に対する免疫芽球の相対測定値 (比率またはパーセンテージ)。</v>
      </c>
      <c r="I528" s="3" t="str">
        <f ca="1">IFERROR(__xludf.DUMMYFUNCTION("googletranslate(F528,""en"",""ja"")"),"免疫芽細胞とリンパ球の比率の測定")</f>
        <v>免疫芽細胞とリンパ球の比率の測定</v>
      </c>
    </row>
    <row r="529" spans="1:9" ht="45">
      <c r="A529" s="3" t="s">
        <v>6</v>
      </c>
      <c r="B529" s="3" t="s">
        <v>2167</v>
      </c>
      <c r="C529" s="3" t="s">
        <v>2168</v>
      </c>
      <c r="D529" s="3" t="s">
        <v>2168</v>
      </c>
      <c r="E529" s="3" t="s">
        <v>2169</v>
      </c>
      <c r="F529" s="3" t="s">
        <v>2170</v>
      </c>
      <c r="G529" s="3" t="str">
        <f ca="1">IFERROR(__xludf.DUMMYFUNCTION("googletranslate(D529,""en"",""ja"")"),"白血病芽球/リンパ球")</f>
        <v>白血病芽球/リンパ球</v>
      </c>
      <c r="H529" s="3" t="str">
        <f ca="1">IFERROR(__xludf.DUMMYFUNCTION("googletranslate(E529,""en"",""ja"")"),"生物学的標本中の成熟リンパ球に対する白血病芽球 (未熟リンパ芽球および/または骨髄芽球) の相対測定値 (比率またはパーセンテージ)。")</f>
        <v>生物学的標本中の成熟リンパ球に対する白血病芽球 (未熟リンパ芽球および/または骨髄芽球) の相対測定値 (比率またはパーセンテージ)。</v>
      </c>
      <c r="I529" s="3" t="str">
        <f ca="1">IFERROR(__xludf.DUMMYFUNCTION("googletranslate(F529,""en"",""ja"")"),"白血病性芽球とリンパ球の比率の測定")</f>
        <v>白血病性芽球とリンパ球の比率の測定</v>
      </c>
    </row>
    <row r="530" spans="1:9" ht="30">
      <c r="A530" s="3" t="s">
        <v>6</v>
      </c>
      <c r="B530" s="3" t="s">
        <v>2171</v>
      </c>
      <c r="C530" s="3" t="s">
        <v>2172</v>
      </c>
      <c r="D530" s="3" t="s">
        <v>2173</v>
      </c>
      <c r="E530" s="3" t="s">
        <v>2174</v>
      </c>
      <c r="F530" s="3" t="s">
        <v>2175</v>
      </c>
      <c r="G530" s="3" t="str">
        <f ca="1">IFERROR(__xludf.DUMMYFUNCTION("googletranslate(D530,""en"",""ja"")"),"リンパ芽球;リンパ芽球")</f>
        <v>リンパ芽球;リンパ芽球</v>
      </c>
      <c r="H530" s="3" t="str">
        <f ca="1">IFERROR(__xludf.DUMMYFUNCTION("googletranslate(E530,""en"",""ja"")"),"生物学的標本中のリンパ芽球（分化してリンパ球を形成する未熟な細胞）の測定。")</f>
        <v>生物学的標本中のリンパ芽球（分化してリンパ球を形成する未熟な細胞）の測定。</v>
      </c>
      <c r="I530" s="3" t="str">
        <f ca="1">IFERROR(__xludf.DUMMYFUNCTION("googletranslate(F530,""en"",""ja"")"),"リンパ芽球数")</f>
        <v>リンパ芽球数</v>
      </c>
    </row>
    <row r="531" spans="1:9" ht="30">
      <c r="A531" s="3" t="s">
        <v>6</v>
      </c>
      <c r="B531" s="3" t="s">
        <v>2176</v>
      </c>
      <c r="C531" s="3" t="s">
        <v>2177</v>
      </c>
      <c r="D531" s="3" t="s">
        <v>2177</v>
      </c>
      <c r="E531" s="3" t="s">
        <v>2178</v>
      </c>
      <c r="F531" s="3" t="s">
        <v>2179</v>
      </c>
      <c r="G531" s="3" t="str">
        <f ca="1">IFERROR(__xludf.DUMMYFUNCTION("googletranslate(D531,""en"",""ja"")"),"リンパ芽球/白血球")</f>
        <v>リンパ芽球/白血球</v>
      </c>
      <c r="H531" s="3" t="str">
        <f ca="1">IFERROR(__xludf.DUMMYFUNCTION("googletranslate(E531,""en"",""ja"")"),"生物学的標本における白血球に対するリンパ芽球の相対的な測定値 (比率またはパーセンテージ)。")</f>
        <v>生物学的標本における白血球に対するリンパ芽球の相対的な測定値 (比率またはパーセンテージ)。</v>
      </c>
      <c r="I531" s="3" t="str">
        <f ca="1">IFERROR(__xludf.DUMMYFUNCTION("googletranslate(F531,""en"",""ja"")"),"リンパ芽球と白血球の比率の測定")</f>
        <v>リンパ芽球と白血球の比率の測定</v>
      </c>
    </row>
    <row r="532" spans="1:9" ht="30">
      <c r="A532" s="3" t="s">
        <v>6</v>
      </c>
      <c r="B532" s="3" t="s">
        <v>2180</v>
      </c>
      <c r="C532" s="3" t="s">
        <v>2181</v>
      </c>
      <c r="D532" s="3" t="s">
        <v>2181</v>
      </c>
      <c r="E532" s="3" t="s">
        <v>2182</v>
      </c>
      <c r="F532" s="3" t="s">
        <v>2183</v>
      </c>
      <c r="G532" s="3" t="str">
        <f ca="1">IFERROR(__xludf.DUMMYFUNCTION("googletranslate(D532,""en"",""ja"")"),"リンパ芽球/リンパ球")</f>
        <v>リンパ芽球/リンパ球</v>
      </c>
      <c r="H532" s="3" t="str">
        <f ca="1">IFERROR(__xludf.DUMMYFUNCTION("googletranslate(E532,""en"",""ja"")"),"生物学的標本中のリンパ球に対するリンパ芽球の相対的な測定値 (比率またはパーセンテージ)。")</f>
        <v>生物学的標本中のリンパ球に対するリンパ芽球の相対的な測定値 (比率またはパーセンテージ)。</v>
      </c>
      <c r="I532" s="3" t="str">
        <f ca="1">IFERROR(__xludf.DUMMYFUNCTION("googletranslate(F532,""en"",""ja"")"),"リンパ芽球とリンパ球の比率の測定")</f>
        <v>リンパ芽球とリンパ球の比率の測定</v>
      </c>
    </row>
    <row r="533" spans="1:9" ht="45">
      <c r="A533" s="3" t="s">
        <v>6</v>
      </c>
      <c r="B533" s="3" t="s">
        <v>2184</v>
      </c>
      <c r="C533" s="3" t="s">
        <v>2185</v>
      </c>
      <c r="D533" s="3" t="s">
        <v>2185</v>
      </c>
      <c r="E533" s="3" t="s">
        <v>2186</v>
      </c>
      <c r="F533" s="3" t="s">
        <v>2187</v>
      </c>
      <c r="G533" s="3" t="str">
        <f ca="1">IFERROR(__xludf.DUMMYFUNCTION("googletranslate(D533,""en"",""ja"")"),"骨髄芽球/全細胞数")</f>
        <v>骨髄芽球/全細胞数</v>
      </c>
      <c r="H533" s="3" t="str">
        <f ca="1">IFERROR(__xludf.DUMMYFUNCTION("googletranslate(E533,""en"",""ja"")"),"生物学的標本 (骨髄標本など) 内の全細胞に対する骨髄芽球の相対測定値 (比率またはパーセンテージ)。")</f>
        <v>生物学的標本 (骨髄標本など) 内の全細胞に対する骨髄芽球の相対測定値 (比率またはパーセンテージ)。</v>
      </c>
      <c r="I533" s="3" t="str">
        <f ca="1">IFERROR(__xludf.DUMMYFUNCTION("googletranslate(F533,""en"",""ja"")"),"骨髄芽球対総細胞比の測定")</f>
        <v>骨髄芽球対総細胞比の測定</v>
      </c>
    </row>
    <row r="534" spans="1:9" ht="30">
      <c r="A534" s="3" t="s">
        <v>6</v>
      </c>
      <c r="B534" s="3" t="s">
        <v>2188</v>
      </c>
      <c r="C534" s="3" t="s">
        <v>2189</v>
      </c>
      <c r="D534" s="3" t="s">
        <v>2189</v>
      </c>
      <c r="E534" s="3" t="s">
        <v>2190</v>
      </c>
      <c r="F534" s="3" t="s">
        <v>2191</v>
      </c>
      <c r="G534" s="3" t="str">
        <f ca="1">IFERROR(__xludf.DUMMYFUNCTION("googletranslate(D534,""en"",""ja"")"),"巨核芽球")</f>
        <v>巨核芽球</v>
      </c>
      <c r="H534" s="3" t="str">
        <f ca="1">IFERROR(__xludf.DUMMYFUNCTION("googletranslate(E534,""en"",""ja"")"),"生物学的標本中の巨核芽球の測定。")</f>
        <v>生物学的標本中の巨核芽球の測定。</v>
      </c>
      <c r="I534" s="3" t="str">
        <f ca="1">IFERROR(__xludf.DUMMYFUNCTION("googletranslate(F534,""en"",""ja"")"),"巨核芽球細胞数")</f>
        <v>巨核芽球細胞数</v>
      </c>
    </row>
    <row r="535" spans="1:9" ht="45">
      <c r="A535" s="3" t="s">
        <v>6</v>
      </c>
      <c r="B535" s="3" t="s">
        <v>2192</v>
      </c>
      <c r="C535" s="3" t="s">
        <v>2193</v>
      </c>
      <c r="D535" s="3" t="s">
        <v>2193</v>
      </c>
      <c r="E535" s="3" t="s">
        <v>2194</v>
      </c>
      <c r="F535" s="3" t="s">
        <v>2195</v>
      </c>
      <c r="G535" s="3" t="str">
        <f ca="1">IFERROR(__xludf.DUMMYFUNCTION("googletranslate(D535,""en"",""ja"")"),"巨核芽球/全細胞数")</f>
        <v>巨核芽球/全細胞数</v>
      </c>
      <c r="H535" s="3" t="str">
        <f ca="1">IFERROR(__xludf.DUMMYFUNCTION("googletranslate(E535,""en"",""ja"")"),"生物学的標本 (骨髄標本など) 内の全細胞に対する巨核芽球の相対的な測定値 (比率またはパーセンテージ)。")</f>
        <v>生物学的標本 (骨髄標本など) 内の全細胞に対する巨核芽球の相対的な測定値 (比率またはパーセンテージ)。</v>
      </c>
      <c r="I535" s="3" t="str">
        <f ca="1">IFERROR(__xludf.DUMMYFUNCTION("googletranslate(F535,""en"",""ja"")"),"巨核芽球対総細胞比の測定")</f>
        <v>巨核芽球対総細胞比の測定</v>
      </c>
    </row>
    <row r="536" spans="1:9" ht="30">
      <c r="A536" s="3" t="s">
        <v>6</v>
      </c>
      <c r="B536" s="3" t="s">
        <v>2196</v>
      </c>
      <c r="C536" s="3" t="s">
        <v>2197</v>
      </c>
      <c r="D536" s="3" t="s">
        <v>2197</v>
      </c>
      <c r="E536" s="3" t="s">
        <v>2198</v>
      </c>
      <c r="F536" s="3" t="s">
        <v>2199</v>
      </c>
      <c r="G536" s="3" t="str">
        <f ca="1">IFERROR(__xludf.DUMMYFUNCTION("googletranslate(D536,""en"",""ja"")"),"巨核芽球/白血球")</f>
        <v>巨核芽球/白血球</v>
      </c>
      <c r="H536" s="3" t="str">
        <f ca="1">IFERROR(__xludf.DUMMYFUNCTION("googletranslate(E536,""en"",""ja"")"),"生物学的標本中の総白血球に対する巨核芽球の相対測定値 (比率またはパーセンテージ)。")</f>
        <v>生物学的標本中の総白血球に対する巨核芽球の相対測定値 (比率またはパーセンテージ)。</v>
      </c>
      <c r="I536" s="3" t="str">
        <f ca="1">IFERROR(__xludf.DUMMYFUNCTION("googletranslate(F536,""en"",""ja"")"),"巨核芽球と白血球の比率の測定")</f>
        <v>巨核芽球と白血球の比率の測定</v>
      </c>
    </row>
    <row r="537" spans="1:9">
      <c r="A537" s="3" t="s">
        <v>6</v>
      </c>
      <c r="B537" s="3" t="s">
        <v>2200</v>
      </c>
      <c r="C537" s="3" t="s">
        <v>2201</v>
      </c>
      <c r="D537" s="3" t="s">
        <v>2201</v>
      </c>
      <c r="E537" s="3" t="s">
        <v>2202</v>
      </c>
      <c r="F537" s="3" t="s">
        <v>2203</v>
      </c>
      <c r="G537" s="3" t="str">
        <f ca="1">IFERROR(__xludf.DUMMYFUNCTION("googletranslate(D537,""en"",""ja"")"),"正常芽細胞")</f>
        <v>正常芽細胞</v>
      </c>
      <c r="H537" s="3" t="str">
        <f ca="1">IFERROR(__xludf.DUMMYFUNCTION("googletranslate(E537,""en"",""ja"")"),"生物学的標本中の正常芽細胞の測定。")</f>
        <v>生物学的標本中の正常芽細胞の測定。</v>
      </c>
      <c r="I537" s="3" t="str">
        <f ca="1">IFERROR(__xludf.DUMMYFUNCTION("googletranslate(F537,""en"",""ja"")"),"正常芽細胞数")</f>
        <v>正常芽細胞数</v>
      </c>
    </row>
    <row r="538" spans="1:9" ht="45">
      <c r="A538" s="3" t="s">
        <v>6</v>
      </c>
      <c r="B538" s="3" t="s">
        <v>2204</v>
      </c>
      <c r="C538" s="3" t="s">
        <v>2205</v>
      </c>
      <c r="D538" s="3" t="s">
        <v>2205</v>
      </c>
      <c r="E538" s="3" t="s">
        <v>2206</v>
      </c>
      <c r="F538" s="3" t="s">
        <v>2207</v>
      </c>
      <c r="G538" s="3" t="str">
        <f ca="1">IFERROR(__xludf.DUMMYFUNCTION("googletranslate(D538,""en"",""ja"")"),"正常芽細胞/総細胞数")</f>
        <v>正常芽細胞/総細胞数</v>
      </c>
      <c r="H538" s="3" t="str">
        <f ca="1">IFERROR(__xludf.DUMMYFUNCTION("googletranslate(E538,""en"",""ja"")"),"生物学的標本 (骨髄標本など) の全細胞に対する正常芽細胞の相対的な測定値 (比率またはパーセンテージ)。")</f>
        <v>生物学的標本 (骨髄標本など) の全細胞に対する正常芽細胞の相対的な測定値 (比率またはパーセンテージ)。</v>
      </c>
      <c r="I538" s="3" t="str">
        <f ca="1">IFERROR(__xludf.DUMMYFUNCTION("googletranslate(F538,""en"",""ja"")"),"正常芽細胞対総細胞比の測定")</f>
        <v>正常芽細胞対総細胞比の測定</v>
      </c>
    </row>
    <row r="539" spans="1:9" ht="45">
      <c r="A539" s="3" t="s">
        <v>6</v>
      </c>
      <c r="B539" s="3" t="s">
        <v>2208</v>
      </c>
      <c r="C539" s="3" t="s">
        <v>2209</v>
      </c>
      <c r="D539" s="3" t="s">
        <v>2210</v>
      </c>
      <c r="E539" s="3" t="s">
        <v>2211</v>
      </c>
      <c r="F539" s="3" t="s">
        <v>2212</v>
      </c>
      <c r="G539" s="3" t="str">
        <f ca="1">IFERROR(__xludf.DUMMYFUNCTION("googletranslate(D539,""en"",""ja"")"),"前赤芽球/総細胞;前正常芽細胞/全細胞;赤芽細胞/総細胞数")</f>
        <v>前赤芽球/総細胞;前正常芽細胞/全細胞;赤芽細胞/総細胞数</v>
      </c>
      <c r="H539" s="3" t="str">
        <f ca="1">IFERROR(__xludf.DUMMYFUNCTION("googletranslate(E539,""en"",""ja"")"),"生物学的標本 (骨髄標本など) の全細胞に対するルブリ芽細胞の相対測定値 (比率またはパーセンテージ)。")</f>
        <v>生物学的標本 (骨髄標本など) の全細胞に対するルブリ芽細胞の相対測定値 (比率またはパーセンテージ)。</v>
      </c>
      <c r="I539" s="3" t="str">
        <f ca="1">IFERROR(__xludf.DUMMYFUNCTION("googletranslate(F539,""en"",""ja"")"),"前正常芽細胞対総細胞比の測定")</f>
        <v>前正常芽細胞対総細胞比の測定</v>
      </c>
    </row>
    <row r="540" spans="1:9" ht="60">
      <c r="A540" s="3" t="s">
        <v>6</v>
      </c>
      <c r="B540" s="3" t="s">
        <v>2213</v>
      </c>
      <c r="C540" s="3" t="s">
        <v>2214</v>
      </c>
      <c r="D540" s="3" t="s">
        <v>2214</v>
      </c>
      <c r="E540" s="3" t="s">
        <v>2215</v>
      </c>
      <c r="F540" s="3" t="s">
        <v>2216</v>
      </c>
      <c r="G540" s="3" t="str">
        <f ca="1">IFERROR(__xludf.DUMMYFUNCTION("googletranslate(D540,""en"",""ja"")"),"環状鉄芽細胞")</f>
        <v>環状鉄芽細胞</v>
      </c>
      <c r="H540" s="3" t="str">
        <f ca="1">IFERROR(__xludf.DUMMYFUNCTION("googletranslate(E540,""en"",""ja"")"),"生物学的標本中の環状鉄芽球（核周囲のミトコンドリアに多数の鉄が沈着し、核の周囲に環を形成する異常な有核赤芽球）の測定。")</f>
        <v>生物学的標本中の環状鉄芽球（核周囲のミトコンドリアに多数の鉄が沈着し、核の周囲に環を形成する異常な有核赤芽球）の測定。</v>
      </c>
      <c r="I540" s="3" t="str">
        <f ca="1">IFERROR(__xludf.DUMMYFUNCTION("googletranslate(F540,""en"",""ja"")"),"リング鉄芽球測定")</f>
        <v>リング鉄芽球測定</v>
      </c>
    </row>
    <row r="541" spans="1:9" ht="30">
      <c r="A541" s="3" t="s">
        <v>6</v>
      </c>
      <c r="B541" s="3" t="s">
        <v>2217</v>
      </c>
      <c r="C541" s="3" t="s">
        <v>2218</v>
      </c>
      <c r="D541" s="3" t="s">
        <v>2218</v>
      </c>
      <c r="E541" s="3" t="s">
        <v>2219</v>
      </c>
      <c r="F541" s="3" t="s">
        <v>2220</v>
      </c>
      <c r="G541" s="3" t="str">
        <f ca="1">IFERROR(__xludf.DUMMYFUNCTION("googletranslate(D541,""en"",""ja"")"),"鉄芽細胞")</f>
        <v>鉄芽細胞</v>
      </c>
      <c r="H541" s="3" t="str">
        <f ca="1">IFERROR(__xludf.DUMMYFUNCTION("googletranslate(E541,""en"",""ja"")"),"生物学的標本中の鉄芽細胞（細胞質内に鉄顆粒を含む有核赤芽球）の測定。")</f>
        <v>生物学的標本中の鉄芽細胞（細胞質内に鉄顆粒を含む有核赤芽球）の測定。</v>
      </c>
      <c r="I541" s="3" t="str">
        <f ca="1">IFERROR(__xludf.DUMMYFUNCTION("googletranslate(F541,""en"",""ja"")"),"鉄芽細胞の測定")</f>
        <v>鉄芽細胞の測定</v>
      </c>
    </row>
    <row r="542" spans="1:9" ht="45">
      <c r="A542" s="3" t="s">
        <v>103</v>
      </c>
      <c r="B542" s="3" t="s">
        <v>2221</v>
      </c>
      <c r="C542" s="3" t="s">
        <v>2222</v>
      </c>
      <c r="D542" s="3" t="s">
        <v>2223</v>
      </c>
      <c r="E542" s="3" t="s">
        <v>2224</v>
      </c>
      <c r="F542" s="3" t="s">
        <v>2225</v>
      </c>
      <c r="G542" s="3" t="str">
        <f ca="1">IFERROR(__xludf.DUMMYFUNCTION("googletranslate(D542,""en"",""ja"")"),"ATBLym/BLym;異型Bリンパ球/Bリンパ球; BLymアティ/BLym")</f>
        <v>ATBLym/BLym;異型Bリンパ球/Bリンパ球; BLymアティ/BLym</v>
      </c>
      <c r="H542" s="3" t="str">
        <f ca="1">IFERROR(__xludf.DUMMYFUNCTION("googletranslate(E542,""en"",""ja"")"),"生物学的標本中の全 B リンパ球に対する異型 B リンパ球の相対測定値 (比率またはパーセンテージ)。")</f>
        <v>生物学的標本中の全 B リンパ球に対する異型 B リンパ球の相対測定値 (比率またはパーセンテージ)。</v>
      </c>
      <c r="I542" s="3" t="str">
        <f ca="1">IFERROR(__xludf.DUMMYFUNCTION("googletranslate(F542,""en"",""ja"")"),"非定型Bリンパ球対Bリンパ球比の測定")</f>
        <v>非定型Bリンパ球対Bリンパ球比の測定</v>
      </c>
    </row>
    <row r="543" spans="1:9" ht="75">
      <c r="A543" s="3" t="s">
        <v>103</v>
      </c>
      <c r="B543" s="3" t="s">
        <v>2226</v>
      </c>
      <c r="C543" s="3" t="s">
        <v>2227</v>
      </c>
      <c r="D543" s="3" t="s">
        <v>2228</v>
      </c>
      <c r="E543" s="3" t="s">
        <v>2229</v>
      </c>
      <c r="F543" s="3" t="s">
        <v>2230</v>
      </c>
      <c r="G543" s="3" t="str">
        <f ca="1">IFERROR(__xludf.DUMMYFUNCTION("googletranslate(D543,""en"",""ja"")"),"ATBLymサブ/ATBLym;非定型 B リンパ球サブ集団/非定型 B リンパ球; BLym Aty サブ/BLym Aty")</f>
        <v>ATBLymサブ/ATBLym;非定型 B リンパ球サブ集団/非定型 B リンパ球; BLym Aty サブ/BLym Aty</v>
      </c>
      <c r="H543" s="3" t="str">
        <f ca="1">IFERROR(__xludf.DUMMYFUNCTION("googletranslate(E543,""en"",""ja"")"),"生物学的標本中の全異型 B リンパ球に対する、異型 B リンパ球の部分集団の相対測定値 (比率またはパーセンテージ)。")</f>
        <v>生物学的標本中の全異型 B リンパ球に対する、異型 B リンパ球の部分集団の相対測定値 (比率またはパーセンテージ)。</v>
      </c>
      <c r="I543" s="3" t="str">
        <f ca="1">IFERROR(__xludf.DUMMYFUNCTION("googletranslate(F543,""en"",""ja"")"),"非定型 B リンパ球サブ集団と非定型 B リンパ球の比率の測定")</f>
        <v>非定型 B リンパ球サブ集団と非定型 B リンパ球の比率の測定</v>
      </c>
    </row>
    <row r="544" spans="1:9">
      <c r="A544" s="3" t="s">
        <v>103</v>
      </c>
      <c r="B544" s="3" t="s">
        <v>2231</v>
      </c>
      <c r="C544" s="3" t="s">
        <v>2232</v>
      </c>
      <c r="D544" s="3" t="s">
        <v>2233</v>
      </c>
      <c r="E544" s="3" t="s">
        <v>2234</v>
      </c>
      <c r="F544" s="3" t="s">
        <v>2235</v>
      </c>
      <c r="G544" s="3" t="str">
        <f ca="1">IFERROR(__xludf.DUMMYFUNCTION("googletranslate(D544,""en"",""ja"")"),"Bリンパ球B1;ブライムB1")</f>
        <v>Bリンパ球B1;ブライムB1</v>
      </c>
      <c r="H544" s="3" t="str">
        <f ca="1">IFERROR(__xludf.DUMMYFUNCTION("googletranslate(E544,""en"",""ja"")"),"生物学的標本中の B リンパ球 B1 の測定。")</f>
        <v>生物学的標本中の B リンパ球 B1 の測定。</v>
      </c>
      <c r="I544" s="3" t="str">
        <f ca="1">IFERROR(__xludf.DUMMYFUNCTION("googletranslate(F544,""en"",""ja"")"),"Bリンパ球B1数")</f>
        <v>Bリンパ球B1数</v>
      </c>
    </row>
    <row r="545" spans="1:9" ht="30">
      <c r="A545" s="3" t="s">
        <v>103</v>
      </c>
      <c r="B545" s="3" t="s">
        <v>2236</v>
      </c>
      <c r="C545" s="3" t="s">
        <v>2237</v>
      </c>
      <c r="D545" s="3" t="s">
        <v>2238</v>
      </c>
      <c r="E545" s="3" t="s">
        <v>2239</v>
      </c>
      <c r="F545" s="3" t="s">
        <v>2240</v>
      </c>
      <c r="G545" s="3" t="str">
        <f ca="1">IFERROR(__xludf.DUMMYFUNCTION("googletranslate(D545,""en"",""ja"")"),"Bリンパ球B1a; BLym B1a")</f>
        <v>Bリンパ球B1a; BLym B1a</v>
      </c>
      <c r="H545" s="3" t="str">
        <f ca="1">IFERROR(__xludf.DUMMYFUNCTION("googletranslate(E545,""en"",""ja"")"),"生物学的標本中の B1a B リンパ球の測定。")</f>
        <v>生物学的標本中の B1a B リンパ球の測定。</v>
      </c>
      <c r="I545" s="3" t="str">
        <f ca="1">IFERROR(__xludf.DUMMYFUNCTION("googletranslate(F545,""en"",""ja"")"),"Bリンパ球B1a数")</f>
        <v>Bリンパ球B1a数</v>
      </c>
    </row>
    <row r="546" spans="1:9" ht="30">
      <c r="A546" s="3" t="s">
        <v>103</v>
      </c>
      <c r="B546" s="3" t="s">
        <v>2241</v>
      </c>
      <c r="C546" s="3" t="s">
        <v>2242</v>
      </c>
      <c r="D546" s="3" t="s">
        <v>2243</v>
      </c>
      <c r="E546" s="3" t="s">
        <v>2244</v>
      </c>
      <c r="F546" s="3" t="s">
        <v>2245</v>
      </c>
      <c r="G546" s="3" t="str">
        <f ca="1">IFERROR(__xludf.DUMMYFUNCTION("googletranslate(D546,""en"",""ja"")"),"Bリンパ球B1b; BLym B1b")</f>
        <v>Bリンパ球B1b; BLym B1b</v>
      </c>
      <c r="H546" s="3" t="str">
        <f ca="1">IFERROR(__xludf.DUMMYFUNCTION("googletranslate(E546,""en"",""ja"")"),"生物学的標本中の B1b B リンパ球の測定。")</f>
        <v>生物学的標本中の B1b B リンパ球の測定。</v>
      </c>
      <c r="I546" s="3" t="str">
        <f ca="1">IFERROR(__xludf.DUMMYFUNCTION("googletranslate(F546,""en"",""ja"")"),"B リンパ球 B1b 数")</f>
        <v>B リンパ球 B1b 数</v>
      </c>
    </row>
    <row r="547" spans="1:9" ht="30">
      <c r="A547" s="3" t="s">
        <v>103</v>
      </c>
      <c r="B547" s="3" t="s">
        <v>2246</v>
      </c>
      <c r="C547" s="3" t="s">
        <v>2247</v>
      </c>
      <c r="D547" s="3" t="s">
        <v>2248</v>
      </c>
      <c r="E547" s="3" t="s">
        <v>2249</v>
      </c>
      <c r="F547" s="3" t="s">
        <v>2250</v>
      </c>
      <c r="G547" s="3" t="str">
        <f ca="1">IFERROR(__xludf.DUMMYFUNCTION("googletranslate(D547,""en"",""ja"")"),"B リンパ球 B1 サブ集団。 BLym B1 サブ")</f>
        <v>B リンパ球 B1 サブ集団。 BLym B1 サブ</v>
      </c>
      <c r="H547" s="3" t="str">
        <f ca="1">IFERROR(__xludf.DUMMYFUNCTION("googletranslate(E547,""en"",""ja"")"),"生物学的標本中の B リンパ球 B1 の部分集団の測定。")</f>
        <v>生物学的標本中の B リンパ球 B1 の部分集団の測定。</v>
      </c>
      <c r="I547" s="3" t="str">
        <f ca="1">IFERROR(__xludf.DUMMYFUNCTION("googletranslate(F547,""en"",""ja"")"),"B リンパ球 B1 部分集団の数")</f>
        <v>B リンパ球 B1 部分集団の数</v>
      </c>
    </row>
    <row r="548" spans="1:9" ht="30">
      <c r="A548" s="3" t="s">
        <v>103</v>
      </c>
      <c r="B548" s="3" t="s">
        <v>2251</v>
      </c>
      <c r="C548" s="3" t="s">
        <v>2252</v>
      </c>
      <c r="D548" s="3" t="s">
        <v>2253</v>
      </c>
      <c r="E548" s="3" t="s">
        <v>2254</v>
      </c>
      <c r="F548" s="3" t="s">
        <v>2255</v>
      </c>
      <c r="G548" s="3" t="str">
        <f ca="1">IFERROR(__xludf.DUMMYFUNCTION("googletranslate(D548,""en"",""ja"")"),"B リンパ球 B1 移行性。 BLym B1 トランス")</f>
        <v>B リンパ球 B1 移行性。 BLym B1 トランス</v>
      </c>
      <c r="H548" s="3" t="str">
        <f ca="1">IFERROR(__xludf.DUMMYFUNCTION("googletranslate(E548,""en"",""ja"")"),"生物学的標本中の移行期 B1 B リンパ球の測定。")</f>
        <v>生物学的標本中の移行期 B1 B リンパ球の測定。</v>
      </c>
      <c r="I548" s="3" t="str">
        <f ca="1">IFERROR(__xludf.DUMMYFUNCTION("googletranslate(F548,""en"",""ja"")"),"移行期Bリンパ球B1数")</f>
        <v>移行期Bリンパ球B1数</v>
      </c>
    </row>
    <row r="549" spans="1:9" ht="30">
      <c r="A549" s="3" t="s">
        <v>103</v>
      </c>
      <c r="B549" s="3" t="s">
        <v>2256</v>
      </c>
      <c r="C549" s="3" t="s">
        <v>2257</v>
      </c>
      <c r="D549" s="3" t="s">
        <v>2258</v>
      </c>
      <c r="E549" s="3" t="s">
        <v>2259</v>
      </c>
      <c r="F549" s="3" t="s">
        <v>2260</v>
      </c>
      <c r="G549" s="3" t="str">
        <f ca="1">IFERROR(__xludf.DUMMYFUNCTION("googletranslate(D549,""en"",""ja"")"),"B リンパ球 B2 未熟; BLym B2 イマット")</f>
        <v>B リンパ球 B2 未熟; BLym B2 イマット</v>
      </c>
      <c r="H549" s="3" t="str">
        <f ca="1">IFERROR(__xludf.DUMMYFUNCTION("googletranslate(E549,""en"",""ja"")"),"生物学的標本中の未熟な B2 B リンパ球の測定。")</f>
        <v>生物学的標本中の未熟な B2 B リンパ球の測定。</v>
      </c>
      <c r="I549" s="3" t="str">
        <f ca="1">IFERROR(__xludf.DUMMYFUNCTION("googletranslate(F549,""en"",""ja"")"),"未熟Bリンパ球B2数")</f>
        <v>未熟Bリンパ球B2数</v>
      </c>
    </row>
    <row r="550" spans="1:9" ht="30">
      <c r="A550" s="3" t="s">
        <v>103</v>
      </c>
      <c r="B550" s="3" t="s">
        <v>2261</v>
      </c>
      <c r="C550" s="3" t="s">
        <v>2262</v>
      </c>
      <c r="D550" s="3" t="s">
        <v>2263</v>
      </c>
      <c r="E550" s="3" t="s">
        <v>2264</v>
      </c>
      <c r="F550" s="3" t="s">
        <v>2265</v>
      </c>
      <c r="G550" s="3" t="str">
        <f ca="1">IFERROR(__xludf.DUMMYFUNCTION("googletranslate(D550,""en"",""ja"")"),"B リンパ球 B2 成熟; BLym B2マット")</f>
        <v>B リンパ球 B2 成熟; BLym B2マット</v>
      </c>
      <c r="H550" s="3" t="str">
        <f ca="1">IFERROR(__xludf.DUMMYFUNCTION("googletranslate(E550,""en"",""ja"")"),"生物学的標本中の成熟 B2 B リンパ球の測定。")</f>
        <v>生物学的標本中の成熟 B2 B リンパ球の測定。</v>
      </c>
      <c r="I550" s="3" t="str">
        <f ca="1">IFERROR(__xludf.DUMMYFUNCTION("googletranslate(F550,""en"",""ja"")"),"成熟Bリンパ球B2数")</f>
        <v>成熟Bリンパ球B2数</v>
      </c>
    </row>
    <row r="551" spans="1:9" ht="30">
      <c r="A551" s="3" t="s">
        <v>103</v>
      </c>
      <c r="B551" s="3" t="s">
        <v>2266</v>
      </c>
      <c r="C551" s="3" t="s">
        <v>2267</v>
      </c>
      <c r="D551" s="3" t="s">
        <v>2268</v>
      </c>
      <c r="E551" s="3" t="s">
        <v>2269</v>
      </c>
      <c r="F551" s="3" t="s">
        <v>2270</v>
      </c>
      <c r="G551" s="3" t="str">
        <f ca="1">IFERROR(__xludf.DUMMYFUNCTION("googletranslate(D551,""en"",""ja"")"),"B リンパ球 B2 移行期。 BLym B2 トランス")</f>
        <v>B リンパ球 B2 移行期。 BLym B2 トランス</v>
      </c>
      <c r="H551" s="3" t="str">
        <f ca="1">IFERROR(__xludf.DUMMYFUNCTION("googletranslate(E551,""en"",""ja"")"),"生物学的標本中の移行期 B2 B リンパ球の測定。")</f>
        <v>生物学的標本中の移行期 B2 B リンパ球の測定。</v>
      </c>
      <c r="I551" s="3" t="str">
        <f ca="1">IFERROR(__xludf.DUMMYFUNCTION("googletranslate(F551,""en"",""ja"")"),"移行期Bリンパ球B2数")</f>
        <v>移行期Bリンパ球B2数</v>
      </c>
    </row>
    <row r="552" spans="1:9" ht="30">
      <c r="A552" s="3" t="s">
        <v>103</v>
      </c>
      <c r="B552" s="3" t="s">
        <v>2271</v>
      </c>
      <c r="C552" s="3" t="s">
        <v>2272</v>
      </c>
      <c r="D552" s="3" t="s">
        <v>2273</v>
      </c>
      <c r="E552" s="3" t="s">
        <v>2274</v>
      </c>
      <c r="F552" s="3" t="s">
        <v>2275</v>
      </c>
      <c r="G552" s="3" t="str">
        <f ca="1">IFERROR(__xludf.DUMMYFUNCTION("googletranslate(D552,""en"",""ja"")"),"B細胞; B細胞リンパ球; B細胞; Bリンパ球")</f>
        <v>B細胞; B細胞リンパ球; B細胞; Bリンパ球</v>
      </c>
      <c r="H552" s="3" t="str">
        <f ca="1">IFERROR(__xludf.DUMMYFUNCTION("googletranslate(E552,""en"",""ja"")"),"生物学的標本中の B リンパ球の測定。")</f>
        <v>生物学的標本中の B リンパ球の測定。</v>
      </c>
      <c r="I552" s="3" t="str">
        <f ca="1">IFERROR(__xludf.DUMMYFUNCTION("googletranslate(F552,""en"",""ja"")"),"Bリンパ球数")</f>
        <v>Bリンパ球数</v>
      </c>
    </row>
    <row r="553" spans="1:9" ht="30">
      <c r="A553" s="3" t="s">
        <v>6</v>
      </c>
      <c r="B553" s="3" t="s">
        <v>2271</v>
      </c>
      <c r="C553" s="3" t="s">
        <v>2272</v>
      </c>
      <c r="D553" s="3" t="s">
        <v>2273</v>
      </c>
      <c r="E553" s="3" t="s">
        <v>2274</v>
      </c>
      <c r="F553" s="3" t="s">
        <v>2275</v>
      </c>
      <c r="G553" s="3" t="str">
        <f ca="1">IFERROR(__xludf.DUMMYFUNCTION("googletranslate(D553,""en"",""ja"")"),"B細胞; B細胞リンパ球; B細胞; Bリンパ球")</f>
        <v>B細胞; B細胞リンパ球; B細胞; Bリンパ球</v>
      </c>
      <c r="H553" s="3" t="str">
        <f ca="1">IFERROR(__xludf.DUMMYFUNCTION("googletranslate(E553,""en"",""ja"")"),"生物学的標本中の B リンパ球の測定。")</f>
        <v>生物学的標本中の B リンパ球の測定。</v>
      </c>
      <c r="I553" s="3" t="str">
        <f ca="1">IFERROR(__xludf.DUMMYFUNCTION("googletranslate(F553,""en"",""ja"")"),"Bリンパ球数")</f>
        <v>Bリンパ球数</v>
      </c>
    </row>
    <row r="554" spans="1:9" ht="30">
      <c r="A554" s="3" t="s">
        <v>6</v>
      </c>
      <c r="B554" s="3" t="s">
        <v>2276</v>
      </c>
      <c r="C554" s="3" t="s">
        <v>2277</v>
      </c>
      <c r="D554" s="3" t="s">
        <v>2277</v>
      </c>
      <c r="E554" s="3" t="s">
        <v>2278</v>
      </c>
      <c r="F554" s="3" t="s">
        <v>2279</v>
      </c>
      <c r="G554" s="3" t="str">
        <f ca="1">IFERROR(__xludf.DUMMYFUNCTION("googletranslate(D554,""en"",""ja"")"),"Bリンパ球/総細胞数")</f>
        <v>Bリンパ球/総細胞数</v>
      </c>
      <c r="H554" s="3" t="str">
        <f ca="1">IFERROR(__xludf.DUMMYFUNCTION("googletranslate(E554,""en"",""ja"")"),"生物学的標本の全細胞に対する B リンパ球の相対的な測定値 (比率またはパーセンテージ)。")</f>
        <v>生物学的標本の全細胞に対する B リンパ球の相対的な測定値 (比率またはパーセンテージ)。</v>
      </c>
      <c r="I554" s="3" t="str">
        <f ca="1">IFERROR(__xludf.DUMMYFUNCTION("googletranslate(F554,""en"",""ja"")"),"Bリンパ球対全細胞比の測定")</f>
        <v>Bリンパ球対全細胞比の測定</v>
      </c>
    </row>
    <row r="555" spans="1:9" ht="30">
      <c r="A555" s="3" t="s">
        <v>103</v>
      </c>
      <c r="B555" s="3" t="s">
        <v>2276</v>
      </c>
      <c r="C555" s="3" t="s">
        <v>2277</v>
      </c>
      <c r="D555" s="3" t="s">
        <v>2277</v>
      </c>
      <c r="E555" s="3" t="s">
        <v>2278</v>
      </c>
      <c r="F555" s="3" t="s">
        <v>2279</v>
      </c>
      <c r="G555" s="3" t="str">
        <f ca="1">IFERROR(__xludf.DUMMYFUNCTION("googletranslate(D555,""en"",""ja"")"),"Bリンパ球/総細胞数")</f>
        <v>Bリンパ球/総細胞数</v>
      </c>
      <c r="H555" s="3" t="str">
        <f ca="1">IFERROR(__xludf.DUMMYFUNCTION("googletranslate(E555,""en"",""ja"")"),"生物学的標本の全細胞に対する B リンパ球の相対的な測定値 (比率またはパーセンテージ)。")</f>
        <v>生物学的標本の全細胞に対する B リンパ球の相対的な測定値 (比率またはパーセンテージ)。</v>
      </c>
      <c r="I555" s="3" t="str">
        <f ca="1">IFERROR(__xludf.DUMMYFUNCTION("googletranslate(F555,""en"",""ja"")"),"Bリンパ球対全細胞比の測定")</f>
        <v>Bリンパ球対全細胞比の測定</v>
      </c>
    </row>
    <row r="556" spans="1:9" ht="45">
      <c r="A556" s="3" t="s">
        <v>6</v>
      </c>
      <c r="B556" s="3" t="s">
        <v>2280</v>
      </c>
      <c r="C556" s="3" t="s">
        <v>2281</v>
      </c>
      <c r="D556" s="3" t="s">
        <v>2282</v>
      </c>
      <c r="E556" s="3" t="s">
        <v>2283</v>
      </c>
      <c r="F556" s="3" t="s">
        <v>2284</v>
      </c>
      <c r="G556" s="3" t="str">
        <f ca="1">IFERROR(__xludf.DUMMYFUNCTION("googletranslate(D556,""en"",""ja"")"),"B細胞/白血球; Bリンパ球/白血球;ブライム/レウク")</f>
        <v>B細胞/白血球; Bリンパ球/白血球;ブライム/レウク</v>
      </c>
      <c r="H556" s="3" t="str">
        <f ca="1">IFERROR(__xludf.DUMMYFUNCTION("googletranslate(E556,""en"",""ja"")"),"生物学的標本における白血球に対する B リンパ球の相対的な測定値 (比率またはパーセンテージ)。")</f>
        <v>生物学的標本における白血球に対する B リンパ球の相対的な測定値 (比率またはパーセンテージ)。</v>
      </c>
      <c r="I556" s="3" t="str">
        <f ca="1">IFERROR(__xludf.DUMMYFUNCTION("googletranslate(F556,""en"",""ja"")"),"Bリンパ球と白血球の比率の測定")</f>
        <v>Bリンパ球と白血球の比率の測定</v>
      </c>
    </row>
    <row r="557" spans="1:9" ht="45">
      <c r="A557" s="3" t="s">
        <v>103</v>
      </c>
      <c r="B557" s="3" t="s">
        <v>2280</v>
      </c>
      <c r="C557" s="3" t="s">
        <v>2285</v>
      </c>
      <c r="D557" s="3" t="s">
        <v>2282</v>
      </c>
      <c r="E557" s="3" t="s">
        <v>2283</v>
      </c>
      <c r="F557" s="3" t="s">
        <v>2284</v>
      </c>
      <c r="G557" s="3" t="str">
        <f ca="1">IFERROR(__xludf.DUMMYFUNCTION("googletranslate(D557,""en"",""ja"")"),"B細胞/白血球; Bリンパ球/白血球;ブライム/レウク")</f>
        <v>B細胞/白血球; Bリンパ球/白血球;ブライム/レウク</v>
      </c>
      <c r="H557" s="3" t="str">
        <f ca="1">IFERROR(__xludf.DUMMYFUNCTION("googletranslate(E557,""en"",""ja"")"),"生物学的標本における白血球に対する B リンパ球の相対的な測定値 (比率またはパーセンテージ)。")</f>
        <v>生物学的標本における白血球に対する B リンパ球の相対的な測定値 (比率またはパーセンテージ)。</v>
      </c>
      <c r="I557" s="3" t="str">
        <f ca="1">IFERROR(__xludf.DUMMYFUNCTION("googletranslate(F557,""en"",""ja"")"),"Bリンパ球と白血球の比率の測定")</f>
        <v>Bリンパ球と白血球の比率の測定</v>
      </c>
    </row>
    <row r="558" spans="1:9" ht="30">
      <c r="A558" s="3" t="s">
        <v>103</v>
      </c>
      <c r="B558" s="3" t="s">
        <v>2286</v>
      </c>
      <c r="C558" s="3" t="s">
        <v>2287</v>
      </c>
      <c r="D558" s="3" t="s">
        <v>2287</v>
      </c>
      <c r="E558" s="3" t="s">
        <v>2288</v>
      </c>
      <c r="F558" s="3" t="s">
        <v>2289</v>
      </c>
      <c r="G558" s="3" t="str">
        <f ca="1">IFERROR(__xludf.DUMMYFUNCTION("googletranslate(D558,""en"",""ja"")"),"Bリンパ球/リンパ球")</f>
        <v>Bリンパ球/リンパ球</v>
      </c>
      <c r="H558" s="3" t="str">
        <f ca="1">IFERROR(__xludf.DUMMYFUNCTION("googletranslate(E558,""en"",""ja"")"),"生物学的標本中の全リンパ球に対する B リンパ球の相対測定値 (比率またはパーセンテージ)。")</f>
        <v>生物学的標本中の全リンパ球に対する B リンパ球の相対測定値 (比率またはパーセンテージ)。</v>
      </c>
      <c r="I558" s="3" t="str">
        <f ca="1">IFERROR(__xludf.DUMMYFUNCTION("googletranslate(F558,""en"",""ja"")"),"Bリンパ球対リンパ球比の測定")</f>
        <v>Bリンパ球対リンパ球比の測定</v>
      </c>
    </row>
    <row r="559" spans="1:9" ht="30">
      <c r="A559" s="3" t="s">
        <v>6</v>
      </c>
      <c r="B559" s="3" t="s">
        <v>2286</v>
      </c>
      <c r="C559" s="3" t="s">
        <v>2287</v>
      </c>
      <c r="D559" s="3" t="s">
        <v>2287</v>
      </c>
      <c r="E559" s="3" t="s">
        <v>2288</v>
      </c>
      <c r="F559" s="3" t="s">
        <v>2289</v>
      </c>
      <c r="G559" s="3" t="str">
        <f ca="1">IFERROR(__xludf.DUMMYFUNCTION("googletranslate(D559,""en"",""ja"")"),"Bリンパ球/リンパ球")</f>
        <v>Bリンパ球/リンパ球</v>
      </c>
      <c r="H559" s="3" t="str">
        <f ca="1">IFERROR(__xludf.DUMMYFUNCTION("googletranslate(E559,""en"",""ja"")"),"生物学的標本中の全リンパ球に対する B リンパ球の相対測定値 (比率またはパーセンテージ)。")</f>
        <v>生物学的標本中の全リンパ球に対する B リンパ球の相対測定値 (比率またはパーセンテージ)。</v>
      </c>
      <c r="I559" s="3" t="str">
        <f ca="1">IFERROR(__xludf.DUMMYFUNCTION("googletranslate(F559,""en"",""ja"")"),"Bリンパ球対リンパ球比の測定")</f>
        <v>Bリンパ球対リンパ球比の測定</v>
      </c>
    </row>
    <row r="560" spans="1:9" ht="30">
      <c r="A560" s="3" t="s">
        <v>103</v>
      </c>
      <c r="B560" s="3" t="s">
        <v>2290</v>
      </c>
      <c r="C560" s="3" t="s">
        <v>2291</v>
      </c>
      <c r="D560" s="3" t="s">
        <v>2292</v>
      </c>
      <c r="E560" s="3" t="s">
        <v>2293</v>
      </c>
      <c r="F560" s="3" t="s">
        <v>2294</v>
      </c>
      <c r="G560" s="3" t="str">
        <f ca="1">IFERROR(__xludf.DUMMYFUNCTION("googletranslate(D560,""en"",""ja"")"),"Bリンパ球エフェクター;ブライム・エフ")</f>
        <v>Bリンパ球エフェクター;ブライム・エフ</v>
      </c>
      <c r="H560" s="3" t="str">
        <f ca="1">IFERROR(__xludf.DUMMYFUNCTION("googletranslate(E560,""en"",""ja"")"),"生物学的標本中のエフェクター B リンパ球の測定。")</f>
        <v>生物学的標本中のエフェクター B リンパ球の測定。</v>
      </c>
      <c r="I560" s="3" t="str">
        <f ca="1">IFERROR(__xludf.DUMMYFUNCTION("googletranslate(F560,""en"",""ja"")"),"エフェクターBリンパ球数")</f>
        <v>エフェクターBリンパ球数</v>
      </c>
    </row>
    <row r="561" spans="1:9" ht="30">
      <c r="A561" s="3" t="s">
        <v>103</v>
      </c>
      <c r="B561" s="3" t="s">
        <v>2295</v>
      </c>
      <c r="C561" s="3" t="s">
        <v>2296</v>
      </c>
      <c r="D561" s="3" t="s">
        <v>2297</v>
      </c>
      <c r="E561" s="3" t="s">
        <v>2298</v>
      </c>
      <c r="F561" s="3" t="s">
        <v>2299</v>
      </c>
      <c r="G561" s="3" t="str">
        <f ca="1">IFERROR(__xludf.DUMMYFUNCTION("googletranslate(D561,""en"",""ja"")"),"B リンパ球エフェクター 1; BLym エフ 1")</f>
        <v>B リンパ球エフェクター 1; BLym エフ 1</v>
      </c>
      <c r="H561" s="3" t="str">
        <f ca="1">IFERROR(__xludf.DUMMYFUNCTION("googletranslate(E561,""en"",""ja"")"),"生物学的標本中のエフェクター 1 B リンパ球の測定。")</f>
        <v>生物学的標本中のエフェクター 1 B リンパ球の測定。</v>
      </c>
      <c r="I561" s="3" t="str">
        <f ca="1">IFERROR(__xludf.DUMMYFUNCTION("googletranslate(F561,""en"",""ja"")"),"エフェクター 1 B リンパ球数")</f>
        <v>エフェクター 1 B リンパ球数</v>
      </c>
    </row>
    <row r="562" spans="1:9" ht="30">
      <c r="A562" s="3" t="s">
        <v>103</v>
      </c>
      <c r="B562" s="3" t="s">
        <v>2300</v>
      </c>
      <c r="C562" s="3" t="s">
        <v>2301</v>
      </c>
      <c r="D562" s="3" t="s">
        <v>2302</v>
      </c>
      <c r="E562" s="3" t="s">
        <v>2303</v>
      </c>
      <c r="F562" s="3" t="s">
        <v>2304</v>
      </c>
      <c r="G562" s="3" t="str">
        <f ca="1">IFERROR(__xludf.DUMMYFUNCTION("googletranslate(D562,""en"",""ja"")"),"B リンパ球エフェクター 1 サブ集団。 BLym Eff 1 サブ")</f>
        <v>B リンパ球エフェクター 1 サブ集団。 BLym Eff 1 サブ</v>
      </c>
      <c r="H562" s="3" t="str">
        <f ca="1">IFERROR(__xludf.DUMMYFUNCTION("googletranslate(E562,""en"",""ja"")"),"生物学的標本中のエフェクター 1 B リンパ球の部分集団の測定。")</f>
        <v>生物学的標本中のエフェクター 1 B リンパ球の部分集団の測定。</v>
      </c>
      <c r="I562" s="3" t="str">
        <f ca="1">IFERROR(__xludf.DUMMYFUNCTION("googletranslate(F562,""en"",""ja"")"),"エフェクター 1 B リンパ球部分集団数")</f>
        <v>エフェクター 1 B リンパ球部分集団数</v>
      </c>
    </row>
    <row r="563" spans="1:9" ht="30">
      <c r="A563" s="3" t="s">
        <v>103</v>
      </c>
      <c r="B563" s="3" t="s">
        <v>2305</v>
      </c>
      <c r="C563" s="3" t="s">
        <v>2306</v>
      </c>
      <c r="D563" s="3" t="s">
        <v>2307</v>
      </c>
      <c r="E563" s="3" t="s">
        <v>2308</v>
      </c>
      <c r="F563" s="3" t="s">
        <v>2309</v>
      </c>
      <c r="G563" s="3" t="str">
        <f ca="1">IFERROR(__xludf.DUMMYFUNCTION("googletranslate(D563,""en"",""ja"")"),"Bリンパ球エフェクター2; BLym エフ 2")</f>
        <v>Bリンパ球エフェクター2; BLym エフ 2</v>
      </c>
      <c r="H563" s="3" t="str">
        <f ca="1">IFERROR(__xludf.DUMMYFUNCTION("googletranslate(E563,""en"",""ja"")"),"生物学的標本中のエフェクター 2 B リンパ球の測定。")</f>
        <v>生物学的標本中のエフェクター 2 B リンパ球の測定。</v>
      </c>
      <c r="I563" s="3" t="str">
        <f ca="1">IFERROR(__xludf.DUMMYFUNCTION("googletranslate(F563,""en"",""ja"")"),"エフェクター 2 B リンパ球数")</f>
        <v>エフェクター 2 B リンパ球数</v>
      </c>
    </row>
    <row r="564" spans="1:9" ht="30">
      <c r="A564" s="3" t="s">
        <v>103</v>
      </c>
      <c r="B564" s="3" t="s">
        <v>2310</v>
      </c>
      <c r="C564" s="3" t="s">
        <v>2311</v>
      </c>
      <c r="D564" s="3" t="s">
        <v>2312</v>
      </c>
      <c r="E564" s="3" t="s">
        <v>2313</v>
      </c>
      <c r="F564" s="3" t="s">
        <v>2314</v>
      </c>
      <c r="G564" s="3" t="str">
        <f ca="1">IFERROR(__xludf.DUMMYFUNCTION("googletranslate(D564,""en"",""ja"")"),"B リンパ球エフェクター 2 サブ集団。 BLym Eff 2 サブ")</f>
        <v>B リンパ球エフェクター 2 サブ集団。 BLym Eff 2 サブ</v>
      </c>
      <c r="H564" s="3" t="str">
        <f ca="1">IFERROR(__xludf.DUMMYFUNCTION("googletranslate(E564,""en"",""ja"")"),"生物学的標本中のエフェクター 2 B リンパ球の部分集団の測定。")</f>
        <v>生物学的標本中のエフェクター 2 B リンパ球の部分集団の測定。</v>
      </c>
      <c r="I564" s="3" t="str">
        <f ca="1">IFERROR(__xludf.DUMMYFUNCTION("googletranslate(F564,""en"",""ja"")"),"エフェクター 2 B リンパ球部分集団数")</f>
        <v>エフェクター 2 B リンパ球部分集団数</v>
      </c>
    </row>
    <row r="565" spans="1:9" ht="30">
      <c r="A565" s="3" t="s">
        <v>103</v>
      </c>
      <c r="B565" s="3" t="s">
        <v>2315</v>
      </c>
      <c r="C565" s="3" t="s">
        <v>2316</v>
      </c>
      <c r="D565" s="3" t="s">
        <v>2317</v>
      </c>
      <c r="E565" s="3" t="s">
        <v>2318</v>
      </c>
      <c r="F565" s="3" t="s">
        <v>2319</v>
      </c>
      <c r="G565" s="3" t="str">
        <f ca="1">IFERROR(__xludf.DUMMYFUNCTION("googletranslate(D565,""en"",""ja"")"),"B リンパ球エフェクター亜集団; BLym Eff サブ")</f>
        <v>B リンパ球エフェクター亜集団; BLym Eff サブ</v>
      </c>
      <c r="H565" s="3" t="str">
        <f ca="1">IFERROR(__xludf.DUMMYFUNCTION("googletranslate(E565,""en"",""ja"")"),"生物学的標本中のエフェクター B リンパ球の部分集団の測定。")</f>
        <v>生物学的標本中のエフェクター B リンパ球の部分集団の測定。</v>
      </c>
      <c r="I565" s="3" t="str">
        <f ca="1">IFERROR(__xludf.DUMMYFUNCTION("googletranslate(F565,""en"",""ja"")"),"エフェクター B リンパ球部分集団数")</f>
        <v>エフェクター B リンパ球部分集団数</v>
      </c>
    </row>
    <row r="566" spans="1:9" ht="30">
      <c r="A566" s="3" t="s">
        <v>103</v>
      </c>
      <c r="B566" s="3" t="s">
        <v>2320</v>
      </c>
      <c r="C566" s="3" t="s">
        <v>2321</v>
      </c>
      <c r="D566" s="3" t="s">
        <v>2322</v>
      </c>
      <c r="E566" s="3" t="s">
        <v>2323</v>
      </c>
      <c r="F566" s="3" t="s">
        <v>2324</v>
      </c>
      <c r="G566" s="3" t="str">
        <f ca="1">IFERROR(__xludf.DUMMYFUNCTION("googletranslate(D566,""en"",""ja"")"),"Bリンパ球濾胞性;ブリムフォル")</f>
        <v>Bリンパ球濾胞性;ブリムフォル</v>
      </c>
      <c r="H566" s="3" t="str">
        <f ca="1">IFERROR(__xludf.DUMMYFUNCTION("googletranslate(E566,""en"",""ja"")"),"生物学的標本中の濾胞性 B リンパ球の測定。")</f>
        <v>生物学的標本中の濾胞性 B リンパ球の測定。</v>
      </c>
      <c r="I566" s="3" t="str">
        <f ca="1">IFERROR(__xludf.DUMMYFUNCTION("googletranslate(F566,""en"",""ja"")"),"濾胞性Bリンパ球数")</f>
        <v>濾胞性Bリンパ球数</v>
      </c>
    </row>
    <row r="567" spans="1:9" ht="30">
      <c r="A567" s="3" t="s">
        <v>103</v>
      </c>
      <c r="B567" s="3" t="s">
        <v>2325</v>
      </c>
      <c r="C567" s="3" t="s">
        <v>2326</v>
      </c>
      <c r="D567" s="3" t="s">
        <v>2327</v>
      </c>
      <c r="E567" s="3" t="s">
        <v>2328</v>
      </c>
      <c r="F567" s="3" t="s">
        <v>2329</v>
      </c>
      <c r="G567" s="3" t="str">
        <f ca="1">IFERROR(__xludf.DUMMYFUNCTION("googletranslate(D567,""en"",""ja"")"),"Bリンパ球濾胞部分集団; BLym フォルサブ")</f>
        <v>Bリンパ球濾胞部分集団; BLym フォルサブ</v>
      </c>
      <c r="H567" s="3" t="str">
        <f ca="1">IFERROR(__xludf.DUMMYFUNCTION("googletranslate(E567,""en"",""ja"")"),"生物学的標本中の濾胞性 B リンパ球の部分集団の測定。")</f>
        <v>生物学的標本中の濾胞性 B リンパ球の部分集団の測定。</v>
      </c>
      <c r="I567" s="3" t="str">
        <f ca="1">IFERROR(__xludf.DUMMYFUNCTION("googletranslate(F567,""en"",""ja"")"),"濾胞性Bリンパ球部分集団数")</f>
        <v>濾胞性Bリンパ球部分集団数</v>
      </c>
    </row>
    <row r="568" spans="1:9" ht="30">
      <c r="A568" s="3" t="s">
        <v>103</v>
      </c>
      <c r="B568" s="3" t="s">
        <v>2330</v>
      </c>
      <c r="C568" s="3" t="s">
        <v>2331</v>
      </c>
      <c r="D568" s="3" t="s">
        <v>2332</v>
      </c>
      <c r="E568" s="3" t="s">
        <v>2333</v>
      </c>
      <c r="F568" s="3" t="s">
        <v>2334</v>
      </c>
      <c r="G568" s="3" t="str">
        <f ca="1">IFERROR(__xludf.DUMMYFUNCTION("googletranslate(D568,""en"",""ja"")"),"Bリンパ球胚センター; BLym生殖センター")</f>
        <v>Bリンパ球胚センター; BLym生殖センター</v>
      </c>
      <c r="H568" s="3" t="str">
        <f ca="1">IFERROR(__xludf.DUMMYFUNCTION("googletranslate(E568,""en"",""ja"")"),"生物学的標本中の胚中心 B リンパ球の測定。")</f>
        <v>生物学的標本中の胚中心 B リンパ球の測定。</v>
      </c>
      <c r="I568" s="3" t="str">
        <f ca="1">IFERROR(__xludf.DUMMYFUNCTION("googletranslate(F568,""en"",""ja"")"),"胚中心Bリンパ球数")</f>
        <v>胚中心Bリンパ球数</v>
      </c>
    </row>
    <row r="569" spans="1:9" ht="30">
      <c r="A569" s="3" t="s">
        <v>103</v>
      </c>
      <c r="B569" s="3" t="s">
        <v>2335</v>
      </c>
      <c r="C569" s="3" t="s">
        <v>2336</v>
      </c>
      <c r="D569" s="3" t="s">
        <v>2337</v>
      </c>
      <c r="E569" s="3" t="s">
        <v>2338</v>
      </c>
      <c r="F569" s="3" t="s">
        <v>2339</v>
      </c>
      <c r="G569" s="3" t="str">
        <f ca="1">IFERROR(__xludf.DUMMYFUNCTION("googletranslate(D569,""en"",""ja"")"),"B リンパ球胚中心サブ集団。 BLym 生殖センターサブ")</f>
        <v>B リンパ球胚中心サブ集団。 BLym 生殖センターサブ</v>
      </c>
      <c r="H569" s="3" t="str">
        <f ca="1">IFERROR(__xludf.DUMMYFUNCTION("googletranslate(E569,""en"",""ja"")"),"生物学的標本中の胚中心 B リンパ球の部分集団の測定。")</f>
        <v>生物学的標本中の胚中心 B リンパ球の部分集団の測定。</v>
      </c>
      <c r="I569" s="3" t="str">
        <f ca="1">IFERROR(__xludf.DUMMYFUNCTION("googletranslate(F569,""en"",""ja"")"),"胚中心Bリンパ球部分集団数")</f>
        <v>胚中心Bリンパ球部分集団数</v>
      </c>
    </row>
    <row r="570" spans="1:9" ht="30">
      <c r="A570" s="3" t="s">
        <v>103</v>
      </c>
      <c r="B570" s="3" t="s">
        <v>2340</v>
      </c>
      <c r="C570" s="3" t="s">
        <v>2341</v>
      </c>
      <c r="D570" s="3" t="s">
        <v>2342</v>
      </c>
      <c r="E570" s="3" t="s">
        <v>2343</v>
      </c>
      <c r="F570" s="3" t="s">
        <v>2344</v>
      </c>
      <c r="G570" s="3" t="str">
        <f ca="1">IFERROR(__xludf.DUMMYFUNCTION("googletranslate(D570,""en"",""ja"")"),"B リンパ球は未熟です。ブライム・イマット")</f>
        <v>B リンパ球は未熟です。ブライム・イマット</v>
      </c>
      <c r="H570" s="3" t="str">
        <f ca="1">IFERROR(__xludf.DUMMYFUNCTION("googletranslate(E570,""en"",""ja"")"),"生物学的標本中の未熟 B リンパ球の測定。")</f>
        <v>生物学的標本中の未熟 B リンパ球の測定。</v>
      </c>
      <c r="I570" s="3" t="str">
        <f ca="1">IFERROR(__xludf.DUMMYFUNCTION("googletranslate(F570,""en"",""ja"")"),"未熟Bリンパ球数")</f>
        <v>未熟Bリンパ球数</v>
      </c>
    </row>
    <row r="571" spans="1:9" ht="30">
      <c r="A571" s="3" t="s">
        <v>103</v>
      </c>
      <c r="B571" s="3" t="s">
        <v>2345</v>
      </c>
      <c r="C571" s="3" t="s">
        <v>2346</v>
      </c>
      <c r="D571" s="3" t="s">
        <v>2347</v>
      </c>
      <c r="E571" s="3" t="s">
        <v>2348</v>
      </c>
      <c r="F571" s="3" t="s">
        <v>2349</v>
      </c>
      <c r="G571" s="3" t="str">
        <f ca="1">IFERROR(__xludf.DUMMYFUNCTION("googletranslate(D571,""en"",""ja"")"),"Bリンパ球の記憶。ブリムメム")</f>
        <v>Bリンパ球の記憶。ブリムメム</v>
      </c>
      <c r="H571" s="3" t="str">
        <f ca="1">IFERROR(__xludf.DUMMYFUNCTION("googletranslate(E571,""en"",""ja"")"),"生物学的標本中の記憶 B リンパ球の測定。")</f>
        <v>生物学的標本中の記憶 B リンパ球の測定。</v>
      </c>
      <c r="I571" s="3" t="str">
        <f ca="1">IFERROR(__xludf.DUMMYFUNCTION("googletranslate(F571,""en"",""ja"")"),"メモリーBリンパ球数")</f>
        <v>メモリーBリンパ球数</v>
      </c>
    </row>
    <row r="572" spans="1:9" ht="30">
      <c r="A572" s="3" t="s">
        <v>103</v>
      </c>
      <c r="B572" s="3" t="s">
        <v>2350</v>
      </c>
      <c r="C572" s="3" t="s">
        <v>2351</v>
      </c>
      <c r="D572" s="3" t="s">
        <v>2352</v>
      </c>
      <c r="E572" s="3" t="s">
        <v>2353</v>
      </c>
      <c r="F572" s="3" t="s">
        <v>2354</v>
      </c>
      <c r="G572" s="3" t="str">
        <f ca="1">IFERROR(__xludf.DUMMYFUNCTION("googletranslate(D572,""en"",""ja"")"),"B リンパ球は成熟します。 BLymマット")</f>
        <v>B リンパ球は成熟します。 BLymマット</v>
      </c>
      <c r="H572" s="3" t="str">
        <f ca="1">IFERROR(__xludf.DUMMYFUNCTION("googletranslate(E572,""en"",""ja"")"),"生物学的標本中の成熟 B リンパ球の測定。")</f>
        <v>生物学的標本中の成熟 B リンパ球の測定。</v>
      </c>
      <c r="I572" s="3" t="str">
        <f ca="1">IFERROR(__xludf.DUMMYFUNCTION("googletranslate(F572,""en"",""ja"")"),"成熟Bリンパ球数")</f>
        <v>成熟Bリンパ球数</v>
      </c>
    </row>
    <row r="573" spans="1:9" ht="45">
      <c r="A573" s="3" t="s">
        <v>103</v>
      </c>
      <c r="B573" s="3" t="s">
        <v>2355</v>
      </c>
      <c r="C573" s="3" t="s">
        <v>2356</v>
      </c>
      <c r="D573" s="3" t="s">
        <v>2357</v>
      </c>
      <c r="E573" s="3" t="s">
        <v>2358</v>
      </c>
      <c r="F573" s="3" t="s">
        <v>2359</v>
      </c>
      <c r="G573" s="3" t="str">
        <f ca="1">IFERROR(__xludf.DUMMYFUNCTION("googletranslate(D573,""en"",""ja"")"),"B リンパ球の記憶/B リンパ球; BLym メム/BLym")</f>
        <v>B リンパ球の記憶/B リンパ球; BLym メム/BLym</v>
      </c>
      <c r="H573" s="3" t="str">
        <f ca="1">IFERROR(__xludf.DUMMYFUNCTION("googletranslate(E573,""en"",""ja"")"),"生物学的標本中の総 B リンパ球に対する記憶 B リンパ球の相対測定値 (比率またはパーセンテージ)。")</f>
        <v>生物学的標本中の総 B リンパ球に対する記憶 B リンパ球の相対測定値 (比率またはパーセンテージ)。</v>
      </c>
      <c r="I573" s="3" t="str">
        <f ca="1">IFERROR(__xludf.DUMMYFUNCTION("googletranslate(F573,""en"",""ja"")"),"メモリーBリンパ球対総Bリンパ球比の測定")</f>
        <v>メモリーBリンパ球対総Bリンパ球比の測定</v>
      </c>
    </row>
    <row r="574" spans="1:9" ht="30">
      <c r="A574" s="3" t="s">
        <v>103</v>
      </c>
      <c r="B574" s="3" t="s">
        <v>2360</v>
      </c>
      <c r="C574" s="3" t="s">
        <v>2361</v>
      </c>
      <c r="D574" s="3" t="s">
        <v>2362</v>
      </c>
      <c r="E574" s="3" t="s">
        <v>2363</v>
      </c>
      <c r="F574" s="3" t="s">
        <v>2364</v>
      </c>
      <c r="G574" s="3" t="str">
        <f ca="1">IFERROR(__xludf.DUMMYFUNCTION("googletranslate(D574,""en"",""ja"")"),"B リンパ球の記憶 cB1; BLym メム cB1")</f>
        <v>B リンパ球の記憶 cB1; BLym メム cB1</v>
      </c>
      <c r="H574" s="3" t="str">
        <f ca="1">IFERROR(__xludf.DUMMYFUNCTION("googletranslate(E574,""en"",""ja"")"),"生物学的標本中の cB1 メモリー B リンパ球の測定。")</f>
        <v>生物学的標本中の cB1 メモリー B リンパ球の測定。</v>
      </c>
      <c r="I574" s="3" t="str">
        <f ca="1">IFERROR(__xludf.DUMMYFUNCTION("googletranslate(F574,""en"",""ja"")"),"メモリーBリンパ球cB1数")</f>
        <v>メモリーBリンパ球cB1数</v>
      </c>
    </row>
    <row r="575" spans="1:9" ht="30">
      <c r="A575" s="3" t="s">
        <v>103</v>
      </c>
      <c r="B575" s="3" t="s">
        <v>2365</v>
      </c>
      <c r="C575" s="3" t="s">
        <v>2366</v>
      </c>
      <c r="D575" s="3" t="s">
        <v>2367</v>
      </c>
      <c r="E575" s="3" t="s">
        <v>2368</v>
      </c>
      <c r="F575" s="3" t="s">
        <v>2369</v>
      </c>
      <c r="G575" s="3" t="str">
        <f ca="1">IFERROR(__xludf.DUMMYFUNCTION("googletranslate(D575,""en"",""ja"")"),"B リンパ球の記憶 cB2; BLym メム cB2")</f>
        <v>B リンパ球の記憶 cB2; BLym メム cB2</v>
      </c>
      <c r="H575" s="3" t="str">
        <f ca="1">IFERROR(__xludf.DUMMYFUNCTION("googletranslate(E575,""en"",""ja"")"),"生物学的標本中の cB2 メモリー B リンパ球の測定。")</f>
        <v>生物学的標本中の cB2 メモリー B リンパ球の測定。</v>
      </c>
      <c r="I575" s="3" t="str">
        <f ca="1">IFERROR(__xludf.DUMMYFUNCTION("googletranslate(F575,""en"",""ja"")"),"メモリーBリンパ球cB2カウント")</f>
        <v>メモリーBリンパ球cB2カウント</v>
      </c>
    </row>
    <row r="576" spans="1:9" ht="30">
      <c r="A576" s="3" t="s">
        <v>103</v>
      </c>
      <c r="B576" s="3" t="s">
        <v>2370</v>
      </c>
      <c r="C576" s="3" t="s">
        <v>2371</v>
      </c>
      <c r="D576" s="3" t="s">
        <v>2372</v>
      </c>
      <c r="E576" s="3" t="s">
        <v>2373</v>
      </c>
      <c r="F576" s="3" t="s">
        <v>2374</v>
      </c>
      <c r="G576" s="3" t="str">
        <f ca="1">IFERROR(__xludf.DUMMYFUNCTION("googletranslate(D576,""en"",""ja"")"),"B リンパ球の記憶 cB3; BLym メム cB3")</f>
        <v>B リンパ球の記憶 cB3; BLym メム cB3</v>
      </c>
      <c r="H576" s="3" t="str">
        <f ca="1">IFERROR(__xludf.DUMMYFUNCTION("googletranslate(E576,""en"",""ja"")"),"生物学的標本中の cB3 メモリー B リンパ球の測定。")</f>
        <v>生物学的標本中の cB3 メモリー B リンパ球の測定。</v>
      </c>
      <c r="I576" s="3" t="str">
        <f ca="1">IFERROR(__xludf.DUMMYFUNCTION("googletranslate(F576,""en"",""ja"")"),"メモリーBリンパ球cB3数")</f>
        <v>メモリーBリンパ球cB3数</v>
      </c>
    </row>
    <row r="577" spans="1:9" ht="30">
      <c r="A577" s="3" t="s">
        <v>103</v>
      </c>
      <c r="B577" s="3" t="s">
        <v>2375</v>
      </c>
      <c r="C577" s="3" t="s">
        <v>2376</v>
      </c>
      <c r="D577" s="3" t="s">
        <v>2377</v>
      </c>
      <c r="E577" s="3" t="s">
        <v>2378</v>
      </c>
      <c r="F577" s="3" t="s">
        <v>2379</v>
      </c>
      <c r="G577" s="3" t="str">
        <f ca="1">IFERROR(__xludf.DUMMYFUNCTION("googletranslate(D577,""en"",""ja"")"),"Bリンパ球の記憶が未熟。 BLym メム イマット")</f>
        <v>Bリンパ球の記憶が未熟。 BLym メム イマット</v>
      </c>
      <c r="H577" s="3" t="str">
        <f ca="1">IFERROR(__xludf.DUMMYFUNCTION("googletranslate(E577,""en"",""ja"")"),"生物学的標本中の記憶未熟 B リンパ球の測定。")</f>
        <v>生物学的標本中の記憶未熟 B リンパ球の測定。</v>
      </c>
      <c r="I577" s="3" t="str">
        <f ca="1">IFERROR(__xludf.DUMMYFUNCTION("googletranslate(F577,""en"",""ja"")"),"未熟な記憶Bリンパ球数")</f>
        <v>未熟な記憶Bリンパ球数</v>
      </c>
    </row>
    <row r="578" spans="1:9" ht="30">
      <c r="A578" s="3" t="s">
        <v>103</v>
      </c>
      <c r="B578" s="3" t="s">
        <v>2380</v>
      </c>
      <c r="C578" s="3" t="s">
        <v>2381</v>
      </c>
      <c r="D578" s="3" t="s">
        <v>2382</v>
      </c>
      <c r="E578" s="3" t="s">
        <v>2383</v>
      </c>
      <c r="F578" s="3" t="s">
        <v>2384</v>
      </c>
      <c r="G578" s="3" t="str">
        <f ca="1">IFERROR(__xludf.DUMMYFUNCTION("googletranslate(D578,""en"",""ja"")"),"Bリンパ球の記憶は成熟しています。 BLym メム マット")</f>
        <v>Bリンパ球の記憶は成熟しています。 BLym メム マット</v>
      </c>
      <c r="H578" s="3" t="str">
        <f ca="1">IFERROR(__xludf.DUMMYFUNCTION("googletranslate(E578,""en"",""ja"")"),"生物学的標本中の記憶成熟 B リンパ球の測定。")</f>
        <v>生物学的標本中の記憶成熟 B リンパ球の測定。</v>
      </c>
      <c r="I578" s="3" t="str">
        <f ca="1">IFERROR(__xludf.DUMMYFUNCTION("googletranslate(F578,""en"",""ja"")"),"成熟した記憶Bリンパ球数")</f>
        <v>成熟した記憶Bリンパ球数</v>
      </c>
    </row>
    <row r="579" spans="1:9" ht="60">
      <c r="A579" s="3" t="s">
        <v>103</v>
      </c>
      <c r="B579" s="3" t="s">
        <v>2385</v>
      </c>
      <c r="C579" s="3" t="s">
        <v>2386</v>
      </c>
      <c r="D579" s="3" t="s">
        <v>2387</v>
      </c>
      <c r="E579" s="3" t="s">
        <v>2388</v>
      </c>
      <c r="F579" s="3" t="s">
        <v>2389</v>
      </c>
      <c r="G579" s="3" t="str">
        <f ca="1">IFERROR(__xludf.DUMMYFUNCTION("googletranslate(D579,""en"",""ja"")"),"B リンパ球の記憶は非クラススイッチ型です。 B リンパ球の記憶は切り替えられていません。 BLym メム NSw")</f>
        <v>B リンパ球の記憶は非クラススイッチ型です。 B リンパ球の記憶は切り替えられていません。 BLym メム NSw</v>
      </c>
      <c r="H579" s="3" t="str">
        <f ca="1">IFERROR(__xludf.DUMMYFUNCTION("googletranslate(E579,""en"",""ja"")"),"生物学的標本中の非クラススイッチ記憶 B リンパ球の測定。")</f>
        <v>生物学的標本中の非クラススイッチ記憶 B リンパ球の測定。</v>
      </c>
      <c r="I579" s="3" t="str">
        <f ca="1">IFERROR(__xludf.DUMMYFUNCTION("googletranslate(F579,""en"",""ja"")"),"非クラススイッチ型メモリー B リンパ球数")</f>
        <v>非クラススイッチ型メモリー B リンパ球数</v>
      </c>
    </row>
    <row r="580" spans="1:9" ht="60">
      <c r="A580" s="3" t="s">
        <v>103</v>
      </c>
      <c r="B580" s="3" t="s">
        <v>2390</v>
      </c>
      <c r="C580" s="3" t="s">
        <v>2391</v>
      </c>
      <c r="D580" s="3" t="s">
        <v>2392</v>
      </c>
      <c r="E580" s="3" t="s">
        <v>2393</v>
      </c>
      <c r="F580" s="3" t="s">
        <v>2394</v>
      </c>
      <c r="G580" s="3" t="str">
        <f ca="1">IFERROR(__xludf.DUMMYFUNCTION("googletranslate(D580,""en"",""ja"")"),"B リンパ球は非クラススイッチ IgG+ を記憶します。 B リンパ球の記憶非スイッチド IgG+。 BLym Mem NSw IgG+")</f>
        <v>B リンパ球は非クラススイッチ IgG+ を記憶します。 B リンパ球の記憶非スイッチド IgG+。 BLym Mem NSw IgG+</v>
      </c>
      <c r="H580" s="3" t="str">
        <f ca="1">IFERROR(__xludf.DUMMYFUNCTION("googletranslate(E580,""en"",""ja"")"),"生物学的標本中の IgG+ 非クラススイッチ記憶 B リンパ球の測定。")</f>
        <v>生物学的標本中の IgG+ 非クラススイッチ記憶 B リンパ球の測定。</v>
      </c>
      <c r="I580" s="3" t="str">
        <f ca="1">IFERROR(__xludf.DUMMYFUNCTION("googletranslate(F580,""en"",""ja"")"),"非クラススイッチ IgG 陽性メモリー B リンパ球数")</f>
        <v>非クラススイッチ IgG 陽性メモリー B リンパ球数</v>
      </c>
    </row>
    <row r="581" spans="1:9" ht="60">
      <c r="A581" s="3" t="s">
        <v>103</v>
      </c>
      <c r="B581" s="3" t="s">
        <v>2395</v>
      </c>
      <c r="C581" s="3" t="s">
        <v>2396</v>
      </c>
      <c r="D581" s="3" t="s">
        <v>2397</v>
      </c>
      <c r="E581" s="3" t="s">
        <v>2398</v>
      </c>
      <c r="F581" s="3" t="s">
        <v>2399</v>
      </c>
      <c r="G581" s="3" t="str">
        <f ca="1">IFERROR(__xludf.DUMMYFUNCTION("googletranslate(D581,""en"",""ja"")"),"B リンパ球の記憶非クラススイッチ IgM+。 B リンパ球の記憶非スイッチド IgM+。 BLym Mem NSw IgM+")</f>
        <v>B リンパ球の記憶非クラススイッチ IgM+。 B リンパ球の記憶非スイッチド IgM+。 BLym Mem NSw IgM+</v>
      </c>
      <c r="H581" s="3" t="str">
        <f ca="1">IFERROR(__xludf.DUMMYFUNCTION("googletranslate(E581,""en"",""ja"")"),"生物学的標本中の IgM+ 非クラススイッチ記憶 B リンパ球の測定。")</f>
        <v>生物学的標本中の IgM+ 非クラススイッチ記憶 B リンパ球の測定。</v>
      </c>
      <c r="I581" s="3" t="str">
        <f ca="1">IFERROR(__xludf.DUMMYFUNCTION("googletranslate(F581,""en"",""ja"")"),"非クラススイッチ IgM 陽性メモリー B リンパ球数")</f>
        <v>非クラススイッチ IgM 陽性メモリー B リンパ球数</v>
      </c>
    </row>
    <row r="582" spans="1:9" ht="75">
      <c r="A582" s="3" t="s">
        <v>103</v>
      </c>
      <c r="B582" s="3" t="s">
        <v>2400</v>
      </c>
      <c r="C582" s="3" t="s">
        <v>2401</v>
      </c>
      <c r="D582" s="3" t="s">
        <v>2402</v>
      </c>
      <c r="E582" s="3" t="s">
        <v>2403</v>
      </c>
      <c r="F582" s="3" t="s">
        <v>2404</v>
      </c>
      <c r="G582" s="3" t="str">
        <f ca="1">IFERROR(__xludf.DUMMYFUNCTION("googletranslate(D582,""en"",""ja"")"),"B リンパ球はクラススイッチのない部分集団を記憶します。 B リンパ球記憶スイッチのない部分集団。 BLym Mem NSw Sub")</f>
        <v>B リンパ球はクラススイッチのない部分集団を記憶します。 B リンパ球記憶スイッチのない部分集団。 BLym Mem NSw Sub</v>
      </c>
      <c r="H582" s="3" t="str">
        <f ca="1">IFERROR(__xludf.DUMMYFUNCTION("googletranslate(E582,""en"",""ja"")"),"生物学的標本中の非クラススイッチ記憶 B リンパ球の部分集団の測定。")</f>
        <v>生物学的標本中の非クラススイッチ記憶 B リンパ球の部分集団の測定。</v>
      </c>
      <c r="I582" s="3" t="str">
        <f ca="1">IFERROR(__xludf.DUMMYFUNCTION("googletranslate(F582,""en"",""ja"")"),"非クラススイッチ型メモリー B リンパ球部分集団数")</f>
        <v>非クラススイッチ型メモリー B リンパ球部分集団数</v>
      </c>
    </row>
    <row r="583" spans="1:9" ht="30">
      <c r="A583" s="3" t="s">
        <v>103</v>
      </c>
      <c r="B583" s="3" t="s">
        <v>2405</v>
      </c>
      <c r="C583" s="3" t="s">
        <v>2406</v>
      </c>
      <c r="D583" s="3" t="s">
        <v>2407</v>
      </c>
      <c r="E583" s="3" t="s">
        <v>2408</v>
      </c>
      <c r="F583" s="3" t="s">
        <v>2409</v>
      </c>
      <c r="G583" s="3" t="str">
        <f ca="1">IFERROR(__xludf.DUMMYFUNCTION("googletranslate(D583,""en"",""ja"")"),"B リンパ球の記憶部分集団。 BLym メム サブ")</f>
        <v>B リンパ球の記憶部分集団。 BLym メム サブ</v>
      </c>
      <c r="H583" s="3" t="str">
        <f ca="1">IFERROR(__xludf.DUMMYFUNCTION("googletranslate(E583,""en"",""ja"")"),"生物学的標本中の記憶 B リンパ球の部分集団の測定。")</f>
        <v>生物学的標本中の記憶 B リンパ球の部分集団の測定。</v>
      </c>
      <c r="I583" s="3" t="str">
        <f ca="1">IFERROR(__xludf.DUMMYFUNCTION("googletranslate(F583,""en"",""ja"")"),"記憶Bリンパ球部分集団数")</f>
        <v>記憶Bリンパ球部分集団数</v>
      </c>
    </row>
    <row r="584" spans="1:9" ht="60">
      <c r="A584" s="3" t="s">
        <v>103</v>
      </c>
      <c r="B584" s="3" t="s">
        <v>2410</v>
      </c>
      <c r="C584" s="3" t="s">
        <v>2411</v>
      </c>
      <c r="D584" s="3" t="s">
        <v>2412</v>
      </c>
      <c r="E584" s="3" t="s">
        <v>2413</v>
      </c>
      <c r="F584" s="3" t="s">
        <v>2414</v>
      </c>
      <c r="G584" s="3" t="str">
        <f ca="1">IFERROR(__xludf.DUMMYFUNCTION("googletranslate(D584,""en"",""ja"")"),"B リンパ球の記憶サブ集団/B リンパ球の記憶; BLym メム サブ/BLym メム")</f>
        <v>B リンパ球の記憶サブ集団/B リンパ球の記憶; BLym メム サブ/BLym メム</v>
      </c>
      <c r="H584" s="3" t="str">
        <f ca="1">IFERROR(__xludf.DUMMYFUNCTION("googletranslate(E584,""en"",""ja"")"),"生物学的標本中の総記憶 B リンパ球に対する記憶 B リンパ球の部分集団の相対測定値 (比率またはパーセンテージ)。")</f>
        <v>生物学的標本中の総記憶 B リンパ球に対する記憶 B リンパ球の部分集団の相対測定値 (比率またはパーセンテージ)。</v>
      </c>
      <c r="I584" s="3" t="str">
        <f ca="1">IFERROR(__xludf.DUMMYFUNCTION("googletranslate(F584,""en"",""ja"")"),"メモリーBリンパ球サブ集団対メモリーBリンパ球比の測定")</f>
        <v>メモリーBリンパ球サブ集団対メモリーBリンパ球比の測定</v>
      </c>
    </row>
    <row r="585" spans="1:9" ht="45">
      <c r="A585" s="3" t="s">
        <v>103</v>
      </c>
      <c r="B585" s="3" t="s">
        <v>2415</v>
      </c>
      <c r="C585" s="3" t="s">
        <v>2416</v>
      </c>
      <c r="D585" s="3" t="s">
        <v>2417</v>
      </c>
      <c r="E585" s="3" t="s">
        <v>2418</v>
      </c>
      <c r="F585" s="3" t="s">
        <v>2419</v>
      </c>
      <c r="G585" s="3" t="str">
        <f ca="1">IFERROR(__xludf.DUMMYFUNCTION("googletranslate(D585,""en"",""ja"")"),"Bリンパ球の記憶クラススイッチ。 Bリンパ球の記憶が切り替わる。 BLym メム SW")</f>
        <v>Bリンパ球の記憶クラススイッチ。 Bリンパ球の記憶が切り替わる。 BLym メム SW</v>
      </c>
      <c r="H585" s="3" t="str">
        <f ca="1">IFERROR(__xludf.DUMMYFUNCTION("googletranslate(E585,""en"",""ja"")"),"生物学的標本中のクラススイッチ記憶 B リンパ球の測定。")</f>
        <v>生物学的標本中のクラススイッチ記憶 B リンパ球の測定。</v>
      </c>
      <c r="I585" s="3" t="str">
        <f ca="1">IFERROR(__xludf.DUMMYFUNCTION("googletranslate(F585,""en"",""ja"")"),"クラススイッチメモリーBリンパ球数")</f>
        <v>クラススイッチメモリーBリンパ球数</v>
      </c>
    </row>
    <row r="586" spans="1:9" ht="45">
      <c r="A586" s="3" t="s">
        <v>103</v>
      </c>
      <c r="B586" s="3" t="s">
        <v>2420</v>
      </c>
      <c r="C586" s="3" t="s">
        <v>2421</v>
      </c>
      <c r="D586" s="3" t="s">
        <v>2422</v>
      </c>
      <c r="E586" s="3" t="s">
        <v>2423</v>
      </c>
      <c r="F586" s="3" t="s">
        <v>2424</v>
      </c>
      <c r="G586" s="3" t="str">
        <f ca="1">IFERROR(__xludf.DUMMYFUNCTION("googletranslate(D586,""en"",""ja"")"),"Bリンパ球の記憶クラススイッチ型亜集団。 BLym Mem Sw Sub")</f>
        <v>Bリンパ球の記憶クラススイッチ型亜集団。 BLym Mem Sw Sub</v>
      </c>
      <c r="H586" s="3" t="str">
        <f ca="1">IFERROR(__xludf.DUMMYFUNCTION("googletranslate(E586,""en"",""ja"")"),"生物学的標本中のクラススイッチ記憶 B リンパ球の部分集団の測定。")</f>
        <v>生物学的標本中のクラススイッチ記憶 B リンパ球の部分集団の測定。</v>
      </c>
      <c r="I586" s="3" t="str">
        <f ca="1">IFERROR(__xludf.DUMMYFUNCTION("googletranslate(F586,""en"",""ja"")"),"クラススイッチメモリー B リンパ球部分集団数")</f>
        <v>クラススイッチメモリー B リンパ球部分集団数</v>
      </c>
    </row>
    <row r="587" spans="1:9" ht="75">
      <c r="A587" s="3" t="s">
        <v>6</v>
      </c>
      <c r="B587" s="3" t="s">
        <v>2425</v>
      </c>
      <c r="C587" s="3" t="s">
        <v>2426</v>
      </c>
      <c r="D587" s="3" t="s">
        <v>2426</v>
      </c>
      <c r="E587" s="3" t="s">
        <v>2427</v>
      </c>
      <c r="F587" s="3" t="s">
        <v>2428</v>
      </c>
      <c r="G587" s="3" t="str">
        <f ca="1">IFERROR(__xludf.DUMMYFUNCTION("googletranslate(D587,""en"",""ja"")"),"Bリンパ球クロスマッチ")</f>
        <v>Bリンパ球クロスマッチ</v>
      </c>
      <c r="H587" s="3" t="str">
        <f ca="1">IFERROR(__xludf.DUMMYFUNCTION("googletranslate(E587,""en"",""ja"")"),"ドナーのBリンパ球上に発現するHLA抗原に対するレシピエントの抗HLA抗体反応性の有無を調べることにより、レシピエントとドナーの間のヒト白血球抗原（HLA）の組織適合性を判定する測定")</f>
        <v>ドナーのBリンパ球上に発現するHLA抗原に対するレシピエントの抗HLA抗体反応性の有無を調べることにより、レシピエントとドナーの間のヒト白血球抗原（HLA）の組織適合性を判定する測定</v>
      </c>
      <c r="I587" s="3" t="str">
        <f ca="1">IFERROR(__xludf.DUMMYFUNCTION("googletranslate(F587,""en"",""ja"")"),"Bリンパ球クロスマッチ測定")</f>
        <v>Bリンパ球クロスマッチ測定</v>
      </c>
    </row>
    <row r="588" spans="1:9" ht="30">
      <c r="A588" s="3" t="s">
        <v>103</v>
      </c>
      <c r="B588" s="3" t="s">
        <v>2429</v>
      </c>
      <c r="C588" s="3" t="s">
        <v>2430</v>
      </c>
      <c r="D588" s="3" t="s">
        <v>2431</v>
      </c>
      <c r="E588" s="3" t="s">
        <v>2432</v>
      </c>
      <c r="F588" s="3" t="s">
        <v>2433</v>
      </c>
      <c r="G588" s="3" t="str">
        <f ca="1">IFERROR(__xludf.DUMMYFUNCTION("googletranslate(D588,""en"",""ja"")"),"B リンパ球の境界領域。 BLym マーグ Zn")</f>
        <v>B リンパ球の境界領域。 BLym マーグ Zn</v>
      </c>
      <c r="H588" s="3" t="str">
        <f ca="1">IFERROR(__xludf.DUMMYFUNCTION("googletranslate(E588,""en"",""ja"")"),"生物学的標本の辺縁帯 B リンパ球の測定。")</f>
        <v>生物学的標本の辺縁帯 B リンパ球の測定。</v>
      </c>
      <c r="I588" s="3" t="str">
        <f ca="1">IFERROR(__xludf.DUMMYFUNCTION("googletranslate(F588,""en"",""ja"")"),"マージナルゾーンBリンパ球数")</f>
        <v>マージナルゾーンBリンパ球数</v>
      </c>
    </row>
    <row r="589" spans="1:9" ht="45">
      <c r="A589" s="3" t="s">
        <v>103</v>
      </c>
      <c r="B589" s="3" t="s">
        <v>2434</v>
      </c>
      <c r="C589" s="3" t="s">
        <v>2435</v>
      </c>
      <c r="D589" s="3" t="s">
        <v>2436</v>
      </c>
      <c r="E589" s="3" t="s">
        <v>2437</v>
      </c>
      <c r="F589" s="3" t="s">
        <v>2438</v>
      </c>
      <c r="G589" s="3" t="str">
        <f ca="1">IFERROR(__xludf.DUMMYFUNCTION("googletranslate(D589,""en"",""ja"")"),"B リンパ球、ナイーブ; BLym ナイーブ;ナイーブB細胞;ナイーブBリンパ球")</f>
        <v>B リンパ球、ナイーブ; BLym ナイーブ;ナイーブB細胞;ナイーブBリンパ球</v>
      </c>
      <c r="H589" s="3" t="str">
        <f ca="1">IFERROR(__xludf.DUMMYFUNCTION("googletranslate(E589,""en"",""ja"")"),"生物学的標本中のナイーブ B リンパ球の測定。")</f>
        <v>生物学的標本中のナイーブ B リンパ球の測定。</v>
      </c>
      <c r="I589" s="3" t="str">
        <f ca="1">IFERROR(__xludf.DUMMYFUNCTION("googletranslate(F589,""en"",""ja"")"),"ナイーブBリンパ球測定")</f>
        <v>ナイーブBリンパ球測定</v>
      </c>
    </row>
    <row r="590" spans="1:9" ht="60">
      <c r="A590" s="3" t="s">
        <v>103</v>
      </c>
      <c r="B590" s="3" t="s">
        <v>2439</v>
      </c>
      <c r="C590" s="3" t="s">
        <v>2440</v>
      </c>
      <c r="D590" s="3" t="s">
        <v>2441</v>
      </c>
      <c r="E590" s="3" t="s">
        <v>2442</v>
      </c>
      <c r="F590" s="3" t="s">
        <v>2443</v>
      </c>
      <c r="G590" s="3" t="str">
        <f ca="1">IFERROR(__xludf.DUMMYFUNCTION("googletranslate(D590,""en"",""ja"")"),"B 細胞、ナイーブ/B 細胞; B リンパ球、ナイーブ/B リンパ球; BLym ナイーブ/BLym;ナイーブ B リンパ球/B リンパ球")</f>
        <v>B 細胞、ナイーブ/B 細胞; B リンパ球、ナイーブ/B リンパ球; BLym ナイーブ/BLym;ナイーブ B リンパ球/B リンパ球</v>
      </c>
      <c r="H590" s="3" t="str">
        <f ca="1">IFERROR(__xludf.DUMMYFUNCTION("googletranslate(E590,""en"",""ja"")"),"生物学的標本中の B リンパ球に対するナイーブ B リンパ球の相対測定値 (比率またはパーセンテージ)。")</f>
        <v>生物学的標本中の B リンパ球に対するナイーブ B リンパ球の相対測定値 (比率またはパーセンテージ)。</v>
      </c>
      <c r="I590" s="3" t="str">
        <f ca="1">IFERROR(__xludf.DUMMYFUNCTION("googletranslate(F590,""en"",""ja"")"),"ナイーブ B リンパ球と総 B リンパ球の比率の測定")</f>
        <v>ナイーブ B リンパ球と総 B リンパ球の比率の測定</v>
      </c>
    </row>
    <row r="591" spans="1:9" ht="30">
      <c r="A591" s="3" t="s">
        <v>103</v>
      </c>
      <c r="B591" s="3" t="s">
        <v>2444</v>
      </c>
      <c r="C591" s="3" t="s">
        <v>2445</v>
      </c>
      <c r="D591" s="3" t="s">
        <v>2446</v>
      </c>
      <c r="E591" s="3" t="s">
        <v>2447</v>
      </c>
      <c r="F591" s="3" t="s">
        <v>2448</v>
      </c>
      <c r="G591" s="3" t="str">
        <f ca="1">IFERROR(__xludf.DUMMYFUNCTION("googletranslate(D591,""en"",""ja"")"),"B リンパ球ナイーブ IgG+。 BLym ナイーブ IgG+")</f>
        <v>B リンパ球ナイーブ IgG+。 BLym ナイーブ IgG+</v>
      </c>
      <c r="H591" s="3" t="str">
        <f ca="1">IFERROR(__xludf.DUMMYFUNCTION("googletranslate(E591,""en"",""ja"")"),"生物学的標本中の IgG+ ナイーブ B リンパ球の測定。")</f>
        <v>生物学的標本中の IgG+ ナイーブ B リンパ球の測定。</v>
      </c>
      <c r="I591" s="3" t="str">
        <f ca="1">IFERROR(__xludf.DUMMYFUNCTION("googletranslate(F591,""en"",""ja"")"),"IgG 陽性ナイーブ B リンパ球数")</f>
        <v>IgG 陽性ナイーブ B リンパ球数</v>
      </c>
    </row>
    <row r="592" spans="1:9" ht="60">
      <c r="A592" s="3" t="s">
        <v>103</v>
      </c>
      <c r="B592" s="3" t="s">
        <v>2449</v>
      </c>
      <c r="C592" s="3" t="s">
        <v>2450</v>
      </c>
      <c r="D592" s="3" t="s">
        <v>2451</v>
      </c>
      <c r="E592" s="3" t="s">
        <v>2452</v>
      </c>
      <c r="F592" s="3" t="s">
        <v>2453</v>
      </c>
      <c r="G592" s="3" t="str">
        <f ca="1">IFERROR(__xludf.DUMMYFUNCTION("googletranslate(D592,""en"",""ja"")"),"B リンパ球ナイーブ IgG+/B リンパ球ナイーブ; BLym ナイーブ IgG+/BLym ナイーブ; BLym ナイーブ IgG+/BLymN")</f>
        <v>B リンパ球ナイーブ IgG+/B リンパ球ナイーブ; BLym ナイーブ IgG+/BLym ナイーブ; BLym ナイーブ IgG+/BLymN</v>
      </c>
      <c r="H592" s="3" t="str">
        <f ca="1">IFERROR(__xludf.DUMMYFUNCTION("googletranslate(E592,""en"",""ja"")"),"生物学的検体中の総ナイーブ B リンパ球に対する IgG+ ナイーブ B リンパ球の相対測定値 (比率またはパーセンテージ)。")</f>
        <v>生物学的検体中の総ナイーブ B リンパ球に対する IgG+ ナイーブ B リンパ球の相対測定値 (比率またはパーセンテージ)。</v>
      </c>
      <c r="I592" s="3" t="str">
        <f ca="1">IFERROR(__xludf.DUMMYFUNCTION("googletranslate(F592,""en"",""ja"")"),"IgG陽性ナイーブBリンパ球とナイーブBリンパ球の比率の測定")</f>
        <v>IgG陽性ナイーブBリンパ球とナイーブBリンパ球の比率の測定</v>
      </c>
    </row>
    <row r="593" spans="1:9" ht="45">
      <c r="A593" s="3" t="s">
        <v>103</v>
      </c>
      <c r="B593" s="3" t="s">
        <v>2454</v>
      </c>
      <c r="C593" s="3" t="s">
        <v>2455</v>
      </c>
      <c r="D593" s="3" t="s">
        <v>2456</v>
      </c>
      <c r="E593" s="3" t="s">
        <v>2457</v>
      </c>
      <c r="F593" s="3" t="s">
        <v>2458</v>
      </c>
      <c r="G593" s="3" t="str">
        <f ca="1">IFERROR(__xludf.DUMMYFUNCTION("googletranslate(D593,""en"",""ja"")"),"B リンパ球ナイーブ/白血球。 BLym ナイーブ/レウク")</f>
        <v>B リンパ球ナイーブ/白血球。 BLym ナイーブ/レウク</v>
      </c>
      <c r="H593" s="3" t="str">
        <f ca="1">IFERROR(__xludf.DUMMYFUNCTION("googletranslate(E593,""en"",""ja"")"),"生物学的標本中の総白血球に対するナイーブ B リンパ球の相対測定値 (比率またはパーセンテージ)。")</f>
        <v>生物学的標本中の総白血球に対するナイーブ B リンパ球の相対測定値 (比率またはパーセンテージ)。</v>
      </c>
      <c r="I593" s="3" t="str">
        <f ca="1">IFERROR(__xludf.DUMMYFUNCTION("googletranslate(F593,""en"",""ja"")"),"ナイーブBリンパ球対白血球比の測定")</f>
        <v>ナイーブBリンパ球対白血球比の測定</v>
      </c>
    </row>
    <row r="594" spans="1:9" ht="30">
      <c r="A594" s="3" t="s">
        <v>103</v>
      </c>
      <c r="B594" s="3" t="s">
        <v>2459</v>
      </c>
      <c r="C594" s="3" t="s">
        <v>2460</v>
      </c>
      <c r="D594" s="3" t="s">
        <v>2461</v>
      </c>
      <c r="E594" s="3" t="s">
        <v>2462</v>
      </c>
      <c r="F594" s="3" t="s">
        <v>2463</v>
      </c>
      <c r="G594" s="3" t="str">
        <f ca="1">IFERROR(__xludf.DUMMYFUNCTION("googletranslate(D594,""en"",""ja"")"),"B リンパ球ナイーブ IgM+。 BLym ナイーブ IgM+")</f>
        <v>B リンパ球ナイーブ IgM+。 BLym ナイーブ IgM+</v>
      </c>
      <c r="H594" s="3" t="str">
        <f ca="1">IFERROR(__xludf.DUMMYFUNCTION("googletranslate(E594,""en"",""ja"")"),"生物学的標本中の IgM+ ナイーブ B リンパ球の測定。")</f>
        <v>生物学的標本中の IgM+ ナイーブ B リンパ球の測定。</v>
      </c>
      <c r="I594" s="3" t="str">
        <f ca="1">IFERROR(__xludf.DUMMYFUNCTION("googletranslate(F594,""en"",""ja"")"),"IgM 陽性ナイーブ B リンパ球数")</f>
        <v>IgM 陽性ナイーブ B リンパ球数</v>
      </c>
    </row>
    <row r="595" spans="1:9" ht="30">
      <c r="A595" s="3" t="s">
        <v>103</v>
      </c>
      <c r="B595" s="3" t="s">
        <v>2464</v>
      </c>
      <c r="C595" s="3" t="s">
        <v>2465</v>
      </c>
      <c r="D595" s="3" t="s">
        <v>2466</v>
      </c>
      <c r="E595" s="3" t="s">
        <v>2467</v>
      </c>
      <c r="F595" s="3" t="s">
        <v>2468</v>
      </c>
      <c r="G595" s="3" t="str">
        <f ca="1">IFERROR(__xludf.DUMMYFUNCTION("googletranslate(D595,""en"",""ja"")"),"B リンパ球ナイーブな成熟。 BLym ナイーブマット")</f>
        <v>B リンパ球ナイーブな成熟。 BLym ナイーブマット</v>
      </c>
      <c r="H595" s="3" t="str">
        <f ca="1">IFERROR(__xludf.DUMMYFUNCTION("googletranslate(E595,""en"",""ja"")"),"生物学的標本中のナイーブ成熟 B リンパ球の測定。")</f>
        <v>生物学的標本中のナイーブ成熟 B リンパ球の測定。</v>
      </c>
      <c r="I595" s="3" t="str">
        <f ca="1">IFERROR(__xludf.DUMMYFUNCTION("googletranslate(F595,""en"",""ja"")"),"ナイーブ成熟Bリンパ球数")</f>
        <v>ナイーブ成熟Bリンパ球数</v>
      </c>
    </row>
    <row r="596" spans="1:9" ht="30">
      <c r="A596" s="3" t="s">
        <v>103</v>
      </c>
      <c r="B596" s="3" t="s">
        <v>2469</v>
      </c>
      <c r="C596" s="3" t="s">
        <v>2470</v>
      </c>
      <c r="D596" s="3" t="s">
        <v>2471</v>
      </c>
      <c r="E596" s="3" t="s">
        <v>2472</v>
      </c>
      <c r="F596" s="3" t="s">
        <v>2473</v>
      </c>
      <c r="G596" s="3" t="str">
        <f ca="1">IFERROR(__xludf.DUMMYFUNCTION("googletranslate(D596,""en"",""ja"")"),"B リンパ球ナイーブ成熟部分集団。 BLym ナイーブ マット サブ")</f>
        <v>B リンパ球ナイーブ成熟部分集団。 BLym ナイーブ マット サブ</v>
      </c>
      <c r="H596" s="3" t="str">
        <f ca="1">IFERROR(__xludf.DUMMYFUNCTION("googletranslate(E596,""en"",""ja"")"),"生物学的標本中のナイーブ成熟 B リンパ球の部分集団の測定。")</f>
        <v>生物学的標本中のナイーブ成熟 B リンパ球の部分集団の測定。</v>
      </c>
      <c r="I596" s="3" t="str">
        <f ca="1">IFERROR(__xludf.DUMMYFUNCTION("googletranslate(F596,""en"",""ja"")"),"ナイーブ成熟Bリンパ球部分集団数")</f>
        <v>ナイーブ成熟Bリンパ球部分集団数</v>
      </c>
    </row>
    <row r="597" spans="1:9" ht="60">
      <c r="A597" s="3" t="s">
        <v>103</v>
      </c>
      <c r="B597" s="3" t="s">
        <v>2474</v>
      </c>
      <c r="C597" s="3" t="s">
        <v>2475</v>
      </c>
      <c r="D597" s="3" t="s">
        <v>2476</v>
      </c>
      <c r="E597" s="3" t="s">
        <v>2477</v>
      </c>
      <c r="F597" s="3" t="s">
        <v>2478</v>
      </c>
      <c r="G597" s="3" t="str">
        <f ca="1">IFERROR(__xludf.DUMMYFUNCTION("googletranslate(D597,""en"",""ja"")"),"B リンパ球ナイーブ IgM+/B リンパ球ナイーブ; BLym ナイーブ IgM+/BLym ナイーブ; BLym ナイーブ IgM+/BLymN")</f>
        <v>B リンパ球ナイーブ IgM+/B リンパ球ナイーブ; BLym ナイーブ IgM+/BLym ナイーブ; BLym ナイーブ IgM+/BLymN</v>
      </c>
      <c r="H597" s="3" t="str">
        <f ca="1">IFERROR(__xludf.DUMMYFUNCTION("googletranslate(E597,""en"",""ja"")"),"生物学的検体中の総ナイーブ B リンパ球に対する IgM+ ナイーブ B リンパ球の相対測定値 (比率またはパーセンテージ)。")</f>
        <v>生物学的検体中の総ナイーブ B リンパ球に対する IgM+ ナイーブ B リンパ球の相対測定値 (比率またはパーセンテージ)。</v>
      </c>
      <c r="I597" s="3" t="str">
        <f ca="1">IFERROR(__xludf.DUMMYFUNCTION("googletranslate(F597,""en"",""ja"")"),"IgM陽性ナイーブBリンパ球対ナイーブBリンパ球比の測定")</f>
        <v>IgM陽性ナイーブBリンパ球対ナイーブBリンパ球比の測定</v>
      </c>
    </row>
    <row r="598" spans="1:9" ht="30">
      <c r="A598" s="3" t="s">
        <v>103</v>
      </c>
      <c r="B598" s="3" t="s">
        <v>2479</v>
      </c>
      <c r="C598" s="3" t="s">
        <v>2480</v>
      </c>
      <c r="D598" s="3" t="s">
        <v>2481</v>
      </c>
      <c r="E598" s="3" t="s">
        <v>2482</v>
      </c>
      <c r="F598" s="3" t="s">
        <v>2483</v>
      </c>
      <c r="G598" s="3" t="str">
        <f ca="1">IFERROR(__xludf.DUMMYFUNCTION("googletranslate(D598,""en"",""ja"")"),"B リンパ球ナイーブ部分集団。 BLym ナイーブ サブ")</f>
        <v>B リンパ球ナイーブ部分集団。 BLym ナイーブ サブ</v>
      </c>
      <c r="H598" s="3" t="str">
        <f ca="1">IFERROR(__xludf.DUMMYFUNCTION("googletranslate(E598,""en"",""ja"")"),"生物学的標本中のナイーブ B リンパ球の部分集団の測定。")</f>
        <v>生物学的標本中のナイーブ B リンパ球の部分集団の測定。</v>
      </c>
      <c r="I598" s="3" t="str">
        <f ca="1">IFERROR(__xludf.DUMMYFUNCTION("googletranslate(F598,""en"",""ja"")"),"ナイーブ B リンパ球部分集団数")</f>
        <v>ナイーブ B リンパ球部分集団数</v>
      </c>
    </row>
    <row r="599" spans="1:9" ht="45">
      <c r="A599" s="3" t="s">
        <v>103</v>
      </c>
      <c r="B599" s="3" t="s">
        <v>2484</v>
      </c>
      <c r="C599" s="3" t="s">
        <v>2485</v>
      </c>
      <c r="D599" s="3" t="s">
        <v>2486</v>
      </c>
      <c r="E599" s="3" t="s">
        <v>2487</v>
      </c>
      <c r="F599" s="3" t="s">
        <v>2488</v>
      </c>
      <c r="G599" s="3" t="str">
        <f ca="1">IFERROR(__xludf.DUMMYFUNCTION("googletranslate(D599,""en"",""ja"")"),"Bリンパ球前駆細胞;プレB細胞; BLym以前。前駆体 B リンパ球")</f>
        <v>Bリンパ球前駆細胞;プレB細胞; BLym以前。前駆体 B リンパ球</v>
      </c>
      <c r="H599" s="3" t="str">
        <f ca="1">IFERROR(__xludf.DUMMYFUNCTION("googletranslate(E599,""en"",""ja"")"),"生物学的標本中の前駆体 B リンパ球の測定。")</f>
        <v>生物学的標本中の前駆体 B リンパ球の測定。</v>
      </c>
      <c r="I599" s="3" t="str">
        <f ca="1">IFERROR(__xludf.DUMMYFUNCTION("googletranslate(F599,""en"",""ja"")"),"前駆体 B リンパ球数")</f>
        <v>前駆体 B リンパ球数</v>
      </c>
    </row>
    <row r="600" spans="1:9" ht="45">
      <c r="A600" s="3" t="s">
        <v>103</v>
      </c>
      <c r="B600" s="3" t="s">
        <v>2489</v>
      </c>
      <c r="C600" s="3" t="s">
        <v>2490</v>
      </c>
      <c r="D600" s="3" t="s">
        <v>2491</v>
      </c>
      <c r="E600" s="3" t="s">
        <v>2492</v>
      </c>
      <c r="F600" s="3" t="s">
        <v>2493</v>
      </c>
      <c r="G600" s="3" t="str">
        <f ca="1">IFERROR(__xludf.DUMMYFUNCTION("googletranslate(D600,""en"",""ja"")"),"Bリンパ球前駆細胞;プロB細胞;プロBLym;前駆Bリンパ球")</f>
        <v>Bリンパ球前駆細胞;プロB細胞;プロBLym;前駆Bリンパ球</v>
      </c>
      <c r="H600" s="3" t="str">
        <f ca="1">IFERROR(__xludf.DUMMYFUNCTION("googletranslate(E600,""en"",""ja"")"),"生物学的標本中の前駆体 B リンパ球の測定。")</f>
        <v>生物学的標本中の前駆体 B リンパ球の測定。</v>
      </c>
      <c r="I600" s="3" t="str">
        <f ca="1">IFERROR(__xludf.DUMMYFUNCTION("googletranslate(F600,""en"",""ja"")"),"前駆体 B リンパ球数")</f>
        <v>前駆体 B リンパ球数</v>
      </c>
    </row>
    <row r="601" spans="1:9" ht="45">
      <c r="A601" s="3" t="s">
        <v>103</v>
      </c>
      <c r="B601" s="3" t="s">
        <v>2494</v>
      </c>
      <c r="C601" s="3" t="s">
        <v>2495</v>
      </c>
      <c r="D601" s="3" t="s">
        <v>2496</v>
      </c>
      <c r="E601" s="3" t="s">
        <v>2497</v>
      </c>
      <c r="F601" s="3" t="s">
        <v>2498</v>
      </c>
      <c r="G601" s="3" t="str">
        <f ca="1">IFERROR(__xludf.DUMMYFUNCTION("googletranslate(D601,""en"",""ja"")"),"Bリンパ球前駆細胞/全細胞; Pro-B 細胞/総細胞数; Pro-BLym/トータルセル")</f>
        <v>Bリンパ球前駆細胞/全細胞; Pro-B 細胞/総細胞数; Pro-BLym/トータルセル</v>
      </c>
      <c r="H601" s="3" t="str">
        <f ca="1">IFERROR(__xludf.DUMMYFUNCTION("googletranslate(E601,""en"",""ja"")"),"生物学的標本の全細胞に対する前駆体 B リンパ球の相対的な測定値 (比率またはパーセンテージ)。")</f>
        <v>生物学的標本の全細胞に対する前駆体 B リンパ球の相対的な測定値 (比率またはパーセンテージ)。</v>
      </c>
      <c r="I601" s="3" t="str">
        <f ca="1">IFERROR(__xludf.DUMMYFUNCTION("googletranslate(F601,""en"",""ja"")"),"前駆体 B リンパ球と全細胞の比率の測定")</f>
        <v>前駆体 B リンパ球と全細胞の比率の測定</v>
      </c>
    </row>
    <row r="602" spans="1:9" ht="30">
      <c r="A602" s="3" t="s">
        <v>103</v>
      </c>
      <c r="B602" s="3" t="s">
        <v>2499</v>
      </c>
      <c r="C602" s="3" t="s">
        <v>2500</v>
      </c>
      <c r="D602" s="3" t="s">
        <v>2501</v>
      </c>
      <c r="E602" s="3" t="s">
        <v>2502</v>
      </c>
      <c r="F602" s="3" t="s">
        <v>2503</v>
      </c>
      <c r="G602" s="3" t="str">
        <f ca="1">IFERROR(__xludf.DUMMYFUNCTION("googletranslate(D602,""en"",""ja"")"),"B リンパ球の調節; BLym Reg")</f>
        <v>B リンパ球の調節; BLym Reg</v>
      </c>
      <c r="H602" s="3" t="str">
        <f ca="1">IFERROR(__xludf.DUMMYFUNCTION("googletranslate(E602,""en"",""ja"")"),"生物学的標本中の制御性 B リンパ球の測定。")</f>
        <v>生物学的標本中の制御性 B リンパ球の測定。</v>
      </c>
      <c r="I602" s="3" t="str">
        <f ca="1">IFERROR(__xludf.DUMMYFUNCTION("googletranslate(F602,""en"",""ja"")"),"調節性Bリンパ球数")</f>
        <v>調節性Bリンパ球数</v>
      </c>
    </row>
    <row r="603" spans="1:9" ht="30">
      <c r="A603" s="3" t="s">
        <v>103</v>
      </c>
      <c r="B603" s="3" t="s">
        <v>2504</v>
      </c>
      <c r="C603" s="3" t="s">
        <v>2505</v>
      </c>
      <c r="D603" s="3" t="s">
        <v>2506</v>
      </c>
      <c r="E603" s="3" t="s">
        <v>2507</v>
      </c>
      <c r="F603" s="3" t="s">
        <v>2508</v>
      </c>
      <c r="G603" s="3" t="str">
        <f ca="1">IFERROR(__xludf.DUMMYFUNCTION("googletranslate(D603,""en"",""ja"")"),"B リンパ球調節サブ集団; BLym Reg Sub")</f>
        <v>B リンパ球調節サブ集団; BLym Reg Sub</v>
      </c>
      <c r="H603" s="3" t="str">
        <f ca="1">IFERROR(__xludf.DUMMYFUNCTION("googletranslate(E603,""en"",""ja"")"),"生物学的標本中の制御性 B リンパ球の部分集団の測定。")</f>
        <v>生物学的標本中の制御性 B リンパ球の部分集団の測定。</v>
      </c>
      <c r="I603" s="3" t="str">
        <f ca="1">IFERROR(__xludf.DUMMYFUNCTION("googletranslate(F603,""en"",""ja"")"),"制御性 B リンパ球部分集団数")</f>
        <v>制御性 B リンパ球部分集団数</v>
      </c>
    </row>
    <row r="604" spans="1:9" ht="30">
      <c r="A604" s="3" t="s">
        <v>103</v>
      </c>
      <c r="B604" s="3" t="s">
        <v>2509</v>
      </c>
      <c r="C604" s="3" t="s">
        <v>2510</v>
      </c>
      <c r="D604" s="3" t="s">
        <v>2511</v>
      </c>
      <c r="E604" s="3" t="s">
        <v>2512</v>
      </c>
      <c r="F604" s="3" t="s">
        <v>2513</v>
      </c>
      <c r="G604" s="3" t="str">
        <f ca="1">IFERROR(__xludf.DUMMYFUNCTION("googletranslate(D604,""en"",""ja"")"),"B リンパ球部分集団; BLymサブ")</f>
        <v>B リンパ球部分集団; BLymサブ</v>
      </c>
      <c r="H604" s="3" t="str">
        <f ca="1">IFERROR(__xludf.DUMMYFUNCTION("googletranslate(E604,""en"",""ja"")"),"生物学的標本中の B リンパ球の部分集団の測定。")</f>
        <v>生物学的標本中の B リンパ球の部分集団の測定。</v>
      </c>
      <c r="I604" s="3" t="str">
        <f ca="1">IFERROR(__xludf.DUMMYFUNCTION("googletranslate(F604,""en"",""ja"")"),"B リンパ球部分集団数")</f>
        <v>B リンパ球部分集団数</v>
      </c>
    </row>
    <row r="605" spans="1:9" ht="45">
      <c r="A605" s="3" t="s">
        <v>103</v>
      </c>
      <c r="B605" s="3" t="s">
        <v>2514</v>
      </c>
      <c r="C605" s="3" t="s">
        <v>2515</v>
      </c>
      <c r="D605" s="3" t="s">
        <v>2516</v>
      </c>
      <c r="E605" s="3" t="s">
        <v>2517</v>
      </c>
      <c r="F605" s="3" t="s">
        <v>2518</v>
      </c>
      <c r="G605" s="3" t="str">
        <f ca="1">IFERROR(__xludf.DUMMYFUNCTION("googletranslate(D605,""en"",""ja"")"),"B リンパ球サブ集団/B リンパ球; BLymサブ/BLym")</f>
        <v>B リンパ球サブ集団/B リンパ球; BLymサブ/BLym</v>
      </c>
      <c r="H605" s="3" t="str">
        <f ca="1">IFERROR(__xludf.DUMMYFUNCTION("googletranslate(E605,""en"",""ja"")"),"生物学的標本中の B リンパ球に対する B リンパ球の部分集団の相対的な測定値 (比率またはパーセンテージ)。")</f>
        <v>生物学的標本中の B リンパ球に対する B リンパ球の部分集団の相対的な測定値 (比率またはパーセンテージ)。</v>
      </c>
      <c r="I605" s="3" t="str">
        <f ca="1">IFERROR(__xludf.DUMMYFUNCTION("googletranslate(F605,""en"",""ja"")"),"B リンパ球部分集団と総 B リンパ球の比率の測定")</f>
        <v>B リンパ球部分集団と総 B リンパ球の比率の測定</v>
      </c>
    </row>
    <row r="606" spans="1:9" ht="45">
      <c r="A606" s="3" t="s">
        <v>103</v>
      </c>
      <c r="B606" s="3" t="s">
        <v>2519</v>
      </c>
      <c r="C606" s="3" t="s">
        <v>2520</v>
      </c>
      <c r="D606" s="3" t="s">
        <v>2521</v>
      </c>
      <c r="E606" s="3" t="s">
        <v>2522</v>
      </c>
      <c r="F606" s="3" t="s">
        <v>2523</v>
      </c>
      <c r="G606" s="3" t="str">
        <f ca="1">IFERROR(__xludf.DUMMYFUNCTION("googletranslate(D606,""en"",""ja"")"),"B リンパ球サブ集団/B リンパ球サブ集団; BLymサブ/BLymサブ")</f>
        <v>B リンパ球サブ集団/B リンパ球サブ集団; BLymサブ/BLymサブ</v>
      </c>
      <c r="H606" s="3" t="str">
        <f ca="1">IFERROR(__xludf.DUMMYFUNCTION("googletranslate(E606,""en"",""ja"")"),"生物学的標本中の B リンパ球の部分集団に対する B リンパ球の部分集団の相対的な測定値 (比率またはパーセンテージ)。")</f>
        <v>生物学的標本中の B リンパ球の部分集団に対する B リンパ球の部分集団の相対的な測定値 (比率またはパーセンテージ)。</v>
      </c>
      <c r="I606" s="3" t="str">
        <f ca="1">IFERROR(__xludf.DUMMYFUNCTION("googletranslate(F606,""en"",""ja"")"),"B リンパ球サブ集団と B リンパ球サブ集団の比率の測定")</f>
        <v>B リンパ球サブ集団と B リンパ球サブ集団の比率の測定</v>
      </c>
    </row>
    <row r="607" spans="1:9" ht="45">
      <c r="A607" s="3" t="s">
        <v>103</v>
      </c>
      <c r="B607" s="3" t="s">
        <v>2524</v>
      </c>
      <c r="C607" s="3" t="s">
        <v>2525</v>
      </c>
      <c r="D607" s="3" t="s">
        <v>2526</v>
      </c>
      <c r="E607" s="3" t="s">
        <v>2527</v>
      </c>
      <c r="F607" s="3" t="s">
        <v>2528</v>
      </c>
      <c r="G607" s="3" t="str">
        <f ca="1">IFERROR(__xludf.DUMMYFUNCTION("googletranslate(D607,""en"",""ja"")"),"Bリンパ球部分集団/白血球; BLym サブ/ロイク; BLym亜細胞/白血球")</f>
        <v>Bリンパ球部分集団/白血球; BLym サブ/ロイク; BLym亜細胞/白血球</v>
      </c>
      <c r="H607" s="3" t="str">
        <f ca="1">IFERROR(__xludf.DUMMYFUNCTION("googletranslate(E607,""en"",""ja"")"),"生物学的標本中の白血球に対する B リンパ球の部分集団の相対的な測定値 (比率またはパーセンテージ)。")</f>
        <v>生物学的標本中の白血球に対する B リンパ球の部分集団の相対的な測定値 (比率またはパーセンテージ)。</v>
      </c>
      <c r="I607" s="3" t="str">
        <f ca="1">IFERROR(__xludf.DUMMYFUNCTION("googletranslate(F607,""en"",""ja"")"),"Bリンパ球部分集団と白血球の比率の測定")</f>
        <v>Bリンパ球部分集団と白血球の比率の測定</v>
      </c>
    </row>
    <row r="608" spans="1:9" ht="30">
      <c r="A608" s="3" t="s">
        <v>103</v>
      </c>
      <c r="B608" s="3" t="s">
        <v>2529</v>
      </c>
      <c r="C608" s="3" t="s">
        <v>2530</v>
      </c>
      <c r="D608" s="3" t="s">
        <v>2531</v>
      </c>
      <c r="E608" s="3" t="s">
        <v>2532</v>
      </c>
      <c r="F608" s="3" t="s">
        <v>2533</v>
      </c>
      <c r="G608" s="3" t="str">
        <f ca="1">IFERROR(__xludf.DUMMYFUNCTION("googletranslate(D608,""en"",""ja"")"),"移行期の B リンパ球。 BLymトランス")</f>
        <v>移行期の B リンパ球。 BLymトランス</v>
      </c>
      <c r="H608" s="3" t="str">
        <f ca="1">IFERROR(__xludf.DUMMYFUNCTION("googletranslate(E608,""en"",""ja"")"),"生物学的標本中の移行性 B リンパ球の測定。")</f>
        <v>生物学的標本中の移行性 B リンパ球の測定。</v>
      </c>
      <c r="I608" s="3" t="str">
        <f ca="1">IFERROR(__xludf.DUMMYFUNCTION("googletranslate(F608,""en"",""ja"")"),"移行期の B リンパ球数")</f>
        <v>移行期の B リンパ球数</v>
      </c>
    </row>
    <row r="609" spans="1:9" ht="30">
      <c r="A609" s="3" t="s">
        <v>103</v>
      </c>
      <c r="B609" s="3" t="s">
        <v>2534</v>
      </c>
      <c r="C609" s="3" t="s">
        <v>2535</v>
      </c>
      <c r="D609" s="3" t="s">
        <v>2536</v>
      </c>
      <c r="E609" s="3" t="s">
        <v>2537</v>
      </c>
      <c r="F609" s="3" t="s">
        <v>2538</v>
      </c>
      <c r="G609" s="3" t="str">
        <f ca="1">IFERROR(__xludf.DUMMYFUNCTION("googletranslate(D609,""en"",""ja"")"),"B リンパ球移行 1; BLymトランス1")</f>
        <v>B リンパ球移行 1; BLymトランス1</v>
      </c>
      <c r="H609" s="3" t="str">
        <f ca="1">IFERROR(__xludf.DUMMYFUNCTION("googletranslate(E609,""en"",""ja"")"),"生物学的標本中の移行 1 B リンパ球の測定。")</f>
        <v>生物学的標本中の移行 1 B リンパ球の測定。</v>
      </c>
      <c r="I609" s="3" t="str">
        <f ca="1">IFERROR(__xludf.DUMMYFUNCTION("googletranslate(F609,""en"",""ja"")"),"推移的な 1 B リンパ球数")</f>
        <v>推移的な 1 B リンパ球数</v>
      </c>
    </row>
    <row r="610" spans="1:9" ht="30">
      <c r="A610" s="3" t="s">
        <v>103</v>
      </c>
      <c r="B610" s="3" t="s">
        <v>2539</v>
      </c>
      <c r="C610" s="3" t="s">
        <v>2540</v>
      </c>
      <c r="D610" s="3" t="s">
        <v>2541</v>
      </c>
      <c r="E610" s="3" t="s">
        <v>2542</v>
      </c>
      <c r="F610" s="3" t="s">
        <v>2543</v>
      </c>
      <c r="G610" s="3" t="str">
        <f ca="1">IFERROR(__xludf.DUMMYFUNCTION("googletranslate(D610,""en"",""ja"")"),"B リンパ球移行 2; BLymトランス2")</f>
        <v>B リンパ球移行 2; BLymトランス2</v>
      </c>
      <c r="H610" s="3" t="str">
        <f ca="1">IFERROR(__xludf.DUMMYFUNCTION("googletranslate(E610,""en"",""ja"")"),"生物学的標本中の移行 2 B リンパ球の測定。")</f>
        <v>生物学的標本中の移行 2 B リンパ球の測定。</v>
      </c>
      <c r="I610" s="3" t="str">
        <f ca="1">IFERROR(__xludf.DUMMYFUNCTION("googletranslate(F610,""en"",""ja"")"),"移行期の 2 B リンパ球数")</f>
        <v>移行期の 2 B リンパ球数</v>
      </c>
    </row>
    <row r="611" spans="1:9" ht="30">
      <c r="A611" s="3" t="s">
        <v>103</v>
      </c>
      <c r="B611" s="3" t="s">
        <v>2544</v>
      </c>
      <c r="C611" s="3" t="s">
        <v>2545</v>
      </c>
      <c r="D611" s="3" t="s">
        <v>2546</v>
      </c>
      <c r="E611" s="3" t="s">
        <v>2547</v>
      </c>
      <c r="F611" s="3" t="s">
        <v>2548</v>
      </c>
      <c r="G611" s="3" t="str">
        <f ca="1">IFERROR(__xludf.DUMMYFUNCTION("googletranslate(D611,""en"",""ja"")"),"B リンパ球移行 3; BLymトランス3")</f>
        <v>B リンパ球移行 3; BLymトランス3</v>
      </c>
      <c r="H611" s="3" t="str">
        <f ca="1">IFERROR(__xludf.DUMMYFUNCTION("googletranslate(E611,""en"",""ja"")"),"生物学的標本中の移行 3 B リンパ球の測定。")</f>
        <v>生物学的標本中の移行 3 B リンパ球の測定。</v>
      </c>
      <c r="I611" s="3" t="str">
        <f ca="1">IFERROR(__xludf.DUMMYFUNCTION("googletranslate(F611,""en"",""ja"")"),"移行期の 3 B リンパ球数")</f>
        <v>移行期の 3 B リンパ球数</v>
      </c>
    </row>
    <row r="612" spans="1:9" ht="30">
      <c r="A612" s="3" t="s">
        <v>103</v>
      </c>
      <c r="B612" s="3" t="s">
        <v>2549</v>
      </c>
      <c r="C612" s="3" t="s">
        <v>2550</v>
      </c>
      <c r="D612" s="3" t="s">
        <v>2551</v>
      </c>
      <c r="E612" s="3" t="s">
        <v>2552</v>
      </c>
      <c r="F612" s="3" t="s">
        <v>2553</v>
      </c>
      <c r="G612" s="3" t="str">
        <f ca="1">IFERROR(__xludf.DUMMYFUNCTION("googletranslate(D612,""en"",""ja"")"),"B リンパ球移行期/B リンパ球; BLymトランス/BLym")</f>
        <v>B リンパ球移行期/B リンパ球; BLymトランス/BLym</v>
      </c>
      <c r="H612" s="3" t="str">
        <f ca="1">IFERROR(__xludf.DUMMYFUNCTION("googletranslate(E612,""en"",""ja"")"),"生物学的標本中の B リンパ球に対する移行 B リンパ球の相対測定値 (比率またはパーセンテージ)。")</f>
        <v>生物学的標本中の B リンパ球に対する移行 B リンパ球の相対測定値 (比率またはパーセンテージ)。</v>
      </c>
      <c r="I612" s="3" t="str">
        <f ca="1">IFERROR(__xludf.DUMMYFUNCTION("googletranslate(F612,""en"",""ja"")"),"移行期Bリンパ球対Bリンパ球比の測定")</f>
        <v>移行期Bリンパ球対Bリンパ球比の測定</v>
      </c>
    </row>
    <row r="613" spans="1:9" ht="60">
      <c r="A613" s="3" t="s">
        <v>103</v>
      </c>
      <c r="B613" s="3" t="s">
        <v>2554</v>
      </c>
      <c r="C613" s="3" t="s">
        <v>2555</v>
      </c>
      <c r="D613" s="3" t="s">
        <v>2556</v>
      </c>
      <c r="E613" s="3" t="s">
        <v>2557</v>
      </c>
      <c r="F613" s="3" t="s">
        <v>2558</v>
      </c>
      <c r="G613" s="3" t="str">
        <f ca="1">IFERROR(__xludf.DUMMYFUNCTION("googletranslate(D613,""en"",""ja"")"),"B リンパ球移行性/B リンパ球ナイーブ。 BLymトランス/BLymナイーブ; BLymトランス/BLymN")</f>
        <v>B リンパ球移行性/B リンパ球ナイーブ。 BLymトランス/BLymナイーブ; BLymトランス/BLymN</v>
      </c>
      <c r="H613" s="3" t="str">
        <f ca="1">IFERROR(__xludf.DUMMYFUNCTION("googletranslate(E613,""en"",""ja"")"),"生物学的標本におけるナイーブ B リンパ球に対する移行 B リンパ球の相対測定値 (比率またはパーセンテージ)。")</f>
        <v>生物学的標本におけるナイーブ B リンパ球に対する移行 B リンパ球の相対測定値 (比率またはパーセンテージ)。</v>
      </c>
      <c r="I613" s="3" t="str">
        <f ca="1">IFERROR(__xludf.DUMMYFUNCTION("googletranslate(F613,""en"",""ja"")"),"移行期Bリンパ球とナイーブBリンパ球の比率の測定")</f>
        <v>移行期Bリンパ球とナイーブBリンパ球の比率の測定</v>
      </c>
    </row>
    <row r="614" spans="1:9" ht="30">
      <c r="A614" s="3" t="s">
        <v>103</v>
      </c>
      <c r="B614" s="3" t="s">
        <v>2559</v>
      </c>
      <c r="C614" s="3" t="s">
        <v>2560</v>
      </c>
      <c r="D614" s="3" t="s">
        <v>2561</v>
      </c>
      <c r="E614" s="3" t="s">
        <v>2562</v>
      </c>
      <c r="F614" s="3" t="s">
        <v>2563</v>
      </c>
      <c r="G614" s="3" t="str">
        <f ca="1">IFERROR(__xludf.DUMMYFUNCTION("googletranslate(D614,""en"",""ja"")"),"B リンパ球の移行部分集団。 BLymトランスサブ")</f>
        <v>B リンパ球の移行部分集団。 BLymトランスサブ</v>
      </c>
      <c r="H614" s="3" t="str">
        <f ca="1">IFERROR(__xludf.DUMMYFUNCTION("googletranslate(E614,""en"",""ja"")"),"生物学的標本中の移行性 B リンパ球の部分集団の測定。")</f>
        <v>生物学的標本中の移行性 B リンパ球の部分集団の測定。</v>
      </c>
      <c r="I614" s="3" t="str">
        <f ca="1">IFERROR(__xludf.DUMMYFUNCTION("googletranslate(F614,""en"",""ja"")"),"移行期の B リンパ球部分集団数")</f>
        <v>移行期の B リンパ球部分集団数</v>
      </c>
    </row>
    <row r="615" spans="1:9" ht="45">
      <c r="A615" s="3" t="s">
        <v>103</v>
      </c>
      <c r="B615" s="3" t="s">
        <v>2564</v>
      </c>
      <c r="C615" s="3" t="s">
        <v>2565</v>
      </c>
      <c r="D615" s="3" t="s">
        <v>2566</v>
      </c>
      <c r="E615" s="3" t="s">
        <v>2567</v>
      </c>
      <c r="F615" s="3" t="s">
        <v>2568</v>
      </c>
      <c r="G615" s="3" t="str">
        <f ca="1">IFERROR(__xludf.DUMMYFUNCTION("googletranslate(D615,""en"",""ja"")"),"B リンパ球移行サブ集団/B リンパ球; BLymトランスサブ/BLym")</f>
        <v>B リンパ球移行サブ集団/B リンパ球; BLymトランスサブ/BLym</v>
      </c>
      <c r="H615" s="3" t="str">
        <f ca="1">IFERROR(__xludf.DUMMYFUNCTION("googletranslate(E615,""en"",""ja"")"),"生物学的標本中の B リンパ球に対する移行 B リンパ球の部分集団の相対測定値 (比率またはパーセンテージ)。")</f>
        <v>生物学的標本中の B リンパ球に対する移行 B リンパ球の部分集団の相対測定値 (比率またはパーセンテージ)。</v>
      </c>
      <c r="I615" s="3" t="str">
        <f ca="1">IFERROR(__xludf.DUMMYFUNCTION("googletranslate(F615,""en"",""ja"")"),"移行期の B リンパ球サブ集団と B リンパ球の比率の測定")</f>
        <v>移行期の B リンパ球サブ集団と B リンパ球の比率の測定</v>
      </c>
    </row>
    <row r="616" spans="1:9" ht="60">
      <c r="A616" s="3" t="s">
        <v>103</v>
      </c>
      <c r="B616" s="3" t="s">
        <v>2569</v>
      </c>
      <c r="C616" s="3" t="s">
        <v>2570</v>
      </c>
      <c r="D616" s="3" t="s">
        <v>2571</v>
      </c>
      <c r="E616" s="3" t="s">
        <v>2572</v>
      </c>
      <c r="F616" s="3" t="s">
        <v>2573</v>
      </c>
      <c r="G616" s="3" t="str">
        <f ca="1">IFERROR(__xludf.DUMMYFUNCTION("googletranslate(D616,""en"",""ja"")"),"B リンパ球移行サブ集団/B リンパ球移行; BLymトランスサブ/BLymトランス")</f>
        <v>B リンパ球移行サブ集団/B リンパ球移行; BLymトランスサブ/BLymトランス</v>
      </c>
      <c r="H616" s="3" t="str">
        <f ca="1">IFERROR(__xludf.DUMMYFUNCTION("googletranslate(E616,""en"",""ja"")"),"生物学的標本中の総移行性 B リンパ球に対する移行性 B リンパ球の部分集団の相対測定値 (比率またはパーセンテージ)。")</f>
        <v>生物学的標本中の総移行性 B リンパ球に対する移行性 B リンパ球の部分集団の相対測定値 (比率またはパーセンテージ)。</v>
      </c>
      <c r="I616" s="3" t="str">
        <f ca="1">IFERROR(__xludf.DUMMYFUNCTION("googletranslate(F616,""en"",""ja"")"),"移行性 B リンパ球部分集団と移行性 B リンパ球総数の比率の測定")</f>
        <v>移行性 B リンパ球部分集団と移行性 B リンパ球総数の比率の測定</v>
      </c>
    </row>
    <row r="617" spans="1:9" ht="30">
      <c r="A617" s="3" t="s">
        <v>118</v>
      </c>
      <c r="B617" s="3" t="s">
        <v>2574</v>
      </c>
      <c r="C617" s="3" t="s">
        <v>2575</v>
      </c>
      <c r="D617" s="3" t="s">
        <v>2575</v>
      </c>
      <c r="E617" s="3" t="s">
        <v>2576</v>
      </c>
      <c r="F617" s="3" t="s">
        <v>2575</v>
      </c>
      <c r="G617" s="3" t="str">
        <f ca="1">IFERROR(__xludf.DUMMYFUNCTION("googletranslate(D617,""en"",""ja"")"),"ボディマス指数")</f>
        <v>ボディマス指数</v>
      </c>
      <c r="H617" s="3" t="str">
        <f ca="1">IFERROR(__xludf.DUMMYFUNCTION("googletranslate(E617,""en"",""ja"")"),"体重と身長の比率に基づいて、個人の体脂肪を示す一般的な指標です。 (NCI)")</f>
        <v>体重と身長の比率に基づいて、個人の体脂肪を示す一般的な指標です。 (NCI)</v>
      </c>
      <c r="I617" s="3" t="str">
        <f ca="1">IFERROR(__xludf.DUMMYFUNCTION("googletranslate(F617,""en"",""ja"")"),"ボディマス指数")</f>
        <v>ボディマス指数</v>
      </c>
    </row>
    <row r="618" spans="1:9" ht="45">
      <c r="A618" s="3" t="s">
        <v>118</v>
      </c>
      <c r="B618" s="3" t="s">
        <v>2577</v>
      </c>
      <c r="C618" s="3" t="s">
        <v>2578</v>
      </c>
      <c r="D618" s="3" t="s">
        <v>2578</v>
      </c>
      <c r="E618" s="3" t="s">
        <v>2579</v>
      </c>
      <c r="F618" s="3" t="s">
        <v>2578</v>
      </c>
      <c r="G618" s="3" t="str">
        <f ca="1">IFERROR(__xludf.DUMMYFUNCTION("googletranslate(D618,""en"",""ja"")"),"年齢別BMIパーセンタイル")</f>
        <v>年齢別BMIパーセンタイル</v>
      </c>
      <c r="H618" s="3" t="str">
        <f ca="1">IFERROR(__xludf.DUMMYFUNCTION("googletranslate(E618,""en"",""ja"")"),"個人の BMI および年齢と参照集団の BMI および年齢との関係を評価したもので、パーセンタイルで表されます。")</f>
        <v>個人の BMI および年齢と参照集団の BMI および年齢との関係を評価したもので、パーセンタイルで表されます。</v>
      </c>
      <c r="I618" s="3" t="str">
        <f ca="1">IFERROR(__xludf.DUMMYFUNCTION("googletranslate(F618,""en"",""ja"")"),"年齢別BMIパーセンタイル")</f>
        <v>年齢別BMIパーセンタイル</v>
      </c>
    </row>
    <row r="619" spans="1:9" ht="75">
      <c r="A619" s="3" t="s">
        <v>103</v>
      </c>
      <c r="B619" s="3" t="s">
        <v>2580</v>
      </c>
      <c r="C619" s="3" t="s">
        <v>2581</v>
      </c>
      <c r="D619" s="3" t="s">
        <v>2582</v>
      </c>
      <c r="E619" s="3" t="s">
        <v>2583</v>
      </c>
      <c r="F619" s="3" t="s">
        <v>2584</v>
      </c>
      <c r="G619" s="3" t="str">
        <f ca="1">IFERROR(__xludf.DUMMYFUNCTION("googletranslate(D619,""en"",""ja"")"),"B リンパ球は非クラススイッチ/B リンパ球を記憶します。 B リンパ球記憶切り替えなし/B リンパ球; BLym メム NSw/BLym")</f>
        <v>B リンパ球は非クラススイッチ/B リンパ球を記憶します。 B リンパ球記憶切り替えなし/B リンパ球; BLym メム NSw/BLym</v>
      </c>
      <c r="H619" s="3" t="str">
        <f ca="1">IFERROR(__xludf.DUMMYFUNCTION("googletranslate(E619,""en"",""ja"")"),"生物学的検体中の総 B リンパ球に対する非クラススイッチ記憶 B リンパ球の相対測定値 (比率またはパーセンテージ)。")</f>
        <v>生物学的検体中の総 B リンパ球に対する非クラススイッチ記憶 B リンパ球の相対測定値 (比率またはパーセンテージ)。</v>
      </c>
      <c r="I619" s="3" t="str">
        <f ca="1">IFERROR(__xludf.DUMMYFUNCTION("googletranslate(F619,""en"",""ja"")"),"非クラススイッチ型メモリーBリンパ球対総Bリンパ球比測定")</f>
        <v>非クラススイッチ型メモリーBリンパ球対総Bリンパ球比測定</v>
      </c>
    </row>
    <row r="620" spans="1:9" ht="75">
      <c r="A620" s="3" t="s">
        <v>103</v>
      </c>
      <c r="B620" s="3" t="s">
        <v>2585</v>
      </c>
      <c r="C620" s="3" t="s">
        <v>2586</v>
      </c>
      <c r="D620" s="3" t="s">
        <v>2587</v>
      </c>
      <c r="E620" s="3" t="s">
        <v>2588</v>
      </c>
      <c r="F620" s="3" t="s">
        <v>2589</v>
      </c>
      <c r="G620" s="3" t="str">
        <f ca="1">IFERROR(__xludf.DUMMYFUNCTION("googletranslate(D620,""en"",""ja"")"),"Bリンパ球は非クラススイッチ/白血球を記憶します。 B リンパ球記憶切り替えなし/白血球。 BLym Mem NSw/Leuk")</f>
        <v>Bリンパ球は非クラススイッチ/白血球を記憶します。 B リンパ球記憶切り替えなし/白血球。 BLym Mem NSw/Leuk</v>
      </c>
      <c r="H620" s="3" t="str">
        <f ca="1">IFERROR(__xludf.DUMMYFUNCTION("googletranslate(E620,""en"",""ja"")"),"生物学的標本中の全白血球に対する非クラススイッチ記憶 B リンパ球の相対測定値 (比率またはパーセンテージ)。")</f>
        <v>生物学的標本中の全白血球に対する非クラススイッチ記憶 B リンパ球の相対測定値 (比率またはパーセンテージ)。</v>
      </c>
      <c r="I620" s="3" t="str">
        <f ca="1">IFERROR(__xludf.DUMMYFUNCTION("googletranslate(F620,""en"",""ja"")"),"非クラススイッチメモリーBリンパ球対白血球比測定")</f>
        <v>非クラススイッチメモリーBリンパ球対白血球比測定</v>
      </c>
    </row>
    <row r="621" spans="1:9" ht="120">
      <c r="A621" s="3" t="s">
        <v>103</v>
      </c>
      <c r="B621" s="3" t="s">
        <v>2590</v>
      </c>
      <c r="C621" s="3" t="s">
        <v>2591</v>
      </c>
      <c r="D621" s="3" t="s">
        <v>2592</v>
      </c>
      <c r="E621" s="3" t="s">
        <v>2593</v>
      </c>
      <c r="F621" s="3" t="s">
        <v>2594</v>
      </c>
      <c r="G621" s="3" t="str">
        <f ca="1">IFERROR(__xludf.DUMMYFUNCTION("googletranslate(D621,""en"",""ja"")"),"B リンパ球の記憶非クラススイッチ型亜集団/B リンパ球の記憶非クラススイッチ。 B リンパ球の記憶が切り替えられていない部分集団/B リンパ球の記憶が切り替えられていない。 BLym Mem NSw サブ/BLymMNSw")</f>
        <v>B リンパ球の記憶非クラススイッチ型亜集団/B リンパ球の記憶非クラススイッチ。 B リンパ球の記憶が切り替えられていない部分集団/B リンパ球の記憶が切り替えられていない。 BLym Mem NSw サブ/BLymMNSw</v>
      </c>
      <c r="H621" s="3" t="str">
        <f ca="1">IFERROR(__xludf.DUMMYFUNCTION("googletranslate(E621,""en"",""ja"")"),"生物学的検体中の総非クラススイッチ記憶 B リンパ球に対する非クラススイッチ記憶 B リンパ球の部分集団の相対測定値 (比率またはパーセンテージ)。")</f>
        <v>生物学的検体中の総非クラススイッチ記憶 B リンパ球に対する非クラススイッチ記憶 B リンパ球の部分集団の相対測定値 (比率またはパーセンテージ)。</v>
      </c>
      <c r="I621" s="3" t="str">
        <f ca="1">IFERROR(__xludf.DUMMYFUNCTION("googletranslate(F621,""en"",""ja"")"),"非クラススイッチ型メモリー B リンパ球部分集団と総非クラススイッチ型メモリー B リンパ球の比率の測定")</f>
        <v>非クラススイッチ型メモリー B リンパ球部分集団と総非クラススイッチ型メモリー B リンパ球の比率の測定</v>
      </c>
    </row>
    <row r="622" spans="1:9" ht="30">
      <c r="A622" s="3" t="s">
        <v>118</v>
      </c>
      <c r="B622" s="3" t="s">
        <v>2595</v>
      </c>
      <c r="C622" s="3" t="s">
        <v>2596</v>
      </c>
      <c r="D622" s="3" t="s">
        <v>2596</v>
      </c>
      <c r="E622" s="3" t="s">
        <v>2597</v>
      </c>
      <c r="F622" s="3" t="s">
        <v>2596</v>
      </c>
      <c r="G622" s="3" t="str">
        <f ca="1">IFERROR(__xludf.DUMMYFUNCTION("googletranslate(D622,""en"",""ja"")"),"基礎代謝率")</f>
        <v>基礎代謝率</v>
      </c>
      <c r="H622" s="3" t="str">
        <f ca="1">IFERROR(__xludf.DUMMYFUNCTION("googletranslate(E622,""en"",""ja"")"),"安静時の被験者のエネルギー消費量の測定。")</f>
        <v>安静時の被験者のエネルギー消費量の測定。</v>
      </c>
      <c r="I622" s="3" t="str">
        <f ca="1">IFERROR(__xludf.DUMMYFUNCTION("googletranslate(F622,""en"",""ja"")"),"基礎代謝率")</f>
        <v>基礎代謝率</v>
      </c>
    </row>
    <row r="623" spans="1:9" ht="60">
      <c r="A623" s="3" t="s">
        <v>103</v>
      </c>
      <c r="B623" s="3" t="s">
        <v>2598</v>
      </c>
      <c r="C623" s="3" t="s">
        <v>2599</v>
      </c>
      <c r="D623" s="3" t="s">
        <v>2600</v>
      </c>
      <c r="E623" s="3" t="s">
        <v>2601</v>
      </c>
      <c r="F623" s="3" t="s">
        <v>2602</v>
      </c>
      <c r="G623" s="3" t="str">
        <f ca="1">IFERROR(__xludf.DUMMYFUNCTION("googletranslate(D623,""en"",""ja"")"),"B リンパ球の記憶クラススイッチ/B リンパ球; B リンパ球記憶スイッチ/B リンパ球; BLym Mem SW/Blym")</f>
        <v>B リンパ球の記憶クラススイッチ/B リンパ球; B リンパ球記憶スイッチ/B リンパ球; BLym Mem SW/Blym</v>
      </c>
      <c r="H623" s="3" t="str">
        <f ca="1">IFERROR(__xludf.DUMMYFUNCTION("googletranslate(E623,""en"",""ja"")"),"生物学的検体中の総 B リンパ球に対するクラススイッチ記憶 B リンパ球の相対測定値 (比率またはパーセンテージ)。")</f>
        <v>生物学的検体中の総 B リンパ球に対するクラススイッチ記憶 B リンパ球の相対測定値 (比率またはパーセンテージ)。</v>
      </c>
      <c r="I623" s="3" t="str">
        <f ca="1">IFERROR(__xludf.DUMMYFUNCTION("googletranslate(F623,""en"",""ja"")"),"クラススイッチメモリーBリンパ球対Bリンパ球比測定")</f>
        <v>クラススイッチメモリーBリンパ球対Bリンパ球比測定</v>
      </c>
    </row>
    <row r="624" spans="1:9" ht="45">
      <c r="A624" s="3" t="s">
        <v>103</v>
      </c>
      <c r="B624" s="3" t="s">
        <v>2603</v>
      </c>
      <c r="C624" s="3" t="s">
        <v>2604</v>
      </c>
      <c r="D624" s="3" t="s">
        <v>2605</v>
      </c>
      <c r="E624" s="3" t="s">
        <v>2606</v>
      </c>
      <c r="F624" s="3" t="s">
        <v>2607</v>
      </c>
      <c r="G624" s="3" t="str">
        <f ca="1">IFERROR(__xludf.DUMMYFUNCTION("googletranslate(D624,""en"",""ja"")"),"B リンパ球メモリースイッチド IgG+。 BLym Mem Sw IgG+")</f>
        <v>B リンパ球メモリースイッチド IgG+。 BLym Mem Sw IgG+</v>
      </c>
      <c r="H624" s="3" t="str">
        <f ca="1">IFERROR(__xludf.DUMMYFUNCTION("googletranslate(E624,""en"",""ja"")"),"生物学的標本中の IgG+ クラススイッチ記憶 B リンパ球の測定。")</f>
        <v>生物学的標本中の IgG+ クラススイッチ記憶 B リンパ球の測定。</v>
      </c>
      <c r="I624" s="3" t="str">
        <f ca="1">IFERROR(__xludf.DUMMYFUNCTION("googletranslate(F624,""en"",""ja"")"),"免疫グロブリン G 陽性のクラススイッチ記憶 B リンパ球数")</f>
        <v>免疫グロブリン G 陽性のクラススイッチ記憶 B リンパ球数</v>
      </c>
    </row>
    <row r="625" spans="1:9" ht="75">
      <c r="A625" s="3" t="s">
        <v>103</v>
      </c>
      <c r="B625" s="3" t="s">
        <v>2608</v>
      </c>
      <c r="C625" s="3" t="s">
        <v>2609</v>
      </c>
      <c r="D625" s="3" t="s">
        <v>2610</v>
      </c>
      <c r="E625" s="3" t="s">
        <v>2611</v>
      </c>
      <c r="F625" s="3" t="s">
        <v>2612</v>
      </c>
      <c r="G625" s="3" t="str">
        <f ca="1">IFERROR(__xludf.DUMMYFUNCTION("googletranslate(D625,""en"",""ja"")"),"B リンパ球の記憶スイッチ IgG+/B リンパ球の記憶スイッチ。 BLym Mem Sw IgG+/BLym Mem Sw")</f>
        <v>B リンパ球の記憶スイッチ IgG+/B リンパ球の記憶スイッチ。 BLym Mem Sw IgG+/BLym Mem Sw</v>
      </c>
      <c r="H625" s="3" t="str">
        <f ca="1">IFERROR(__xludf.DUMMYFUNCTION("googletranslate(E625,""en"",""ja"")"),"生物学的標本中の IgG+ メモリースイッチ B リンパ球からクラススイッチメモリー B リンパ球の相対測定 (比率またはパーセンテージ) です。")</f>
        <v>生物学的標本中の IgG+ メモリースイッチ B リンパ球からクラススイッチメモリー B リンパ球の相対測定 (比率またはパーセンテージ) です。</v>
      </c>
      <c r="I625" s="3" t="str">
        <f ca="1">IFERROR(__xludf.DUMMYFUNCTION("googletranslate(F625,""en"",""ja"")"),"免疫グロブリン G 陽性のメモリースイッチングされた B リンパ球とメモリースイッチングされた B リンパ球の比率の測定")</f>
        <v>免疫グロブリン G 陽性のメモリースイッチングされた B リンパ球とメモリースイッチングされた B リンパ球の比率の測定</v>
      </c>
    </row>
    <row r="626" spans="1:9" ht="45">
      <c r="A626" s="3" t="s">
        <v>103</v>
      </c>
      <c r="B626" s="3" t="s">
        <v>2613</v>
      </c>
      <c r="C626" s="3" t="s">
        <v>2614</v>
      </c>
      <c r="D626" s="3" t="s">
        <v>2615</v>
      </c>
      <c r="E626" s="3" t="s">
        <v>2616</v>
      </c>
      <c r="F626" s="3" t="s">
        <v>2617</v>
      </c>
      <c r="G626" s="3" t="str">
        <f ca="1">IFERROR(__xludf.DUMMYFUNCTION("googletranslate(D626,""en"",""ja"")"),"B リンパ球メモリースイッチド IgM+。 BLym Mem Sw IgM+")</f>
        <v>B リンパ球メモリースイッチド IgM+。 BLym Mem Sw IgM+</v>
      </c>
      <c r="H626" s="3" t="str">
        <f ca="1">IFERROR(__xludf.DUMMYFUNCTION("googletranslate(E626,""en"",""ja"")"),"生物学的標本中の IgM+ クラススイッチ記憶 B リンパ球の測定。")</f>
        <v>生物学的標本中の IgM+ クラススイッチ記憶 B リンパ球の測定。</v>
      </c>
      <c r="I626" s="3" t="str">
        <f ca="1">IFERROR(__xludf.DUMMYFUNCTION("googletranslate(F626,""en"",""ja"")"),"免疫グロブリン M 陽性クラススイッチ記憶 B リンパ球数")</f>
        <v>免疫グロブリン M 陽性クラススイッチ記憶 B リンパ球数</v>
      </c>
    </row>
    <row r="627" spans="1:9" ht="60">
      <c r="A627" s="3" t="s">
        <v>103</v>
      </c>
      <c r="B627" s="3" t="s">
        <v>2618</v>
      </c>
      <c r="C627" s="3" t="s">
        <v>2619</v>
      </c>
      <c r="D627" s="3" t="s">
        <v>2620</v>
      </c>
      <c r="E627" s="3" t="s">
        <v>2621</v>
      </c>
      <c r="F627" s="3" t="s">
        <v>2622</v>
      </c>
      <c r="G627" s="3" t="str">
        <f ca="1">IFERROR(__xludf.DUMMYFUNCTION("googletranslate(D627,""en"",""ja"")"),"B リンパ球のメモリー スイッチ IgM+/B リンパ球のメモリー スイッチ。 BLym Mem Sw IgM+/BLym Mem Sw")</f>
        <v>B リンパ球のメモリー スイッチ IgM+/B リンパ球のメモリー スイッチ。 BLym Mem Sw IgM+/BLym Mem Sw</v>
      </c>
      <c r="H627" s="3" t="str">
        <f ca="1">IFERROR(__xludf.DUMMYFUNCTION("googletranslate(E627,""en"",""ja"")"),"生物学的検体中のクラススイッチ記憶 B リンパ球に対する IgM+ クラススイッチ記憶 B リンパ球の相対測定値 (比率またはパーセンテージ)。")</f>
        <v>生物学的検体中のクラススイッチ記憶 B リンパ球に対する IgM+ クラススイッチ記憶 B リンパ球の相対測定値 (比率またはパーセンテージ)。</v>
      </c>
      <c r="I627" s="3" t="str">
        <f ca="1">IFERROR(__xludf.DUMMYFUNCTION("googletranslate(F627,""en"",""ja"")"),"免疫グロブリン M 陽性のメモリースイッチド B リンパ球とメモリースイッチド B リンパ球の比率の測定")</f>
        <v>免疫グロブリン M 陽性のメモリースイッチド B リンパ球とメモリースイッチド B リンパ球の比率の測定</v>
      </c>
    </row>
    <row r="628" spans="1:9" ht="75">
      <c r="A628" s="3" t="s">
        <v>103</v>
      </c>
      <c r="B628" s="3" t="s">
        <v>2623</v>
      </c>
      <c r="C628" s="3" t="s">
        <v>2624</v>
      </c>
      <c r="D628" s="3" t="s">
        <v>2625</v>
      </c>
      <c r="E628" s="3" t="s">
        <v>2626</v>
      </c>
      <c r="F628" s="3" t="s">
        <v>2627</v>
      </c>
      <c r="G628" s="3" t="str">
        <f ca="1">IFERROR(__xludf.DUMMYFUNCTION("googletranslate(D628,""en"",""ja"")"),"Bリンパ球の記憶クラススイッチ型は型破り。 Bリンパ球の記憶は型破りに切り替わります。 BLym Mem Sw Uncv")</f>
        <v>Bリンパ球の記憶クラススイッチ型は型破り。 Bリンパ球の記憶は型破りに切り替わります。 BLym Mem Sw Uncv</v>
      </c>
      <c r="H628" s="3" t="str">
        <f ca="1">IFERROR(__xludf.DUMMYFUNCTION("googletranslate(E628,""en"",""ja"")"),"生物学的標本中の型破りなクラススイッチ記憶 B リンパ球の測定。")</f>
        <v>生物学的標本中の型破りなクラススイッチ記憶 B リンパ球の測定。</v>
      </c>
      <c r="I628" s="3" t="str">
        <f ca="1">IFERROR(__xludf.DUMMYFUNCTION("googletranslate(F628,""en"",""ja"")"),"型破りなクラススイッチ記憶 B リンパ球数")</f>
        <v>型破りなクラススイッチ記憶 B リンパ球数</v>
      </c>
    </row>
    <row r="629" spans="1:9" ht="90">
      <c r="A629" s="3" t="s">
        <v>103</v>
      </c>
      <c r="B629" s="3" t="s">
        <v>2628</v>
      </c>
      <c r="C629" s="3" t="s">
        <v>2629</v>
      </c>
      <c r="D629" s="3" t="s">
        <v>2630</v>
      </c>
      <c r="E629" s="3" t="s">
        <v>2631</v>
      </c>
      <c r="F629" s="3" t="s">
        <v>2632</v>
      </c>
      <c r="G629" s="3" t="str">
        <f ca="1">IFERROR(__xludf.DUMMYFUNCTION("googletranslate(D629,""en"",""ja"")"),"B リンパ球の記憶クラススイッチ型の非従来型/B リンパ球。 B リンパ球の記憶スイッチ型の非従来型/B リンパ球。 BLym Mem Sw Uncv/BLym")</f>
        <v>B リンパ球の記憶クラススイッチ型の非従来型/B リンパ球。 B リンパ球の記憶スイッチ型の非従来型/B リンパ球。 BLym Mem Sw Uncv/BLym</v>
      </c>
      <c r="H629" s="3" t="str">
        <f ca="1">IFERROR(__xludf.DUMMYFUNCTION("googletranslate(E629,""en"",""ja"")"),"生物学的標本中の B リンパ球に対する型破りなクラススイッチ記憶 B リンパ球の相対測定 (比率またはパーセンテージ)。")</f>
        <v>生物学的標本中の B リンパ球に対する型破りなクラススイッチ記憶 B リンパ球の相対測定 (比率またはパーセンテージ)。</v>
      </c>
      <c r="I629" s="3" t="str">
        <f ca="1">IFERROR(__xludf.DUMMYFUNCTION("googletranslate(F629,""en"",""ja"")"),"型破りなクラススイッチ記憶Bリンパ球対Bリンパ球比測定")</f>
        <v>型破りなクラススイッチ記憶Bリンパ球対Bリンパ球比測定</v>
      </c>
    </row>
    <row r="630" spans="1:9" ht="45">
      <c r="A630" s="3" t="s">
        <v>103</v>
      </c>
      <c r="B630" s="3" t="s">
        <v>2633</v>
      </c>
      <c r="C630" s="3" t="s">
        <v>2634</v>
      </c>
      <c r="D630" s="3" t="s">
        <v>2635</v>
      </c>
      <c r="E630" s="3" t="s">
        <v>2636</v>
      </c>
      <c r="F630" s="3" t="s">
        <v>2637</v>
      </c>
      <c r="G630" s="3" t="str">
        <f ca="1">IFERROR(__xludf.DUMMYFUNCTION("googletranslate(D630,""en"",""ja"")"),"B リンパ球の記憶スイッチ型型破りな IgG+。 BLym Mem Sw Uncv IgG+")</f>
        <v>B リンパ球の記憶スイッチ型型破りな IgG+。 BLym Mem Sw Uncv IgG+</v>
      </c>
      <c r="H630" s="3" t="str">
        <f ca="1">IFERROR(__xludf.DUMMYFUNCTION("googletranslate(E630,""en"",""ja"")"),"生物学的検体中の従来とは異なるクラススイッチ IgG 陽性メモリー B リンパ球の測定。")</f>
        <v>生物学的検体中の従来とは異なるクラススイッチ IgG 陽性メモリー B リンパ球の測定。</v>
      </c>
      <c r="I630" s="3" t="str">
        <f ca="1">IFERROR(__xludf.DUMMYFUNCTION("googletranslate(F630,""en"",""ja"")"),"型破りなクラススイッチ IgG 陽性メモリー B リンパ球数")</f>
        <v>型破りなクラススイッチ IgG 陽性メモリー B リンパ球数</v>
      </c>
    </row>
    <row r="631" spans="1:9" ht="90">
      <c r="A631" s="3" t="s">
        <v>103</v>
      </c>
      <c r="B631" s="3" t="s">
        <v>2638</v>
      </c>
      <c r="C631" s="3" t="s">
        <v>2639</v>
      </c>
      <c r="D631" s="3" t="s">
        <v>2640</v>
      </c>
      <c r="E631" s="3" t="s">
        <v>2641</v>
      </c>
      <c r="F631" s="3" t="s">
        <v>2642</v>
      </c>
      <c r="G631" s="3" t="str">
        <f ca="1">IFERROR(__xludf.DUMMYFUNCTION("googletranslate(D631,""en"",""ja"")"),"Bリンパ球の記憶クラススイッチ型非従来型/白血球。 Bリンパ球の記憶スイッチ型非従来型/白血球。 BLym Mem Sw Uncv/Leuk")</f>
        <v>Bリンパ球の記憶クラススイッチ型非従来型/白血球。 Bリンパ球の記憶スイッチ型非従来型/白血球。 BLym Mem Sw Uncv/Leuk</v>
      </c>
      <c r="H631" s="3" t="str">
        <f ca="1">IFERROR(__xludf.DUMMYFUNCTION("googletranslate(E631,""en"",""ja"")"),"生物学的標本中の白血球に対する型破りなクラススイッチ記憶 B リンパ球の相対測定値 (比率またはパーセンテージ)。")</f>
        <v>生物学的標本中の白血球に対する型破りなクラススイッチ記憶 B リンパ球の相対測定値 (比率またはパーセンテージ)。</v>
      </c>
      <c r="I631" s="3" t="str">
        <f ca="1">IFERROR(__xludf.DUMMYFUNCTION("googletranslate(F631,""en"",""ja"")"),"型破りなクラススイッチ記憶 B リンパ球と白血球の比率の測定")</f>
        <v>型破りなクラススイッチ記憶 B リンパ球と白血球の比率の測定</v>
      </c>
    </row>
    <row r="632" spans="1:9" ht="90">
      <c r="A632" s="3" t="s">
        <v>103</v>
      </c>
      <c r="B632" s="3" t="s">
        <v>2643</v>
      </c>
      <c r="C632" s="3" t="s">
        <v>2644</v>
      </c>
      <c r="D632" s="3" t="s">
        <v>2645</v>
      </c>
      <c r="E632" s="3" t="s">
        <v>2646</v>
      </c>
      <c r="F632" s="3" t="s">
        <v>2647</v>
      </c>
      <c r="G632" s="3" t="str">
        <f ca="1">IFERROR(__xludf.DUMMYFUNCTION("googletranslate(D632,""en"",""ja"")"),"Bリンパ球の記憶クラススイッチ型の型破りな部分集団。 Bリンパ球の記憶が切り替わった型破りな部分集団。 BLym Mem Sw Uncv Sub")</f>
        <v>Bリンパ球の記憶クラススイッチ型の型破りな部分集団。 Bリンパ球の記憶が切り替わった型破りな部分集団。 BLym Mem Sw Uncv Sub</v>
      </c>
      <c r="H632" s="3" t="str">
        <f ca="1">IFERROR(__xludf.DUMMYFUNCTION("googletranslate(E632,""en"",""ja"")"),"生物学的標本中の型破りなクラススイッチ記憶 B リンパ球の部分集団の測定。")</f>
        <v>生物学的標本中の型破りなクラススイッチ記憶 B リンパ球の部分集団の測定。</v>
      </c>
      <c r="I632" s="3" t="str">
        <f ca="1">IFERROR(__xludf.DUMMYFUNCTION("googletranslate(F632,""en"",""ja"")"),"型破りなクラススイッチ記憶 B リンパ球部分集団数")</f>
        <v>型破りなクラススイッチ記憶 B リンパ球部分集団数</v>
      </c>
    </row>
    <row r="633" spans="1:9" ht="150">
      <c r="A633" s="3" t="s">
        <v>103</v>
      </c>
      <c r="B633" s="3" t="s">
        <v>2648</v>
      </c>
      <c r="C633" s="3" t="s">
        <v>2649</v>
      </c>
      <c r="D633" s="3" t="s">
        <v>2650</v>
      </c>
      <c r="E633" s="3" t="s">
        <v>2651</v>
      </c>
      <c r="F633" s="3" t="s">
        <v>2652</v>
      </c>
      <c r="G633" s="3" t="str">
        <f ca="1">IFERROR(__xludf.DUMMYFUNCTION("googletranslate(D633,""en"",""ja"")"),"B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f>
        <v>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v>
      </c>
      <c r="H633" s="3" t="str">
        <f ca="1">IFERROR(__xludf.DUMMYFUNCTION("googletranslate(E633,""en"",""ja"")"),"生物学的標本中の非従来型クラススイッチ記憶 B リンパ球に対する非従来型クラススイッチ記憶 B リンパ球の部分集団の相対測定値 (比率またはパーセンテージ)。")</f>
        <v>生物学的標本中の非従来型クラススイッチ記憶 B リンパ球に対する非従来型クラススイッチ記憶 B リンパ球の部分集団の相対測定値 (比率またはパーセンテージ)。</v>
      </c>
      <c r="I633" s="3" t="str">
        <f ca="1">IFERROR(__xludf.DUMMYFUNCTION("googletranslate(F633,""en"",""ja"")"),"型破りなクラススイッチ記憶 B リンパ球部分集団と型破りなクラススイッチ記憶 B リンパ球比率の測定")</f>
        <v>型破りなクラススイッチ記憶 B リンパ球部分集団と型破りなクラススイッチ記憶 B リンパ球比率の測定</v>
      </c>
    </row>
    <row r="634" spans="1:9" ht="90">
      <c r="A634" s="3" t="s">
        <v>103</v>
      </c>
      <c r="B634" s="3" t="s">
        <v>2653</v>
      </c>
      <c r="C634" s="3" t="s">
        <v>2654</v>
      </c>
      <c r="D634" s="3" t="s">
        <v>2655</v>
      </c>
      <c r="E634" s="3" t="s">
        <v>2656</v>
      </c>
      <c r="F634" s="3" t="s">
        <v>2657</v>
      </c>
      <c r="G634" s="3" t="str">
        <f ca="1">IFERROR(__xludf.DUMMYFUNCTION("googletranslate(D634,""en"",""ja"")"),"B リンパ球の記憶クラススイッチ亜集団/B リンパ球; B リンパ球の記憶スイッチされた部分集団/B リンパ球; BLym Mem Sw Sub/BLym")</f>
        <v>B リンパ球の記憶クラススイッチ亜集団/B リンパ球; B リンパ球の記憶スイッチされた部分集団/B リンパ球; BLym Mem Sw Sub/BLym</v>
      </c>
      <c r="H634" s="3" t="str">
        <f ca="1">IFERROR(__xludf.DUMMYFUNCTION("googletranslate(E634,""en"",""ja"")"),"生物学的標本中の総 B リンパ球に対するクラススイッチ記憶 B リンパ球の部分集団の相対測定値 (比率またはパーセンテージ)。")</f>
        <v>生物学的標本中の総 B リンパ球に対するクラススイッチ記憶 B リンパ球の部分集団の相対測定値 (比率またはパーセンテージ)。</v>
      </c>
      <c r="I634" s="3" t="str">
        <f ca="1">IFERROR(__xludf.DUMMYFUNCTION("googletranslate(F634,""en"",""ja"")"),"クラススイッチ型メモリーBリンパ球部分集団対総Bリンパ球比の測定")</f>
        <v>クラススイッチ型メモリーBリンパ球部分集団対総Bリンパ球比の測定</v>
      </c>
    </row>
    <row r="635" spans="1:9" ht="120">
      <c r="A635" s="3" t="s">
        <v>103</v>
      </c>
      <c r="B635" s="3" t="s">
        <v>2658</v>
      </c>
      <c r="C635" s="3" t="s">
        <v>2659</v>
      </c>
      <c r="D635" s="3" t="s">
        <v>2660</v>
      </c>
      <c r="E635" s="3" t="s">
        <v>2661</v>
      </c>
      <c r="F635" s="3" t="s">
        <v>2662</v>
      </c>
      <c r="G635" s="3" t="str">
        <f ca="1">IFERROR(__xludf.DUMMYFUNCTION("googletranslate(D635,""en"",""ja"")"),"B リンパ球記憶クラススイッチ亜集団/B リンパ球記憶クラススイッチ。 B リンパ球の記憶が切り替わった部分集団/B リンパ球の記憶が切り替わった。 BLym Mem Sw サブ/BLym Mem Sw; BLym Mem Sw Sub/BLymMSw")</f>
        <v>B リンパ球記憶クラススイッチ亜集団/B リンパ球記憶クラススイッチ。 B リンパ球の記憶が切り替わった部分集団/B リンパ球の記憶が切り替わった。 BLym Mem Sw サブ/BLym Mem Sw; BLym Mem Sw Sub/BLymMSw</v>
      </c>
      <c r="H635" s="3" t="str">
        <f ca="1">IFERROR(__xludf.DUMMYFUNCTION("googletranslate(E635,""en"",""ja"")"),"生物学的検体中の総クラススイッチ記憶 B リンパ球に対するクラススイッチ記憶 B リンパ球の部分集団の相対測定値 (比率またはパーセンテージ)。")</f>
        <v>生物学的検体中の総クラススイッチ記憶 B リンパ球に対するクラススイッチ記憶 B リンパ球の部分集団の相対測定値 (比率またはパーセンテージ)。</v>
      </c>
      <c r="I635" s="3" t="str">
        <f ca="1">IFERROR(__xludf.DUMMYFUNCTION("googletranslate(F635,""en"",""ja"")"),"クラススイッチメモリーBリンパ球サブ集団対総クラススイッチメモリーBリンパ球比率の測定")</f>
        <v>クラススイッチメモリーBリンパ球サブ集団対総クラススイッチメモリーBリンパ球比率の測定</v>
      </c>
    </row>
    <row r="636" spans="1:9" ht="30">
      <c r="A636" s="3" t="s">
        <v>67</v>
      </c>
      <c r="B636" s="3" t="s">
        <v>2663</v>
      </c>
      <c r="C636" s="3" t="s">
        <v>2664</v>
      </c>
      <c r="D636" s="3" t="s">
        <v>2664</v>
      </c>
      <c r="E636" s="3" t="s">
        <v>2665</v>
      </c>
      <c r="F636" s="3" t="s">
        <v>2666</v>
      </c>
      <c r="G636" s="3" t="str">
        <f ca="1">IFERROR(__xludf.DUMMYFUNCTION("googletranslate(D636,""en"",""ja"")"),"バークホルデリア・マルチボラン")</f>
        <v>バークホルデリア・マルチボラン</v>
      </c>
      <c r="H636" s="3" t="str">
        <f ca="1">IFERROR(__xludf.DUMMYFUNCTION("googletranslate(E636,""en"",""ja"")"),"生物学的標本中の Burkholderia multivorans の測定。")</f>
        <v>生物学的標本中の Burkholderia multivorans の測定。</v>
      </c>
      <c r="I636" s="3" t="str">
        <f ca="1">IFERROR(__xludf.DUMMYFUNCTION("googletranslate(F636,""en"",""ja"")"),"バークホルデリア・マルチボランスの測定")</f>
        <v>バークホルデリア・マルチボランスの測定</v>
      </c>
    </row>
    <row r="637" spans="1:9" ht="30">
      <c r="A637" s="3" t="s">
        <v>210</v>
      </c>
      <c r="B637" s="3" t="s">
        <v>2667</v>
      </c>
      <c r="C637" s="3" t="s">
        <v>2668</v>
      </c>
      <c r="D637" s="3" t="s">
        <v>2668</v>
      </c>
      <c r="E637" s="3" t="s">
        <v>2669</v>
      </c>
      <c r="F637" s="3" t="s">
        <v>2668</v>
      </c>
      <c r="G637" s="3" t="str">
        <f ca="1">IFERROR(__xludf.DUMMYFUNCTION("googletranslate(D637,""en"",""ja"")"),"骨髄トレーサーの取り込み")</f>
        <v>骨髄トレーサーの取り込み</v>
      </c>
      <c r="H637" s="3" t="str">
        <f ca="1">IFERROR(__xludf.DUMMYFUNCTION("googletranslate(E637,""en"",""ja"")"),"骨髄内のトレーサー取り込みの程度と強度の組み合わせを視覚的に評価します。")</f>
        <v>骨髄内のトレーサー取り込みの程度と強度の組み合わせを視覚的に評価します。</v>
      </c>
      <c r="I637" s="3" t="str">
        <f ca="1">IFERROR(__xludf.DUMMYFUNCTION("googletranslate(F637,""en"",""ja"")"),"骨髄トレーサーの取り込み")</f>
        <v>骨髄トレーサーの取り込み</v>
      </c>
    </row>
    <row r="638" spans="1:9">
      <c r="A638" s="3" t="s">
        <v>210</v>
      </c>
      <c r="B638" s="3" t="s">
        <v>2670</v>
      </c>
      <c r="C638" s="3" t="s">
        <v>2671</v>
      </c>
      <c r="D638" s="3" t="s">
        <v>2671</v>
      </c>
      <c r="E638" s="3" t="s">
        <v>2672</v>
      </c>
      <c r="F638" s="3" t="s">
        <v>2671</v>
      </c>
      <c r="G638" s="3" t="str">
        <f ca="1">IFERROR(__xludf.DUMMYFUNCTION("googletranslate(D638,""en"",""ja"")"),"骨病変の数")</f>
        <v>骨病変の数</v>
      </c>
      <c r="H638" s="3" t="str">
        <f ca="1">IFERROR(__xludf.DUMMYFUNCTION("googletranslate(E638,""en"",""ja"")"),"骨内の病変の数。")</f>
        <v>骨内の病変の数。</v>
      </c>
      <c r="I638" s="3" t="str">
        <f ca="1">IFERROR(__xludf.DUMMYFUNCTION("googletranslate(F638,""en"",""ja"")"),"骨病変の数")</f>
        <v>骨病変の数</v>
      </c>
    </row>
    <row r="639" spans="1:9" ht="30">
      <c r="A639" s="3" t="s">
        <v>6</v>
      </c>
      <c r="B639" s="3" t="s">
        <v>2673</v>
      </c>
      <c r="C639" s="3" t="s">
        <v>2674</v>
      </c>
      <c r="D639" s="3" t="s">
        <v>2675</v>
      </c>
      <c r="E639" s="3" t="s">
        <v>2676</v>
      </c>
      <c r="F639" s="3" t="s">
        <v>2677</v>
      </c>
      <c r="G639" s="3" t="str">
        <f ca="1">IFERROR(__xludf.DUMMYFUNCTION("googletranslate(D639,""en"",""ja"")"),"B 型ナトリウム利尿ペプチド;脳ナトリウム利尿ペプチド")</f>
        <v>B 型ナトリウム利尿ペプチド;脳ナトリウム利尿ペプチド</v>
      </c>
      <c r="H639" s="3" t="str">
        <f ca="1">IFERROR(__xludf.DUMMYFUNCTION("googletranslate(E639,""en"",""ja"")"),"生物学的標本中の脳 (B タイプ) ナトリウム利尿ペプチドの測定。")</f>
        <v>生物学的標本中の脳 (B タイプ) ナトリウム利尿ペプチドの測定。</v>
      </c>
      <c r="I639" s="3" t="str">
        <f ca="1">IFERROR(__xludf.DUMMYFUNCTION("googletranslate(F639,""en"",""ja"")"),"脳ナトリウム利尿ペプチド測定")</f>
        <v>脳ナトリウム利尿ペプチド測定</v>
      </c>
    </row>
    <row r="640" spans="1:9" ht="45">
      <c r="A640" s="3" t="s">
        <v>6</v>
      </c>
      <c r="B640" s="3" t="s">
        <v>2678</v>
      </c>
      <c r="C640" s="3" t="s">
        <v>2679</v>
      </c>
      <c r="D640" s="3" t="s">
        <v>2680</v>
      </c>
      <c r="E640" s="3" t="s">
        <v>2681</v>
      </c>
      <c r="F640" s="3" t="s">
        <v>2682</v>
      </c>
      <c r="G640" s="3" t="str">
        <f ca="1">IFERROR(__xludf.DUMMYFUNCTION("googletranslate(D640,""en"",""ja"")"),"プロブレインナトリウム利尿ペプチド; ProB タイプのナトリウム利尿ペプチド。プロBNP")</f>
        <v>プロブレインナトリウム利尿ペプチド; ProB タイプのナトリウム利尿ペプチド。プロBNP</v>
      </c>
      <c r="H640" s="3" t="str">
        <f ca="1">IFERROR(__xludf.DUMMYFUNCTION("googletranslate(E640,""en"",""ja"")"),"生体試料中の proB 型ナトリウム利尿ペプチドの測定。")</f>
        <v>生体試料中の proB 型ナトリウム利尿ペプチドの測定。</v>
      </c>
      <c r="I640" s="3" t="str">
        <f ca="1">IFERROR(__xludf.DUMMYFUNCTION("googletranslate(F640,""en"",""ja"")"),"ProB型ナトリウム利尿ペプチド測定")</f>
        <v>ProB型ナトリウム利尿ペプチド測定</v>
      </c>
    </row>
    <row r="641" spans="1:9" ht="45">
      <c r="A641" s="3" t="s">
        <v>6</v>
      </c>
      <c r="B641" s="3" t="s">
        <v>2683</v>
      </c>
      <c r="C641" s="3" t="s">
        <v>2684</v>
      </c>
      <c r="D641" s="3" t="s">
        <v>2685</v>
      </c>
      <c r="E641" s="3" t="s">
        <v>2686</v>
      </c>
      <c r="F641" s="3" t="s">
        <v>2687</v>
      </c>
      <c r="G641" s="3" t="str">
        <f ca="1">IFERROR(__xludf.DUMMYFUNCTION("googletranslate(D641,""en"",""ja"")"),"N末端プロ脳ナトリウム利尿ペプチド。 N末端ProB型ナトリウム利尿ペプチド; NT proBNP II")</f>
        <v>N末端プロ脳ナトリウム利尿ペプチド。 N末端ProB型ナトリウム利尿ペプチド; NT proBNP II</v>
      </c>
      <c r="H641" s="3" t="str">
        <f ca="1">IFERROR(__xludf.DUMMYFUNCTION("googletranslate(E641,""en"",""ja"")"),"生体試料中の N 末端 proB 型ナトリウム利尿ペプチドの測定。")</f>
        <v>生体試料中の N 末端 proB 型ナトリウム利尿ペプチドの測定。</v>
      </c>
      <c r="I641" s="3" t="str">
        <f ca="1">IFERROR(__xludf.DUMMYFUNCTION("googletranslate(F641,""en"",""ja"")"),"N末端ProB型ナトリウム利尿ペプチド測定")</f>
        <v>N末端ProB型ナトリウム利尿ペプチド測定</v>
      </c>
    </row>
    <row r="642" spans="1:9" ht="60">
      <c r="A642" s="3" t="s">
        <v>103</v>
      </c>
      <c r="B642" s="3" t="s">
        <v>2688</v>
      </c>
      <c r="C642" s="3" t="s">
        <v>2689</v>
      </c>
      <c r="D642" s="3" t="s">
        <v>2690</v>
      </c>
      <c r="E642" s="3" t="s">
        <v>2691</v>
      </c>
      <c r="F642" s="3" t="s">
        <v>2692</v>
      </c>
      <c r="G642" s="3" t="str">
        <f ca="1">IFERROR(__xludf.DUMMYFUNCTION("googletranslate(D642,""en"",""ja"")"),"B リンパ球ナイーブサブ集団/B リンパ球、ナイーブ; BLym ナイーブ サブ/BLym ナイーブ")</f>
        <v>B リンパ球ナイーブサブ集団/B リンパ球、ナイーブ; BLym ナイーブ サブ/BLym ナイーブ</v>
      </c>
      <c r="H642" s="3" t="str">
        <f ca="1">IFERROR(__xludf.DUMMYFUNCTION("googletranslate(E642,""en"",""ja"")"),"生物学的標本中のナイーブ B リンパ球に対するナイーブ B リンパ球の部分集団の相対測定値 (比率またはパーセンテージ)。")</f>
        <v>生物学的標本中のナイーブ B リンパ球に対するナイーブ B リンパ球の部分集団の相対測定値 (比率またはパーセンテージ)。</v>
      </c>
      <c r="I642" s="3" t="str">
        <f ca="1">IFERROR(__xludf.DUMMYFUNCTION("googletranslate(F642,""en"",""ja"")"),"ナイーブ B リンパ球サブ集団と総 B リンパ球のナイーブ比率の測定")</f>
        <v>ナイーブ B リンパ球サブ集団と総 B リンパ球のナイーブ比率の測定</v>
      </c>
    </row>
    <row r="643" spans="1:9" ht="30">
      <c r="A643" s="3" t="s">
        <v>6</v>
      </c>
      <c r="B643" s="3" t="s">
        <v>2693</v>
      </c>
      <c r="C643" s="3" t="s">
        <v>2694</v>
      </c>
      <c r="D643" s="3" t="s">
        <v>2694</v>
      </c>
      <c r="E643" s="3" t="s">
        <v>2695</v>
      </c>
      <c r="F643" s="3" t="s">
        <v>2696</v>
      </c>
      <c r="G643" s="3" t="str">
        <f ca="1">IFERROR(__xludf.DUMMYFUNCTION("googletranslate(D643,""en"",""ja"")"),"ベンゾジアゼピン")</f>
        <v>ベンゾジアゼピン</v>
      </c>
      <c r="H643" s="3" t="str">
        <f ca="1">IFERROR(__xludf.DUMMYFUNCTION("googletranslate(E643,""en"",""ja"")"),"生物学的標本中に存在するベンゾジアゼピン系薬物の測定。")</f>
        <v>生物学的標本中に存在するベンゾジアゼピン系薬物の測定。</v>
      </c>
      <c r="I643" s="3" t="str">
        <f ca="1">IFERROR(__xludf.DUMMYFUNCTION("googletranslate(F643,""en"",""ja"")"),"ベンゾジアゼピンの測定")</f>
        <v>ベンゾジアゼピンの測定</v>
      </c>
    </row>
    <row r="644" spans="1:9" ht="30">
      <c r="A644" s="3" t="s">
        <v>6</v>
      </c>
      <c r="B644" s="3" t="s">
        <v>2697</v>
      </c>
      <c r="C644" s="3" t="s">
        <v>2698</v>
      </c>
      <c r="D644" s="3" t="s">
        <v>2698</v>
      </c>
      <c r="E644" s="3" t="s">
        <v>2699</v>
      </c>
      <c r="F644" s="3" t="s">
        <v>2700</v>
      </c>
      <c r="G644" s="3" t="str">
        <f ca="1">IFERROR(__xludf.DUMMYFUNCTION("googletranslate(D644,""en"",""ja"")"),"ベンゾイルエクゴニン")</f>
        <v>ベンゾイルエクゴニン</v>
      </c>
      <c r="H644" s="3" t="str">
        <f ca="1">IFERROR(__xludf.DUMMYFUNCTION("googletranslate(E644,""en"",""ja"")"),"生物学的標本中のベンゾイルエクゴニンの測定。")</f>
        <v>生物学的標本中のベンゾイルエクゴニンの測定。</v>
      </c>
      <c r="I644" s="3" t="str">
        <f ca="1">IFERROR(__xludf.DUMMYFUNCTION("googletranslate(F644,""en"",""ja"")"),"ベンゾイルエクゴニンの測定")</f>
        <v>ベンゾイルエクゴニンの測定</v>
      </c>
    </row>
    <row r="645" spans="1:9">
      <c r="A645" s="3" t="s">
        <v>51</v>
      </c>
      <c r="B645" s="3" t="s">
        <v>2701</v>
      </c>
      <c r="C645" s="3" t="s">
        <v>2702</v>
      </c>
      <c r="D645" s="3" t="s">
        <v>2703</v>
      </c>
      <c r="E645" s="3" t="s">
        <v>2704</v>
      </c>
      <c r="F645" s="3" t="s">
        <v>2705</v>
      </c>
      <c r="G645" s="3" t="str">
        <f ca="1">IFERROR(__xludf.DUMMYFUNCTION("googletranslate(D645,""en"",""ja"")"),"安息香酸塩;安息香酸")</f>
        <v>安息香酸塩;安息香酸</v>
      </c>
      <c r="H645" s="3" t="str">
        <f ca="1">IFERROR(__xludf.DUMMYFUNCTION("googletranslate(E645,""en"",""ja"")"),"試料中の安息香酸の測定。")</f>
        <v>試料中の安息香酸の測定。</v>
      </c>
      <c r="I645" s="3" t="str">
        <f ca="1">IFERROR(__xludf.DUMMYFUNCTION("googletranslate(F645,""en"",""ja"")"),"安息香酸の測定")</f>
        <v>安息香酸の測定</v>
      </c>
    </row>
    <row r="646" spans="1:9" ht="30">
      <c r="A646" s="3" t="s">
        <v>118</v>
      </c>
      <c r="B646" s="3" t="s">
        <v>2706</v>
      </c>
      <c r="C646" s="3" t="s">
        <v>2707</v>
      </c>
      <c r="D646" s="3" t="s">
        <v>2707</v>
      </c>
      <c r="E646" s="3" t="s">
        <v>2708</v>
      </c>
      <c r="F646" s="3" t="s">
        <v>2709</v>
      </c>
      <c r="G646" s="3" t="str">
        <f ca="1">IFERROR(__xludf.DUMMYFUNCTION("googletranslate(D646,""en"",""ja"")"),"体長")</f>
        <v>体長</v>
      </c>
      <c r="H646" s="3" t="str">
        <f ca="1">IFERROR(__xludf.DUMMYFUNCTION("googletranslate(E646,""en"",""ja"")"),"物体の一方の端からもう一方の端までの空間の直線範囲、または体の最初から最後までの範囲。")</f>
        <v>物体の一方の端からもう一方の端までの空間の直線範囲、または体の最初から最後までの範囲。</v>
      </c>
      <c r="I646" s="3" t="str">
        <f ca="1">IFERROR(__xludf.DUMMYFUNCTION("googletranslate(F646,""en"",""ja"")"),"全長")</f>
        <v>全長</v>
      </c>
    </row>
    <row r="647" spans="1:9" ht="30">
      <c r="A647" s="3" t="s">
        <v>118</v>
      </c>
      <c r="B647" s="3" t="s">
        <v>2710</v>
      </c>
      <c r="C647" s="3" t="s">
        <v>2711</v>
      </c>
      <c r="D647" s="3" t="s">
        <v>2711</v>
      </c>
      <c r="E647" s="3" t="s">
        <v>2712</v>
      </c>
      <c r="F647" s="3" t="s">
        <v>2711</v>
      </c>
      <c r="G647" s="3" t="str">
        <f ca="1">IFERROR(__xludf.DUMMYFUNCTION("googletranslate(D647,""en"",""ja"")"),"体脂肪測定")</f>
        <v>体脂肪測定</v>
      </c>
      <c r="H647" s="3" t="str">
        <f ca="1">IFERROR(__xludf.DUMMYFUNCTION("googletranslate(E647,""en"",""ja"")"),"被験者の体内の総脂肪量の測定値。 (NCI)")</f>
        <v>被験者の体内の総脂肪量の測定値。 (NCI)</v>
      </c>
      <c r="I647" s="3" t="str">
        <f ca="1">IFERROR(__xludf.DUMMYFUNCTION("googletranslate(F647,""en"",""ja"")"),"体脂肪測定")</f>
        <v>体脂肪測定</v>
      </c>
    </row>
    <row r="648" spans="1:9">
      <c r="A648" s="3" t="s">
        <v>6</v>
      </c>
      <c r="B648" s="3" t="s">
        <v>2713</v>
      </c>
      <c r="C648" s="3" t="s">
        <v>2714</v>
      </c>
      <c r="D648" s="3" t="s">
        <v>2714</v>
      </c>
      <c r="E648" s="3" t="s">
        <v>2715</v>
      </c>
      <c r="F648" s="3" t="s">
        <v>2716</v>
      </c>
      <c r="G648" s="3" t="str">
        <f ca="1">IFERROR(__xludf.DUMMYFUNCTION("googletranslate(D648,""en"",""ja"")"),"ボルデノン")</f>
        <v>ボルデノン</v>
      </c>
      <c r="H648" s="3" t="str">
        <f ca="1">IFERROR(__xludf.DUMMYFUNCTION("googletranslate(E648,""en"",""ja"")"),"生物学的標本中のボルデノンの測定。")</f>
        <v>生物学的標本中のボルデノンの測定。</v>
      </c>
      <c r="I648" s="3" t="str">
        <f ca="1">IFERROR(__xludf.DUMMYFUNCTION("googletranslate(F648,""en"",""ja"")"),"ボルデノンの測定")</f>
        <v>ボルデノンの測定</v>
      </c>
    </row>
    <row r="649" spans="1:9">
      <c r="A649" s="3" t="s">
        <v>6</v>
      </c>
      <c r="B649" s="3" t="s">
        <v>2717</v>
      </c>
      <c r="C649" s="3" t="s">
        <v>2718</v>
      </c>
      <c r="D649" s="3" t="s">
        <v>2718</v>
      </c>
      <c r="E649" s="3" t="s">
        <v>2719</v>
      </c>
      <c r="F649" s="3" t="s">
        <v>2720</v>
      </c>
      <c r="G649" s="3" t="str">
        <f ca="1">IFERROR(__xludf.DUMMYFUNCTION("googletranslate(D649,""en"",""ja"")"),"ボラステロン")</f>
        <v>ボラステロン</v>
      </c>
      <c r="H649" s="3" t="str">
        <f ca="1">IFERROR(__xludf.DUMMYFUNCTION("googletranslate(E649,""en"",""ja"")"),"生物学的標本中のボラステロンの測定。")</f>
        <v>生物学的標本中のボラステロンの測定。</v>
      </c>
      <c r="I649" s="3" t="str">
        <f ca="1">IFERROR(__xludf.DUMMYFUNCTION("googletranslate(F649,""en"",""ja"")"),"ボラステロン測定")</f>
        <v>ボラステロン測定</v>
      </c>
    </row>
    <row r="650" spans="1:9" ht="30">
      <c r="A650" s="3" t="s">
        <v>67</v>
      </c>
      <c r="B650" s="3" t="s">
        <v>2721</v>
      </c>
      <c r="C650" s="3" t="s">
        <v>2722</v>
      </c>
      <c r="D650" s="3" t="s">
        <v>2722</v>
      </c>
      <c r="E650" s="3" t="s">
        <v>2723</v>
      </c>
      <c r="F650" s="3" t="s">
        <v>2724</v>
      </c>
      <c r="G650" s="3" t="str">
        <f ca="1">IFERROR(__xludf.DUMMYFUNCTION("googletranslate(D650,""en"",""ja"")"),"ボレリア DNA")</f>
        <v>ボレリア DNA</v>
      </c>
      <c r="H650" s="3" t="str">
        <f ca="1">IFERROR(__xludf.DUMMYFUNCTION("googletranslate(E650,""en"",""ja"")"),"生物学的標本中のボレリア属のメンバーからの DNA の測定。")</f>
        <v>生物学的標本中のボレリア属のメンバーからの DNA の測定。</v>
      </c>
      <c r="I650" s="3" t="str">
        <f ca="1">IFERROR(__xludf.DUMMYFUNCTION("googletranslate(F650,""en"",""ja"")"),"ボレリア DNA 測定")</f>
        <v>ボレリア DNA 測定</v>
      </c>
    </row>
    <row r="651" spans="1:9" ht="30">
      <c r="A651" s="3" t="s">
        <v>67</v>
      </c>
      <c r="B651" s="3" t="s">
        <v>2725</v>
      </c>
      <c r="C651" s="3" t="s">
        <v>2726</v>
      </c>
      <c r="D651" s="3" t="s">
        <v>2726</v>
      </c>
      <c r="E651" s="3" t="s">
        <v>2727</v>
      </c>
      <c r="F651" s="3" t="s">
        <v>2728</v>
      </c>
      <c r="G651" s="3" t="str">
        <f ca="1">IFERROR(__xludf.DUMMYFUNCTION("googletranslate(D651,""en"",""ja"")"),"パラ百日咳菌")</f>
        <v>パラ百日咳菌</v>
      </c>
      <c r="H651" s="3" t="str">
        <f ca="1">IFERROR(__xludf.DUMMYFUNCTION("googletranslate(E651,""en"",""ja"")"),"生物学的標本中のパラ百日咳菌の測定。")</f>
        <v>生物学的標本中のパラ百日咳菌の測定。</v>
      </c>
      <c r="I651" s="3" t="str">
        <f ca="1">IFERROR(__xludf.DUMMYFUNCTION("googletranslate(F651,""en"",""ja"")"),"パラ百日咳菌の測定")</f>
        <v>パラ百日咳菌の測定</v>
      </c>
    </row>
    <row r="652" spans="1:9" ht="30">
      <c r="A652" s="3" t="s">
        <v>67</v>
      </c>
      <c r="B652" s="3" t="s">
        <v>2729</v>
      </c>
      <c r="C652" s="3" t="s">
        <v>2730</v>
      </c>
      <c r="D652" s="3" t="s">
        <v>2730</v>
      </c>
      <c r="E652" s="3" t="s">
        <v>2731</v>
      </c>
      <c r="F652" s="3" t="s">
        <v>2732</v>
      </c>
      <c r="G652" s="3" t="str">
        <f ca="1">IFERROR(__xludf.DUMMYFUNCTION("googletranslate(D652,""en"",""ja"")"),"パラ百日咳菌のDNA")</f>
        <v>パラ百日咳菌のDNA</v>
      </c>
      <c r="H652" s="3" t="str">
        <f ca="1">IFERROR(__xludf.DUMMYFUNCTION("googletranslate(E652,""en"",""ja"")"),"生物学的標本中のパラ百日咳菌 DNA の測定。")</f>
        <v>生物学的標本中のパラ百日咳菌 DNA の測定。</v>
      </c>
      <c r="I652" s="3" t="str">
        <f ca="1">IFERROR(__xludf.DUMMYFUNCTION("googletranslate(F652,""en"",""ja"")"),"パラ百日咳菌のDNA測定")</f>
        <v>パラ百日咳菌のDNA測定</v>
      </c>
    </row>
    <row r="653" spans="1:9" ht="30">
      <c r="A653" s="3" t="s">
        <v>67</v>
      </c>
      <c r="B653" s="3" t="s">
        <v>2733</v>
      </c>
      <c r="C653" s="3" t="s">
        <v>2734</v>
      </c>
      <c r="D653" s="3" t="s">
        <v>2734</v>
      </c>
      <c r="E653" s="3" t="s">
        <v>2735</v>
      </c>
      <c r="F653" s="3" t="s">
        <v>2736</v>
      </c>
      <c r="G653" s="3" t="str">
        <f ca="1">IFERROR(__xludf.DUMMYFUNCTION("googletranslate(D653,""en"",""ja"")"),"百日咳菌")</f>
        <v>百日咳菌</v>
      </c>
      <c r="H653" s="3" t="str">
        <f ca="1">IFERROR(__xludf.DUMMYFUNCTION("googletranslate(E653,""en"",""ja"")"),"生物学的標本中の百日咳菌の測定。")</f>
        <v>生物学的標本中の百日咳菌の測定。</v>
      </c>
      <c r="I653" s="3" t="str">
        <f ca="1">IFERROR(__xludf.DUMMYFUNCTION("googletranslate(F653,""en"",""ja"")"),"百日咳菌の測定")</f>
        <v>百日咳菌の測定</v>
      </c>
    </row>
    <row r="654" spans="1:9" ht="30">
      <c r="A654" s="3" t="s">
        <v>67</v>
      </c>
      <c r="B654" s="3" t="s">
        <v>2737</v>
      </c>
      <c r="C654" s="3" t="s">
        <v>2738</v>
      </c>
      <c r="D654" s="3" t="s">
        <v>2738</v>
      </c>
      <c r="E654" s="3" t="s">
        <v>2739</v>
      </c>
      <c r="F654" s="3" t="s">
        <v>2740</v>
      </c>
      <c r="G654" s="3" t="str">
        <f ca="1">IFERROR(__xludf.DUMMYFUNCTION("googletranslate(D654,""en"",""ja"")"),"百日咳菌抗原")</f>
        <v>百日咳菌抗原</v>
      </c>
      <c r="H654" s="3" t="str">
        <f ca="1">IFERROR(__xludf.DUMMYFUNCTION("googletranslate(E654,""en"",""ja"")"),"生物学的標本中の百日咳菌抗原の測定。")</f>
        <v>生物学的標本中の百日咳菌抗原の測定。</v>
      </c>
      <c r="I654" s="3" t="str">
        <f ca="1">IFERROR(__xludf.DUMMYFUNCTION("googletranslate(F654,""en"",""ja"")"),"百日咳菌抗原測定")</f>
        <v>百日咳菌抗原測定</v>
      </c>
    </row>
    <row r="655" spans="1:9" ht="30">
      <c r="A655" s="3" t="s">
        <v>67</v>
      </c>
      <c r="B655" s="3" t="s">
        <v>2741</v>
      </c>
      <c r="C655" s="3" t="s">
        <v>2742</v>
      </c>
      <c r="D655" s="3" t="s">
        <v>2742</v>
      </c>
      <c r="E655" s="3" t="s">
        <v>2743</v>
      </c>
      <c r="F655" s="3" t="s">
        <v>2744</v>
      </c>
      <c r="G655" s="3" t="str">
        <f ca="1">IFERROR(__xludf.DUMMYFUNCTION("googletranslate(D655,""en"",""ja"")"),"百日咳菌のDNA")</f>
        <v>百日咳菌のDNA</v>
      </c>
      <c r="H655" s="3" t="str">
        <f ca="1">IFERROR(__xludf.DUMMYFUNCTION("googletranslate(E655,""en"",""ja"")"),"生物学的標本中の百日咳菌 DNA の測定。")</f>
        <v>生物学的標本中の百日咳菌 DNA の測定。</v>
      </c>
      <c r="I655" s="3" t="str">
        <f ca="1">IFERROR(__xludf.DUMMYFUNCTION("googletranslate(F655,""en"",""ja"")"),"百日咳菌のDNA測定")</f>
        <v>百日咳菌のDNA測定</v>
      </c>
    </row>
    <row r="656" spans="1:9" ht="30">
      <c r="A656" s="3" t="s">
        <v>185</v>
      </c>
      <c r="B656" s="3" t="s">
        <v>2745</v>
      </c>
      <c r="C656" s="3" t="s">
        <v>2746</v>
      </c>
      <c r="D656" s="3" t="s">
        <v>2746</v>
      </c>
      <c r="E656" s="3" t="s">
        <v>2747</v>
      </c>
      <c r="F656" s="3" t="s">
        <v>2746</v>
      </c>
      <c r="G656" s="3" t="str">
        <f ca="1">IFERROR(__xludf.DUMMYFUNCTION("googletranslate(D656,""en"",""ja"")"),"生検部位の病理学的外観")</f>
        <v>生検部位の病理学的外観</v>
      </c>
      <c r="H656" s="3" t="str">
        <f ca="1">IFERROR(__xludf.DUMMYFUNCTION("googletranslate(E656,""en"",""ja"")"),"生検標本が採取された解剖学的部位の外観の説明。")</f>
        <v>生検標本が採取された解剖学的部位の外観の説明。</v>
      </c>
      <c r="I656" s="3" t="str">
        <f ca="1">IFERROR(__xludf.DUMMYFUNCTION("googletranslate(F656,""en"",""ja"")"),"生検部位の病理学的外観")</f>
        <v>生検部位の病理学的外観</v>
      </c>
    </row>
    <row r="657" spans="1:9" ht="30">
      <c r="A657" s="3" t="s">
        <v>67</v>
      </c>
      <c r="B657" s="3" t="s">
        <v>2748</v>
      </c>
      <c r="C657" s="3" t="s">
        <v>2749</v>
      </c>
      <c r="D657" s="3" t="s">
        <v>2749</v>
      </c>
      <c r="E657" s="3" t="s">
        <v>2750</v>
      </c>
      <c r="F657" s="3" t="s">
        <v>2751</v>
      </c>
      <c r="G657" s="3" t="str">
        <f ca="1">IFERROR(__xludf.DUMMYFUNCTION("googletranslate(D657,""en"",""ja"")"),"バークホルデリア・ピロキニア")</f>
        <v>バークホルデリア・ピロキニア</v>
      </c>
      <c r="H657" s="3" t="str">
        <f ca="1">IFERROR(__xludf.DUMMYFUNCTION("googletranslate(E657,""en"",""ja"")"),"生物学的標本中のバークホルデリア・ピロキニアの測定。")</f>
        <v>生物学的標本中のバークホルデリア・ピロキニアの測定。</v>
      </c>
      <c r="I657" s="3" t="str">
        <f ca="1">IFERROR(__xludf.DUMMYFUNCTION("googletranslate(F657,""en"",""ja"")"),"バークホルデリア・ピロシニアの測定")</f>
        <v>バークホルデリア・ピロシニアの測定</v>
      </c>
    </row>
    <row r="658" spans="1:9">
      <c r="A658" s="3" t="s">
        <v>159</v>
      </c>
      <c r="B658" s="3" t="s">
        <v>2752</v>
      </c>
      <c r="C658" s="3" t="s">
        <v>2753</v>
      </c>
      <c r="D658" s="3" t="s">
        <v>2753</v>
      </c>
      <c r="E658" s="3" t="s">
        <v>2754</v>
      </c>
      <c r="F658" s="3" t="s">
        <v>2755</v>
      </c>
      <c r="G658" s="3" t="str">
        <f ca="1">IFERROR(__xludf.DUMMYFUNCTION("googletranslate(D658,""en"",""ja"")"),"運動緩慢")</f>
        <v>運動緩慢</v>
      </c>
      <c r="H658" s="3" t="str">
        <f ca="1">IFERROR(__xludf.DUMMYFUNCTION("googletranslate(E658,""en"",""ja"")"),"運動緩慢（動作が遅い）の評価。")</f>
        <v>運動緩慢（動作が遅い）の評価。</v>
      </c>
      <c r="I658" s="3" t="str">
        <f ca="1">IFERROR(__xludf.DUMMYFUNCTION("googletranslate(F658,""en"",""ja"")"),"運動緩慢の評価")</f>
        <v>運動緩慢の評価</v>
      </c>
    </row>
    <row r="659" spans="1:9">
      <c r="A659" s="3" t="s">
        <v>6</v>
      </c>
      <c r="B659" s="3" t="s">
        <v>2756</v>
      </c>
      <c r="C659" s="3" t="s">
        <v>2757</v>
      </c>
      <c r="D659" s="3" t="s">
        <v>2757</v>
      </c>
      <c r="E659" s="3" t="s">
        <v>2758</v>
      </c>
      <c r="F659" s="3" t="s">
        <v>2759</v>
      </c>
      <c r="G659" s="3" t="str">
        <f ca="1">IFERROR(__xludf.DUMMYFUNCTION("googletranslate(D659,""en"",""ja"")"),"バルビタール")</f>
        <v>バルビタール</v>
      </c>
      <c r="H659" s="3" t="str">
        <f ca="1">IFERROR(__xludf.DUMMYFUNCTION("googletranslate(E659,""en"",""ja"")"),"生物学的標本中のバルビタールの測定。")</f>
        <v>生物学的標本中のバルビタールの測定。</v>
      </c>
      <c r="I659" s="3" t="str">
        <f ca="1">IFERROR(__xludf.DUMMYFUNCTION("googletranslate(F659,""en"",""ja"")"),"バルビタールの測定")</f>
        <v>バルビタールの測定</v>
      </c>
    </row>
    <row r="660" spans="1:9">
      <c r="A660" s="3" t="s">
        <v>503</v>
      </c>
      <c r="B660" s="3" t="s">
        <v>2760</v>
      </c>
      <c r="C660" s="3" t="s">
        <v>2761</v>
      </c>
      <c r="D660" s="3" t="s">
        <v>2762</v>
      </c>
      <c r="E660" s="3" t="s">
        <v>2763</v>
      </c>
      <c r="F660" s="3" t="s">
        <v>2761</v>
      </c>
      <c r="G660" s="3" t="str">
        <f ca="1">IFERROR(__xludf.DUMMYFUNCTION("googletranslate(D660,""en"",""ja"")"),"生まれた国;生まれた国")</f>
        <v>生まれた国;生まれた国</v>
      </c>
      <c r="H660" s="3" t="str">
        <f ca="1">IFERROR(__xludf.DUMMYFUNCTION("googletranslate(E660,""en"",""ja"")"),"被験者が生まれた国の名前。")</f>
        <v>被験者が生まれた国の名前。</v>
      </c>
      <c r="I660" s="3" t="str">
        <f ca="1">IFERROR(__xludf.DUMMYFUNCTION("googletranslate(F660,""en"",""ja"")"),"生まれた国")</f>
        <v>生まれた国</v>
      </c>
    </row>
    <row r="661" spans="1:9" ht="30">
      <c r="A661" s="3" t="s">
        <v>503</v>
      </c>
      <c r="B661" s="3" t="s">
        <v>2764</v>
      </c>
      <c r="C661" s="3" t="s">
        <v>2765</v>
      </c>
      <c r="D661" s="3" t="s">
        <v>2766</v>
      </c>
      <c r="E661" s="3" t="s">
        <v>2767</v>
      </c>
      <c r="F661" s="3" t="s">
        <v>2765</v>
      </c>
      <c r="G661" s="3" t="str">
        <f ca="1">IFERROR(__xludf.DUMMYFUNCTION("googletranslate(D661,""en"",""ja"")"),"出生国コード;出生国コード")</f>
        <v>出生国コード;出生国コード</v>
      </c>
      <c r="H661" s="3" t="str">
        <f ca="1">IFERROR(__xludf.DUMMYFUNCTION("googletranslate(E661,""en"",""ja"")"),"被験者が生まれた国の名前を指定するコード化された値。")</f>
        <v>被験者が生まれた国の名前を指定するコード化された値。</v>
      </c>
      <c r="I661" s="3" t="str">
        <f ca="1">IFERROR(__xludf.DUMMYFUNCTION("googletranslate(F661,""en"",""ja"")"),"出生国コード")</f>
        <v>出生国コード</v>
      </c>
    </row>
    <row r="662" spans="1:9" ht="30">
      <c r="A662" s="3" t="s">
        <v>503</v>
      </c>
      <c r="B662" s="3" t="s">
        <v>2768</v>
      </c>
      <c r="C662" s="3" t="s">
        <v>2769</v>
      </c>
      <c r="D662" s="3" t="s">
        <v>2769</v>
      </c>
      <c r="E662" s="3" t="s">
        <v>2770</v>
      </c>
      <c r="F662" s="3" t="s">
        <v>2769</v>
      </c>
      <c r="G662" s="3" t="str">
        <f ca="1">IFERROR(__xludf.DUMMYFUNCTION("googletranslate(D662,""en"",""ja"")"),"母乳育児インジケーター")</f>
        <v>母乳育児インジケーター</v>
      </c>
      <c r="H662" s="3" t="str">
        <f ca="1">IFERROR(__xludf.DUMMYFUNCTION("googletranslate(E662,""en"",""ja"")"),"対象者が幼児期に母乳で育てられた（母乳を受け取った）かどうかに関する指標。")</f>
        <v>対象者が幼児期に母乳で育てられた（母乳を受け取った）かどうかに関する指標。</v>
      </c>
      <c r="I662" s="3" t="str">
        <f ca="1">IFERROR(__xludf.DUMMYFUNCTION("googletranslate(F662,""en"",""ja"")"),"母乳育児インジケーター")</f>
        <v>母乳育児インジケーター</v>
      </c>
    </row>
    <row r="663" spans="1:9">
      <c r="A663" s="3" t="s">
        <v>142</v>
      </c>
      <c r="B663" s="3" t="s">
        <v>2771</v>
      </c>
      <c r="C663" s="3" t="s">
        <v>2772</v>
      </c>
      <c r="D663" s="3" t="s">
        <v>2772</v>
      </c>
      <c r="E663" s="3" t="s">
        <v>2773</v>
      </c>
      <c r="F663" s="3" t="s">
        <v>2772</v>
      </c>
      <c r="G663" s="3" t="str">
        <f ca="1">IFERROR(__xludf.DUMMYFUNCTION("googletranslate(D663,""en"",""ja"")"),"母乳育児終了日")</f>
        <v>母乳育児終了日</v>
      </c>
      <c r="H663" s="3" t="str">
        <f ca="1">IFERROR(__xludf.DUMMYFUNCTION("googletranslate(E663,""en"",""ja"")"),"授乳が終了した日。")</f>
        <v>授乳が終了した日。</v>
      </c>
      <c r="I663" s="3" t="str">
        <f ca="1">IFERROR(__xludf.DUMMYFUNCTION("googletranslate(F663,""en"",""ja"")"),"母乳育児終了日")</f>
        <v>母乳育児終了日</v>
      </c>
    </row>
    <row r="664" spans="1:9">
      <c r="A664" s="3" t="s">
        <v>142</v>
      </c>
      <c r="B664" s="3" t="s">
        <v>2774</v>
      </c>
      <c r="C664" s="3" t="s">
        <v>2775</v>
      </c>
      <c r="D664" s="3" t="s">
        <v>2775</v>
      </c>
      <c r="E664" s="3" t="s">
        <v>2776</v>
      </c>
      <c r="F664" s="3" t="s">
        <v>2775</v>
      </c>
      <c r="G664" s="3" t="str">
        <f ca="1">IFERROR(__xludf.DUMMYFUNCTION("googletranslate(D664,""en"",""ja"")"),"授乳開始日")</f>
        <v>授乳開始日</v>
      </c>
      <c r="H664" s="3" t="str">
        <f ca="1">IFERROR(__xludf.DUMMYFUNCTION("googletranslate(E664,""en"",""ja"")"),"授乳を開始した日。")</f>
        <v>授乳を開始した日。</v>
      </c>
      <c r="I664" s="3" t="str">
        <f ca="1">IFERROR(__xludf.DUMMYFUNCTION("googletranslate(F664,""en"",""ja"")"),"授乳開始日")</f>
        <v>授乳開始日</v>
      </c>
    </row>
    <row r="665" spans="1:9">
      <c r="A665" s="3" t="s">
        <v>6</v>
      </c>
      <c r="B665" s="3" t="s">
        <v>2777</v>
      </c>
      <c r="C665" s="3" t="s">
        <v>2778</v>
      </c>
      <c r="D665" s="3" t="s">
        <v>2778</v>
      </c>
      <c r="E665" s="3" t="s">
        <v>2779</v>
      </c>
      <c r="F665" s="3" t="s">
        <v>2780</v>
      </c>
      <c r="G665" s="3" t="str">
        <f ca="1">IFERROR(__xludf.DUMMYFUNCTION("googletranslate(D665,""en"",""ja"")"),"ブロマゼパム")</f>
        <v>ブロマゼパム</v>
      </c>
      <c r="H665" s="3" t="str">
        <f ca="1">IFERROR(__xludf.DUMMYFUNCTION("googletranslate(E665,""en"",""ja"")"),"生物学的標本中のブロマゼパムの測定。")</f>
        <v>生物学的標本中のブロマゼパムの測定。</v>
      </c>
      <c r="I665" s="3" t="str">
        <f ca="1">IFERROR(__xludf.DUMMYFUNCTION("googletranslate(F665,""en"",""ja"")"),"ブロマゼパムの測定")</f>
        <v>ブロマゼパムの測定</v>
      </c>
    </row>
    <row r="666" spans="1:9" ht="45">
      <c r="A666" s="3" t="s">
        <v>142</v>
      </c>
      <c r="B666" s="3" t="s">
        <v>2781</v>
      </c>
      <c r="C666" s="3" t="s">
        <v>2782</v>
      </c>
      <c r="D666" s="3" t="s">
        <v>2782</v>
      </c>
      <c r="E666" s="3" t="s">
        <v>2783</v>
      </c>
      <c r="F666" s="3" t="s">
        <v>2784</v>
      </c>
      <c r="G666" s="3" t="str">
        <f ca="1">IFERROR(__xludf.DUMMYFUNCTION("googletranslate(D666,""en"",""ja"")"),"正期産出生数")</f>
        <v>正期産出生数</v>
      </c>
      <c r="H666" s="3" t="str">
        <f ca="1">IFERROR(__xludf.DUMMYFUNCTION("googletranslate(E666,""en"",""ja"")"),"新生児の在胎期間が 39 週 0 日から 40 週 6 日までの出生イベントの合計数の測定値。")</f>
        <v>新生児の在胎期間が 39 週 0 日から 40 週 6 日までの出生イベントの合計数の測定値。</v>
      </c>
      <c r="I666" s="3" t="str">
        <f ca="1">IFERROR(__xludf.DUMMYFUNCTION("googletranslate(F666,""en"",""ja"")"),"正期産の出生数")</f>
        <v>正期産の出生数</v>
      </c>
    </row>
    <row r="667" spans="1:9" ht="30">
      <c r="A667" s="3" t="s">
        <v>142</v>
      </c>
      <c r="B667" s="3" t="s">
        <v>2785</v>
      </c>
      <c r="C667" s="3" t="s">
        <v>2786</v>
      </c>
      <c r="D667" s="3" t="s">
        <v>2786</v>
      </c>
      <c r="E667" s="3" t="s">
        <v>2787</v>
      </c>
      <c r="F667" s="3" t="s">
        <v>2786</v>
      </c>
      <c r="G667" s="3" t="str">
        <f ca="1">IFERROR(__xludf.DUMMYFUNCTION("googletranslate(D667,""en"",""ja"")"),"出生数")</f>
        <v>出生数</v>
      </c>
      <c r="H667" s="3" t="str">
        <f ca="1">IFERROR(__xludf.DUMMYFUNCTION("googletranslate(E667,""en"",""ja"")"),"メスが出産した生きた子の総数の測定値。")</f>
        <v>メスが出産した生きた子の総数の測定値。</v>
      </c>
      <c r="I667" s="3" t="str">
        <f ca="1">IFERROR(__xludf.DUMMYFUNCTION("googletranslate(F667,""en"",""ja"")"),"出生数")</f>
        <v>出生数</v>
      </c>
    </row>
    <row r="668" spans="1:9" ht="30">
      <c r="A668" s="3" t="s">
        <v>142</v>
      </c>
      <c r="B668" s="3" t="s">
        <v>2788</v>
      </c>
      <c r="C668" s="3" t="s">
        <v>2789</v>
      </c>
      <c r="D668" s="3" t="s">
        <v>2789</v>
      </c>
      <c r="E668" s="3" t="s">
        <v>2790</v>
      </c>
      <c r="F668" s="3" t="s">
        <v>2789</v>
      </c>
      <c r="G668" s="3" t="str">
        <f ca="1">IFERROR(__xludf.DUMMYFUNCTION("googletranslate(D668,""en"",""ja"")"),"出生数")</f>
        <v>出生数</v>
      </c>
      <c r="H668" s="3" t="str">
        <f ca="1">IFERROR(__xludf.DUMMYFUNCTION("googletranslate(E668,""en"",""ja"")"),"女性が経験した出産イベントの総数の測定値。")</f>
        <v>女性が経験した出産イベントの総数の測定値。</v>
      </c>
      <c r="I668" s="3" t="str">
        <f ca="1">IFERROR(__xludf.DUMMYFUNCTION("googletranslate(F668,""en"",""ja"")"),"出生数")</f>
        <v>出生数</v>
      </c>
    </row>
    <row r="669" spans="1:9" ht="45">
      <c r="A669" s="3" t="s">
        <v>142</v>
      </c>
      <c r="B669" s="3" t="s">
        <v>2791</v>
      </c>
      <c r="C669" s="3" t="s">
        <v>2792</v>
      </c>
      <c r="D669" s="3" t="s">
        <v>2792</v>
      </c>
      <c r="E669" s="3" t="s">
        <v>2793</v>
      </c>
      <c r="F669" s="3" t="s">
        <v>2792</v>
      </c>
      <c r="G669" s="3" t="str">
        <f ca="1">IFERROR(__xludf.DUMMYFUNCTION("googletranslate(D669,""en"",""ja"")"),"早産出生数")</f>
        <v>早産出生数</v>
      </c>
      <c r="H669" s="3" t="str">
        <f ca="1">IFERROR(__xludf.DUMMYFUNCTION("googletranslate(E669,""en"",""ja"")"),"新生児の在胎週数が 37 週 0 日未満である出生イベントの総数の測定値。")</f>
        <v>新生児の在胎週数が 37 週 0 日未満である出生イベントの総数の測定値。</v>
      </c>
      <c r="I669" s="3" t="str">
        <f ca="1">IFERROR(__xludf.DUMMYFUNCTION("googletranslate(F669,""en"",""ja"")"),"早産出生数")</f>
        <v>早産出生数</v>
      </c>
    </row>
    <row r="670" spans="1:9" ht="75">
      <c r="A670" s="3" t="s">
        <v>142</v>
      </c>
      <c r="B670" s="3" t="s">
        <v>2794</v>
      </c>
      <c r="C670" s="3" t="s">
        <v>2795</v>
      </c>
      <c r="D670" s="3" t="s">
        <v>2795</v>
      </c>
      <c r="E670" s="3" t="s">
        <v>2796</v>
      </c>
      <c r="F670" s="3" t="s">
        <v>2795</v>
      </c>
      <c r="G670" s="3" t="str">
        <f ca="1">IFERROR(__xludf.DUMMYFUNCTION("googletranslate(D670,""en"",""ja"")"),"死産数")</f>
        <v>死産数</v>
      </c>
      <c r="H670" s="3" t="str">
        <f ca="1">IFERROR(__xludf.DUMMYFUNCTION("googletranslate(E670,""en"",""ja"")"),"胎児が在胎 20 週以上であるか、在胎週数が不明の場合は出生体重が 350 グラム以上で、分娩時に生命の兆候がなく、")</f>
        <v>胎児が在胎 20 週以上であるか、在胎週数が不明の場合は出生体重が 350 グラム以上で、分娩時に生命の兆候がなく、</v>
      </c>
      <c r="I670" s="3" t="str">
        <f ca="1">IFERROR(__xludf.DUMMYFUNCTION("googletranslate(F670,""en"",""ja"")"),"死産数")</f>
        <v>死産数</v>
      </c>
    </row>
    <row r="671" spans="1:9">
      <c r="A671" s="3" t="s">
        <v>118</v>
      </c>
      <c r="B671" s="3" t="s">
        <v>2797</v>
      </c>
      <c r="C671" s="3" t="s">
        <v>2798</v>
      </c>
      <c r="D671" s="3" t="s">
        <v>2798</v>
      </c>
      <c r="E671" s="3" t="s">
        <v>2799</v>
      </c>
      <c r="F671" s="3" t="s">
        <v>2798</v>
      </c>
      <c r="G671" s="3" t="str">
        <f ca="1">IFERROR(__xludf.DUMMYFUNCTION("googletranslate(D671,""en"",""ja"")"),"出生体重")</f>
        <v>出生体重</v>
      </c>
      <c r="H671" s="3" t="str">
        <f ca="1">IFERROR(__xludf.DUMMYFUNCTION("googletranslate(E671,""en"",""ja"")"),"出生時の新生児の体重の測定。")</f>
        <v>出生時の新生児の体重の測定。</v>
      </c>
      <c r="I671" s="3" t="str">
        <f ca="1">IFERROR(__xludf.DUMMYFUNCTION("googletranslate(F671,""en"",""ja"")"),"出生体重")</f>
        <v>出生体重</v>
      </c>
    </row>
    <row r="672" spans="1:9" ht="30">
      <c r="A672" s="3" t="s">
        <v>142</v>
      </c>
      <c r="B672" s="3" t="s">
        <v>2800</v>
      </c>
      <c r="C672" s="3" t="s">
        <v>2801</v>
      </c>
      <c r="D672" s="3" t="s">
        <v>2801</v>
      </c>
      <c r="E672" s="3" t="s">
        <v>2802</v>
      </c>
      <c r="F672" s="3" t="s">
        <v>2801</v>
      </c>
      <c r="G672" s="3" t="str">
        <f ca="1">IFERROR(__xludf.DUMMYFUNCTION("googletranslate(D672,""en"",""ja"")"),"ライブ出産インジケーター")</f>
        <v>ライブ出産インジケーター</v>
      </c>
      <c r="H672" s="3" t="str">
        <f ca="1">IFERROR(__xludf.DUMMYFUNCTION("googletranslate(E672,""en"",""ja"")"),"被験者がこれまでに生きた子孫を出産したことがあるかどうかに関する指標。")</f>
        <v>被験者がこれまでに生きた子孫を出産したことがあるかどうかに関する指標。</v>
      </c>
      <c r="I672" s="3" t="str">
        <f ca="1">IFERROR(__xludf.DUMMYFUNCTION("googletranslate(F672,""en"",""ja"")"),"ライブ出産インジケーター")</f>
        <v>ライブ出産インジケーター</v>
      </c>
    </row>
    <row r="673" spans="1:9" ht="60">
      <c r="A673" s="3" t="s">
        <v>142</v>
      </c>
      <c r="B673" s="3" t="s">
        <v>2803</v>
      </c>
      <c r="C673" s="3" t="s">
        <v>2804</v>
      </c>
      <c r="D673" s="3" t="s">
        <v>2805</v>
      </c>
      <c r="E673" s="3" t="s">
        <v>2806</v>
      </c>
      <c r="F673" s="3" t="s">
        <v>2804</v>
      </c>
      <c r="G673" s="3" t="str">
        <f ca="1">IFERROR(__xludf.DUMMYFUNCTION("googletranslate(D673,""en"",""ja"")"),"多胎の指標。複数性インジケーター")</f>
        <v>多胎の指標。複数性インジケーター</v>
      </c>
      <c r="H673" s="3" t="str">
        <f ca="1">IFERROR(__xludf.DUMMYFUNCTION("googletranslate(E673,""en"",""ja"")"),"在胎週数や胎児が異なる日に生まれたかどうかに関係なく、単一の妊娠で複数の胎児が誕生したかどうか (生死) を示す指標。")</f>
        <v>在胎週数や胎児が異なる日に生まれたかどうかに関係なく、単一の妊娠で複数の胎児が誕生したかどうか (生死) を示す指標。</v>
      </c>
      <c r="I673" s="3" t="str">
        <f ca="1">IFERROR(__xludf.DUMMYFUNCTION("googletranslate(F673,""en"",""ja"")"),"多胎の指標")</f>
        <v>多胎の指標</v>
      </c>
    </row>
    <row r="674" spans="1:9">
      <c r="A674" s="3" t="s">
        <v>6</v>
      </c>
      <c r="B674" s="3" t="s">
        <v>2807</v>
      </c>
      <c r="C674" s="3" t="s">
        <v>2808</v>
      </c>
      <c r="D674" s="3" t="s">
        <v>2808</v>
      </c>
      <c r="E674" s="3" t="s">
        <v>2809</v>
      </c>
      <c r="F674" s="3" t="s">
        <v>2810</v>
      </c>
      <c r="G674" s="3" t="str">
        <f ca="1">IFERROR(__xludf.DUMMYFUNCTION("googletranslate(D674,""en"",""ja"")"),"ブリバラセタム")</f>
        <v>ブリバラセタム</v>
      </c>
      <c r="H674" s="3" t="str">
        <f ca="1">IFERROR(__xludf.DUMMYFUNCTION("googletranslate(E674,""en"",""ja"")"),"生物学的標本中のブリバラセタムの測定。")</f>
        <v>生物学的標本中のブリバラセタムの測定。</v>
      </c>
      <c r="I674" s="3" t="str">
        <f ca="1">IFERROR(__xludf.DUMMYFUNCTION("googletranslate(F674,""en"",""ja"")"),"ブリバラセタムの測定")</f>
        <v>ブリバラセタムの測定</v>
      </c>
    </row>
    <row r="675" spans="1:9">
      <c r="A675" s="3" t="s">
        <v>6</v>
      </c>
      <c r="B675" s="3" t="s">
        <v>2811</v>
      </c>
      <c r="C675" s="3" t="s">
        <v>2812</v>
      </c>
      <c r="D675" s="3" t="s">
        <v>2812</v>
      </c>
      <c r="E675" s="3" t="s">
        <v>2813</v>
      </c>
      <c r="F675" s="3" t="s">
        <v>2814</v>
      </c>
      <c r="G675" s="3" t="str">
        <f ca="1">IFERROR(__xludf.DUMMYFUNCTION("googletranslate(D675,""en"",""ja"")"),"ブレクスピプラゾール")</f>
        <v>ブレクスピプラゾール</v>
      </c>
      <c r="H675" s="3" t="str">
        <f ca="1">IFERROR(__xludf.DUMMYFUNCTION("googletranslate(E675,""en"",""ja"")"),"生物学的標本中のブレクスピプラゾールの測定。")</f>
        <v>生物学的標本中のブレクスピプラゾールの測定。</v>
      </c>
      <c r="I675" s="3" t="str">
        <f ca="1">IFERROR(__xludf.DUMMYFUNCTION("googletranslate(F675,""en"",""ja"")"),"ブレクスピプラゾールの測定")</f>
        <v>ブレクスピプラゾールの測定</v>
      </c>
    </row>
    <row r="676" spans="1:9" ht="60">
      <c r="A676" s="3" t="s">
        <v>118</v>
      </c>
      <c r="B676" s="3" t="s">
        <v>2815</v>
      </c>
      <c r="C676" s="3" t="s">
        <v>2816</v>
      </c>
      <c r="D676" s="3" t="s">
        <v>2816</v>
      </c>
      <c r="E676" s="3" t="s">
        <v>2817</v>
      </c>
      <c r="F676" s="3" t="s">
        <v>2816</v>
      </c>
      <c r="G676" s="3" t="str">
        <f ca="1">IFERROR(__xludf.DUMMYFUNCTION("googletranslate(D676,""en"",""ja"")"),"体表面積")</f>
        <v>体表面積</v>
      </c>
      <c r="H676" s="3" t="str">
        <f ca="1">IFERROR(__xludf.DUMMYFUNCTION("googletranslate(E676,""en"",""ja"")"),"体表面 (つまり、皮膚) の 2 次元範囲の尺度。体表面積 (BSA) は、数式または身長と体重を関連付けるグラフから計算できます。 BSA は多くの場合、投与において重要な要素となります。 (NCI)")</f>
        <v>体表面 (つまり、皮膚) の 2 次元範囲の尺度。体表面積 (BSA) は、数式または身長と体重を関連付けるグラフから計算できます。 BSA は多くの場合、投与において重要な要素となります。 (NCI)</v>
      </c>
      <c r="I676" s="3" t="str">
        <f ca="1">IFERROR(__xludf.DUMMYFUNCTION("googletranslate(F676,""en"",""ja"")"),"体表面積")</f>
        <v>体表面積</v>
      </c>
    </row>
    <row r="677" spans="1:9" ht="60">
      <c r="A677" s="3" t="s">
        <v>142</v>
      </c>
      <c r="B677" s="3" t="s">
        <v>2818</v>
      </c>
      <c r="C677" s="3" t="s">
        <v>2819</v>
      </c>
      <c r="D677" s="3" t="s">
        <v>2820</v>
      </c>
      <c r="E677" s="3" t="s">
        <v>2821</v>
      </c>
      <c r="F677" s="3" t="s">
        <v>2822</v>
      </c>
      <c r="G677" s="3" t="str">
        <f ca="1">IFERROR(__xludf.DUMMYFUNCTION("googletranslate(D677,""en"",""ja"")"),"月経期間間の出血/斑点 Ind;月経間の出血または斑点インジケーター")</f>
        <v>月経期間間の出血/斑点 Ind;月経間の出血または斑点インジケーター</v>
      </c>
      <c r="H677" s="3" t="str">
        <f ca="1">IFERROR(__xludf.DUMMYFUNCTION("googletranslate(E677,""en"",""ja"")"),"個人が月経期間の間に出血または斑点を経験したかどうかに関する指標。")</f>
        <v>個人が月経期間の間に出血または斑点を経験したかどうかに関する指標。</v>
      </c>
      <c r="I677" s="3" t="str">
        <f ca="1">IFERROR(__xludf.DUMMYFUNCTION("googletranslate(F677,""en"",""ja"")"),"月経間の出血または斑点インジケーター")</f>
        <v>月経間の出血または斑点インジケーター</v>
      </c>
    </row>
    <row r="678" spans="1:9" ht="30">
      <c r="A678" s="3" t="s">
        <v>159</v>
      </c>
      <c r="B678" s="3" t="s">
        <v>2823</v>
      </c>
      <c r="C678" s="3" t="s">
        <v>2824</v>
      </c>
      <c r="D678" s="3" t="s">
        <v>2824</v>
      </c>
      <c r="E678" s="3" t="s">
        <v>2825</v>
      </c>
      <c r="F678" s="3" t="s">
        <v>2824</v>
      </c>
      <c r="G678" s="3" t="str">
        <f ca="1">IFERROR(__xludf.DUMMYFUNCTION("googletranslate(D678,""en"",""ja"")"),"境界シフト積分")</f>
        <v>境界シフト積分</v>
      </c>
      <c r="H678" s="3" t="str">
        <f ca="1">IFERROR(__xludf.DUMMYFUNCTION("googletranslate(E678,""en"",""ja"")"),"経時的な組織境界の変化によって決定される、臓器または解剖学的特徴の体積の変化の測定値。")</f>
        <v>経時的な組織境界の変化によって決定される、臓器または解剖学的特徴の体積の変化の測定値。</v>
      </c>
      <c r="I678" s="3" t="str">
        <f ca="1">IFERROR(__xludf.DUMMYFUNCTION("googletranslate(F678,""en"",""ja"")"),"境界シフト積分")</f>
        <v>境界シフト積分</v>
      </c>
    </row>
    <row r="679" spans="1:9" ht="30">
      <c r="A679" s="3" t="s">
        <v>67</v>
      </c>
      <c r="B679" s="3" t="s">
        <v>2826</v>
      </c>
      <c r="C679" s="3" t="s">
        <v>2827</v>
      </c>
      <c r="D679" s="3" t="s">
        <v>2827</v>
      </c>
      <c r="E679" s="3" t="s">
        <v>2828</v>
      </c>
      <c r="F679" s="3" t="s">
        <v>2829</v>
      </c>
      <c r="G679" s="3" t="str">
        <f ca="1">IFERROR(__xludf.DUMMYFUNCTION("googletranslate(D679,""en"",""ja"")"),"バークホルデリア・スタビリス")</f>
        <v>バークホルデリア・スタビリス</v>
      </c>
      <c r="H679" s="3" t="str">
        <f ca="1">IFERROR(__xludf.DUMMYFUNCTION("googletranslate(E679,""en"",""ja"")"),"生物学的標本中のバークホルデリア スタビリスの測定。")</f>
        <v>生物学的標本中のバークホルデリア スタビリスの測定。</v>
      </c>
      <c r="I679" s="3" t="str">
        <f ca="1">IFERROR(__xludf.DUMMYFUNCTION("googletranslate(F679,""en"",""ja"")"),"バークホルデリア・スタビリスの測定")</f>
        <v>バークホルデリア・スタビリスの測定</v>
      </c>
    </row>
    <row r="680" spans="1:9">
      <c r="A680" s="3" t="s">
        <v>6</v>
      </c>
      <c r="B680" s="3" t="s">
        <v>2830</v>
      </c>
      <c r="C680" s="3" t="s">
        <v>2831</v>
      </c>
      <c r="D680" s="3" t="s">
        <v>2831</v>
      </c>
      <c r="E680" s="3" t="s">
        <v>2832</v>
      </c>
      <c r="F680" s="3" t="s">
        <v>2833</v>
      </c>
      <c r="G680" s="3" t="str">
        <f ca="1">IFERROR(__xludf.DUMMYFUNCTION("googletranslate(D680,""en"",""ja"")"),"ベータセルリン")</f>
        <v>ベータセルリン</v>
      </c>
      <c r="H680" s="3" t="str">
        <f ca="1">IFERROR(__xludf.DUMMYFUNCTION("googletranslate(E680,""en"",""ja"")"),"生物学的標本中のベータセルリンの測定。")</f>
        <v>生物学的標本中のベータセルリンの測定。</v>
      </c>
      <c r="I680" s="3" t="str">
        <f ca="1">IFERROR(__xludf.DUMMYFUNCTION("googletranslate(F680,""en"",""ja"")"),"ベータセルリン測定")</f>
        <v>ベータセルリン測定</v>
      </c>
    </row>
    <row r="681" spans="1:9" ht="30">
      <c r="A681" s="3" t="s">
        <v>51</v>
      </c>
      <c r="B681" s="3" t="s">
        <v>2834</v>
      </c>
      <c r="C681" s="3" t="s">
        <v>2835</v>
      </c>
      <c r="D681" s="3" t="s">
        <v>2835</v>
      </c>
      <c r="E681" s="3" t="s">
        <v>2836</v>
      </c>
      <c r="F681" s="3" t="s">
        <v>2835</v>
      </c>
      <c r="G681" s="3" t="str">
        <f ca="1">IFERROR(__xludf.DUMMYFUNCTION("googletranslate(D681,""en"",""ja"")"),"バッテリーの充電温度制限")</f>
        <v>バッテリーの充電温度制限</v>
      </c>
      <c r="H681" s="3" t="str">
        <f ca="1">IFERROR(__xludf.DUMMYFUNCTION("googletranslate(E681,""en"",""ja"")"),"バッテリーの充電温度の安全な範囲。")</f>
        <v>バッテリーの充電温度の安全な範囲。</v>
      </c>
      <c r="I681" s="3" t="str">
        <f ca="1">IFERROR(__xludf.DUMMYFUNCTION("googletranslate(F681,""en"",""ja"")"),"バッテリーの充電温度制限")</f>
        <v>バッテリーの充電温度制限</v>
      </c>
    </row>
    <row r="682" spans="1:9" ht="30">
      <c r="A682" s="3" t="s">
        <v>51</v>
      </c>
      <c r="B682" s="3" t="s">
        <v>2837</v>
      </c>
      <c r="C682" s="3" t="s">
        <v>2838</v>
      </c>
      <c r="D682" s="3" t="s">
        <v>2839</v>
      </c>
      <c r="E682" s="3" t="s">
        <v>2840</v>
      </c>
      <c r="F682" s="3" t="s">
        <v>2841</v>
      </c>
      <c r="G682" s="3" t="str">
        <f ca="1">IFERROR(__xludf.DUMMYFUNCTION("googletranslate(D682,""en"",""ja"")"),"バッテリーの C レート。バッテリー定格電流; Cレート")</f>
        <v>バッテリーの C レート。バッテリー定格電流; Cレート</v>
      </c>
      <c r="H682" s="3" t="str">
        <f ca="1">IFERROR(__xludf.DUMMYFUNCTION("googletranslate(E682,""en"",""ja"")"),"バッテリーの最大容量に対する放電率。")</f>
        <v>バッテリーの最大容量に対する放電率。</v>
      </c>
      <c r="I682" s="3" t="str">
        <f ca="1">IFERROR(__xludf.DUMMYFUNCTION("googletranslate(F682,""en"",""ja"")"),"バッテリー定格電流")</f>
        <v>バッテリー定格電流</v>
      </c>
    </row>
    <row r="683" spans="1:9" ht="30">
      <c r="A683" s="3" t="s">
        <v>51</v>
      </c>
      <c r="B683" s="3" t="s">
        <v>2842</v>
      </c>
      <c r="C683" s="3" t="s">
        <v>2843</v>
      </c>
      <c r="D683" s="3" t="s">
        <v>2843</v>
      </c>
      <c r="E683" s="3" t="s">
        <v>2844</v>
      </c>
      <c r="F683" s="3" t="s">
        <v>2843</v>
      </c>
      <c r="G683" s="3" t="str">
        <f ca="1">IFERROR(__xludf.DUMMYFUNCTION("googletranslate(D683,""en"",""ja"")"),"バッテリー電流の動作範囲")</f>
        <v>バッテリー電流の動作範囲</v>
      </c>
      <c r="H683" s="3" t="str">
        <f ca="1">IFERROR(__xludf.DUMMYFUNCTION("googletranslate(E683,""en"",""ja"")"),"発熱体を加熱するためにバッテリーが出力する電流の範囲。")</f>
        <v>発熱体を加熱するためにバッテリーが出力する電流の範囲。</v>
      </c>
      <c r="I683" s="3" t="str">
        <f ca="1">IFERROR(__xludf.DUMMYFUNCTION("googletranslate(F683,""en"",""ja"")"),"バッテリー電流の動作範囲")</f>
        <v>バッテリー電流の動作範囲</v>
      </c>
    </row>
    <row r="684" spans="1:9" ht="30">
      <c r="A684" s="3" t="s">
        <v>51</v>
      </c>
      <c r="B684" s="3" t="s">
        <v>2845</v>
      </c>
      <c r="C684" s="3" t="s">
        <v>2846</v>
      </c>
      <c r="D684" s="3" t="s">
        <v>2846</v>
      </c>
      <c r="E684" s="3" t="s">
        <v>2847</v>
      </c>
      <c r="F684" s="3" t="s">
        <v>2846</v>
      </c>
      <c r="G684" s="3" t="str">
        <f ca="1">IFERROR(__xludf.DUMMYFUNCTION("googletranslate(D684,""en"",""ja"")"),"バッテリーの放電温度制限")</f>
        <v>バッテリーの放電温度制限</v>
      </c>
      <c r="H684" s="3" t="str">
        <f ca="1">IFERROR(__xludf.DUMMYFUNCTION("googletranslate(E684,""en"",""ja"")"),"バッテリーの安全な放電温度範囲。")</f>
        <v>バッテリーの安全な放電温度範囲。</v>
      </c>
      <c r="I684" s="3" t="str">
        <f ca="1">IFERROR(__xludf.DUMMYFUNCTION("googletranslate(F684,""en"",""ja"")"),"バッテリーの放電温度制限")</f>
        <v>バッテリーの放電温度制限</v>
      </c>
    </row>
    <row r="685" spans="1:9" ht="60">
      <c r="A685" s="3" t="s">
        <v>6</v>
      </c>
      <c r="B685" s="3" t="s">
        <v>2848</v>
      </c>
      <c r="C685" s="3" t="s">
        <v>2849</v>
      </c>
      <c r="D685" s="3" t="s">
        <v>2849</v>
      </c>
      <c r="E685" s="3" t="s">
        <v>2850</v>
      </c>
      <c r="F685" s="3" t="s">
        <v>2851</v>
      </c>
      <c r="G685" s="3" t="str">
        <f ca="1">IFERROR(__xludf.DUMMYFUNCTION("googletranslate(D685,""en"",""ja"")"),"咬合細胞/赤血球")</f>
        <v>咬合細胞/赤血球</v>
      </c>
      <c r="H685" s="3" t="str">
        <f ca="1">IFERROR(__xludf.DUMMYFUNCTION("googletranslate(E685,""en"",""ja"")"),"生物学的標本中のすべての赤血球に対する咬傷細胞（酸化的溶血により咬傷が除去されたように見える赤血球）の相対測定値（比率またはパーセンテージ）。")</f>
        <v>生物学的標本中のすべての赤血球に対する咬傷細胞（酸化的溶血により咬傷が除去されたように見える赤血球）の相対測定値（比率またはパーセンテージ）。</v>
      </c>
      <c r="I685" s="3" t="str">
        <f ca="1">IFERROR(__xludf.DUMMYFUNCTION("googletranslate(F685,""en"",""ja"")"),"咬合細胞と赤血球の比率の測定")</f>
        <v>咬合細胞と赤血球の比率の測定</v>
      </c>
    </row>
    <row r="686" spans="1:9" ht="30">
      <c r="A686" s="3" t="s">
        <v>51</v>
      </c>
      <c r="B686" s="3" t="s">
        <v>2852</v>
      </c>
      <c r="C686" s="3" t="s">
        <v>2853</v>
      </c>
      <c r="D686" s="3" t="s">
        <v>2853</v>
      </c>
      <c r="E686" s="3" t="s">
        <v>2854</v>
      </c>
      <c r="F686" s="3" t="s">
        <v>2853</v>
      </c>
      <c r="G686" s="3" t="str">
        <f ca="1">IFERROR(__xludf.DUMMYFUNCTION("googletranslate(D686,""en"",""ja"")"),"バッテリーの放電終止電圧")</f>
        <v>バッテリーの放電終止電圧</v>
      </c>
      <c r="H686" s="3" t="str">
        <f ca="1">IFERROR(__xludf.DUMMYFUNCTION("googletranslate(E686,""en"",""ja"")"),"バッテリーが完全に放電したとみなされる電圧。")</f>
        <v>バッテリーが完全に放電したとみなされる電圧。</v>
      </c>
      <c r="I686" s="3" t="str">
        <f ca="1">IFERROR(__xludf.DUMMYFUNCTION("googletranslate(F686,""en"",""ja"")"),"バッテリーの放電終止電圧")</f>
        <v>バッテリーの放電終止電圧</v>
      </c>
    </row>
    <row r="687" spans="1:9" ht="30">
      <c r="A687" s="3" t="s">
        <v>142</v>
      </c>
      <c r="B687" s="3" t="s">
        <v>2855</v>
      </c>
      <c r="C687" s="3" t="s">
        <v>2856</v>
      </c>
      <c r="D687" s="3" t="s">
        <v>2856</v>
      </c>
      <c r="E687" s="3" t="s">
        <v>2857</v>
      </c>
      <c r="F687" s="3" t="s">
        <v>2856</v>
      </c>
      <c r="G687" s="3" t="str">
        <f ca="1">IFERROR(__xludf.DUMMYFUNCTION("googletranslate(D687,""en"",""ja"")"),"バルトリン腺異常インジケーター")</f>
        <v>バルトリン腺異常インジケーター</v>
      </c>
      <c r="H687" s="3" t="str">
        <f ca="1">IFERROR(__xludf.DUMMYFUNCTION("googletranslate(E687,""en"",""ja"")"),"バルトリン腺に異常があるかどうかの指標。")</f>
        <v>バルトリン腺に異常があるかどうかの指標。</v>
      </c>
      <c r="I687" s="3" t="str">
        <f ca="1">IFERROR(__xludf.DUMMYFUNCTION("googletranslate(F687,""en"",""ja"")"),"バルトリン腺異常インジケーター")</f>
        <v>バルトリン腺異常インジケーター</v>
      </c>
    </row>
    <row r="688" spans="1:9" ht="45">
      <c r="A688" s="3" t="s">
        <v>503</v>
      </c>
      <c r="B688" s="3" t="s">
        <v>2858</v>
      </c>
      <c r="C688" s="3" t="s">
        <v>2859</v>
      </c>
      <c r="D688" s="3" t="s">
        <v>2859</v>
      </c>
      <c r="E688" s="3" t="s">
        <v>2860</v>
      </c>
      <c r="F688" s="3" t="s">
        <v>2859</v>
      </c>
      <c r="G688" s="3" t="str">
        <f ca="1">IFERROR(__xludf.DUMMYFUNCTION("googletranslate(D688,""en"",""ja"")"),"誕生の複数性")</f>
        <v>誕生の複数性</v>
      </c>
      <c r="H688" s="3" t="str">
        <f ca="1">IFERROR(__xludf.DUMMYFUNCTION("googletranslate(E688,""en"",""ja"")"),"在胎週数や、胎児が妊娠中の異なる日に出産されたかどうかに関係なく、妊娠中の任意の時点で出産された胎児の生死数。 （CDC）")</f>
        <v>在胎週数や、胎児が妊娠中の異なる日に出産されたかどうかに関係なく、妊娠中の任意の時点で出産された胎児の生死数。 （CDC）</v>
      </c>
      <c r="I688" s="3" t="str">
        <f ca="1">IFERROR(__xludf.DUMMYFUNCTION("googletranslate(F688,""en"",""ja"")"),"誕生の複数性")</f>
        <v>誕生の複数性</v>
      </c>
    </row>
    <row r="689" spans="1:9" ht="90">
      <c r="A689" s="3" t="s">
        <v>6</v>
      </c>
      <c r="B689" s="3" t="s">
        <v>2861</v>
      </c>
      <c r="C689" s="3" t="s">
        <v>2862</v>
      </c>
      <c r="D689" s="3" t="s">
        <v>2863</v>
      </c>
      <c r="E689" s="3" t="s">
        <v>2864</v>
      </c>
      <c r="F689" s="3" t="s">
        <v>2865</v>
      </c>
      <c r="G689" s="3" t="str">
        <f ca="1">IFERROR(__xludf.DUMMYFUNCTION("googletranslate(D689,""en"",""ja"")"),"無ガンマグロブリン血症チロシンキナーゼ;攻撃力; B細胞前駆体キナーゼ;ブルトンチロシンキナーゼ;ブルートン型チロシンキナーゼ。チロシンプロテインキナーゼBTK")</f>
        <v>無ガンマグロブリン血症チロシンキナーゼ;攻撃力; B細胞前駆体キナーゼ;ブルトンチロシンキナーゼ;ブルートン型チロシンキナーゼ。チロシンプロテインキナーゼBTK</v>
      </c>
      <c r="H689" s="3" t="str">
        <f ca="1">IFERROR(__xludf.DUMMYFUNCTION("googletranslate(E689,""en"",""ja"")"),"生物学的標本におけるブルトン型チロシンキナーゼの測定。")</f>
        <v>生物学的標本におけるブルトン型チロシンキナーゼの測定。</v>
      </c>
      <c r="I689" s="3" t="str">
        <f ca="1">IFERROR(__xludf.DUMMYFUNCTION("googletranslate(F689,""en"",""ja"")"),"Bruton のチロシンキナーゼ測定")</f>
        <v>Bruton のチロシンキナーゼ測定</v>
      </c>
    </row>
    <row r="690" spans="1:9" ht="30">
      <c r="A690" s="3" t="s">
        <v>6</v>
      </c>
      <c r="B690" s="3" t="s">
        <v>2866</v>
      </c>
      <c r="C690" s="3" t="s">
        <v>2867</v>
      </c>
      <c r="D690" s="3" t="s">
        <v>2867</v>
      </c>
      <c r="E690" s="3" t="s">
        <v>2868</v>
      </c>
      <c r="F690" s="3" t="s">
        <v>2869</v>
      </c>
      <c r="G690" s="3" t="str">
        <f ca="1">IFERROR(__xludf.DUMMYFUNCTION("googletranslate(D690,""en"",""ja"")"),"Bruton のチロシンキナーゼ、無料")</f>
        <v>Bruton のチロシンキナーゼ、無料</v>
      </c>
      <c r="H690" s="3" t="str">
        <f ca="1">IFERROR(__xludf.DUMMYFUNCTION("googletranslate(E690,""en"",""ja"")"),"生物学的標本中の遊離ブルトン型チロシンキナーゼの測定。")</f>
        <v>生物学的標本中の遊離ブルトン型チロシンキナーゼの測定。</v>
      </c>
      <c r="I690" s="3" t="str">
        <f ca="1">IFERROR(__xludf.DUMMYFUNCTION("googletranslate(F690,""en"",""ja"")"),"無料の Bruton チロシンキナーゼ測定")</f>
        <v>無料の Bruton チロシンキナーゼ測定</v>
      </c>
    </row>
    <row r="691" spans="1:9">
      <c r="A691" s="3" t="s">
        <v>6</v>
      </c>
      <c r="B691" s="3" t="s">
        <v>2870</v>
      </c>
      <c r="C691" s="3" t="s">
        <v>2871</v>
      </c>
      <c r="D691" s="3" t="s">
        <v>2871</v>
      </c>
      <c r="E691" s="3" t="s">
        <v>2872</v>
      </c>
      <c r="F691" s="3" t="s">
        <v>2873</v>
      </c>
      <c r="G691" s="3" t="str">
        <f ca="1">IFERROR(__xludf.DUMMYFUNCTION("googletranslate(D691,""en"",""ja"")"),"ブタバルビタール")</f>
        <v>ブタバルビタール</v>
      </c>
      <c r="H691" s="3" t="str">
        <f ca="1">IFERROR(__xludf.DUMMYFUNCTION("googletranslate(E691,""en"",""ja"")"),"生物学的標本中のブタバルビタールの測定。")</f>
        <v>生物学的標本中のブタバルビタールの測定。</v>
      </c>
      <c r="I691" s="3" t="str">
        <f ca="1">IFERROR(__xludf.DUMMYFUNCTION("googletranslate(F691,""en"",""ja"")"),"ブタバルビタールの測定")</f>
        <v>ブタバルビタールの測定</v>
      </c>
    </row>
    <row r="692" spans="1:9" ht="30">
      <c r="A692" s="3" t="s">
        <v>6</v>
      </c>
      <c r="B692" s="3" t="s">
        <v>2874</v>
      </c>
      <c r="C692" s="3" t="s">
        <v>2875</v>
      </c>
      <c r="D692" s="3" t="s">
        <v>2875</v>
      </c>
      <c r="E692" s="3" t="s">
        <v>2876</v>
      </c>
      <c r="F692" s="3" t="s">
        <v>2877</v>
      </c>
      <c r="G692" s="3" t="str">
        <f ca="1">IFERROR(__xludf.DUMMYFUNCTION("googletranslate(D692,""en"",""ja"")"),"ブタルビタール")</f>
        <v>ブタルビタール</v>
      </c>
      <c r="H692" s="3" t="str">
        <f ca="1">IFERROR(__xludf.DUMMYFUNCTION("googletranslate(E692,""en"",""ja"")"),"生物学的標本中に存在するブタルビタールの測定。")</f>
        <v>生物学的標本中に存在するブタルビタールの測定。</v>
      </c>
      <c r="I692" s="3" t="str">
        <f ca="1">IFERROR(__xludf.DUMMYFUNCTION("googletranslate(F692,""en"",""ja"")"),"ブタルビタールの測定")</f>
        <v>ブタルビタールの測定</v>
      </c>
    </row>
    <row r="693" spans="1:9" ht="30">
      <c r="A693" s="3" t="s">
        <v>51</v>
      </c>
      <c r="B693" s="3" t="s">
        <v>2878</v>
      </c>
      <c r="C693" s="3" t="s">
        <v>2879</v>
      </c>
      <c r="D693" s="3" t="s">
        <v>2879</v>
      </c>
      <c r="E693" s="3" t="s">
        <v>2880</v>
      </c>
      <c r="F693" s="3" t="s">
        <v>2879</v>
      </c>
      <c r="G693" s="3" t="str">
        <f ca="1">IFERROR(__xludf.DUMMYFUNCTION("googletranslate(D693,""en"",""ja"")"),"バッテリーの最大充電電流")</f>
        <v>バッテリーの最大充電電流</v>
      </c>
      <c r="H693" s="3" t="str">
        <f ca="1">IFERROR(__xludf.DUMMYFUNCTION("googletranslate(E693,""en"",""ja"")"),"充電中にバッテリーが受け入れることができる最大電流量。")</f>
        <v>充電中にバッテリーが受け入れることができる最大電流量。</v>
      </c>
      <c r="I693" s="3" t="str">
        <f ca="1">IFERROR(__xludf.DUMMYFUNCTION("googletranslate(F693,""en"",""ja"")"),"バッテリーの最大充電電流")</f>
        <v>バッテリーの最大充電電流</v>
      </c>
    </row>
    <row r="694" spans="1:9" ht="30">
      <c r="A694" s="3" t="s">
        <v>51</v>
      </c>
      <c r="B694" s="3" t="s">
        <v>2881</v>
      </c>
      <c r="C694" s="3" t="s">
        <v>2882</v>
      </c>
      <c r="D694" s="3" t="s">
        <v>2882</v>
      </c>
      <c r="E694" s="3" t="s">
        <v>2883</v>
      </c>
      <c r="F694" s="3" t="s">
        <v>2882</v>
      </c>
      <c r="G694" s="3" t="str">
        <f ca="1">IFERROR(__xludf.DUMMYFUNCTION("googletranslate(D694,""en"",""ja"")"),"バッテリーの最大放電電流")</f>
        <v>バッテリーの最大放電電流</v>
      </c>
      <c r="H694" s="3" t="str">
        <f ca="1">IFERROR(__xludf.DUMMYFUNCTION("googletranslate(E694,""en"",""ja"")"),"バッテリーが放電できる最大電流量。")</f>
        <v>バッテリーが放電できる最大電流量。</v>
      </c>
      <c r="I694" s="3" t="str">
        <f ca="1">IFERROR(__xludf.DUMMYFUNCTION("googletranslate(F694,""en"",""ja"")"),"バッテリーの最大放電電流")</f>
        <v>バッテリーの最大放電電流</v>
      </c>
    </row>
    <row r="695" spans="1:9">
      <c r="A695" s="3" t="s">
        <v>6</v>
      </c>
      <c r="B695" s="3" t="s">
        <v>2884</v>
      </c>
      <c r="C695" s="3" t="s">
        <v>2885</v>
      </c>
      <c r="D695" s="3" t="s">
        <v>2885</v>
      </c>
      <c r="E695" s="3" t="s">
        <v>2886</v>
      </c>
      <c r="F695" s="3" t="s">
        <v>2887</v>
      </c>
      <c r="G695" s="3" t="str">
        <f ca="1">IFERROR(__xludf.DUMMYFUNCTION("googletranslate(D695,""en"",""ja"")"),"ブトルファノール")</f>
        <v>ブトルファノール</v>
      </c>
      <c r="H695" s="3" t="str">
        <f ca="1">IFERROR(__xludf.DUMMYFUNCTION("googletranslate(E695,""en"",""ja"")"),"生物学的標本中のブトルファノールの測定。")</f>
        <v>生物学的標本中のブトルファノールの測定。</v>
      </c>
      <c r="I695" s="3" t="str">
        <f ca="1">IFERROR(__xludf.DUMMYFUNCTION("googletranslate(F695,""en"",""ja"")"),"ブトルファノールの測定")</f>
        <v>ブトルファノールの測定</v>
      </c>
    </row>
    <row r="696" spans="1:9" ht="30">
      <c r="A696" s="3" t="s">
        <v>51</v>
      </c>
      <c r="B696" s="3" t="s">
        <v>2888</v>
      </c>
      <c r="C696" s="3" t="s">
        <v>2889</v>
      </c>
      <c r="D696" s="3" t="s">
        <v>2889</v>
      </c>
      <c r="E696" s="3" t="s">
        <v>2890</v>
      </c>
      <c r="F696" s="3" t="s">
        <v>2889</v>
      </c>
      <c r="G696" s="3" t="str">
        <f ca="1">IFERROR(__xludf.DUMMYFUNCTION("googletranslate(D696,""en"",""ja"")"),"バッテリー上限充電電圧")</f>
        <v>バッテリー上限充電電圧</v>
      </c>
      <c r="H696" s="3" t="str">
        <f ca="1">IFERROR(__xludf.DUMMYFUNCTION("googletranslate(E696,""en"",""ja"")"),"バッテリーの最大充電電圧。")</f>
        <v>バッテリーの最大充電電圧。</v>
      </c>
      <c r="I696" s="3" t="str">
        <f ca="1">IFERROR(__xludf.DUMMYFUNCTION("googletranslate(F696,""en"",""ja"")"),"バッテリー上限充電電圧")</f>
        <v>バッテリー上限充電電圧</v>
      </c>
    </row>
    <row r="697" spans="1:9" ht="30">
      <c r="A697" s="3" t="s">
        <v>51</v>
      </c>
      <c r="B697" s="3" t="s">
        <v>2891</v>
      </c>
      <c r="C697" s="3" t="s">
        <v>2892</v>
      </c>
      <c r="D697" s="3" t="s">
        <v>2892</v>
      </c>
      <c r="E697" s="3" t="s">
        <v>2893</v>
      </c>
      <c r="F697" s="3" t="s">
        <v>2892</v>
      </c>
      <c r="G697" s="3" t="str">
        <f ca="1">IFERROR(__xludf.DUMMYFUNCTION("googletranslate(D697,""en"",""ja"")"),"バッテリー電圧動作範囲")</f>
        <v>バッテリー電圧動作範囲</v>
      </c>
      <c r="H697" s="3" t="str">
        <f ca="1">IFERROR(__xludf.DUMMYFUNCTION("googletranslate(E697,""en"",""ja"")"),"バッテリーの充電時の最大電圧と放電時の最小電圧。")</f>
        <v>バッテリーの充電時の最大電圧と放電時の最小電圧。</v>
      </c>
      <c r="I697" s="3" t="str">
        <f ca="1">IFERROR(__xludf.DUMMYFUNCTION("googletranslate(F697,""en"",""ja"")"),"バッテリー電圧動作範囲")</f>
        <v>バッテリー電圧動作範囲</v>
      </c>
    </row>
    <row r="698" spans="1:9">
      <c r="A698" s="3" t="s">
        <v>51</v>
      </c>
      <c r="B698" s="3" t="s">
        <v>2894</v>
      </c>
      <c r="C698" s="3" t="s">
        <v>2895</v>
      </c>
      <c r="D698" s="3" t="s">
        <v>2896</v>
      </c>
      <c r="E698" s="3" t="s">
        <v>2897</v>
      </c>
      <c r="F698" s="3" t="s">
        <v>2898</v>
      </c>
      <c r="G698" s="3" t="str">
        <f ca="1">IFERROR(__xludf.DUMMYFUNCTION("googletranslate(D698,""en"",""ja"")"),"ブタナール;ブチルアルデヒド")</f>
        <v>ブタナール;ブチルアルデヒド</v>
      </c>
      <c r="H698" s="3" t="str">
        <f ca="1">IFERROR(__xludf.DUMMYFUNCTION("googletranslate(E698,""en"",""ja"")"),"試料中のブチルアルデヒドの測定。")</f>
        <v>試料中のブチルアルデヒドの測定。</v>
      </c>
      <c r="I698" s="3" t="str">
        <f ca="1">IFERROR(__xludf.DUMMYFUNCTION("googletranslate(F698,""en"",""ja"")"),"ブチルアルデヒドの測定")</f>
        <v>ブチルアルデヒドの測定</v>
      </c>
    </row>
    <row r="699" spans="1:9" ht="90">
      <c r="A699" s="3" t="s">
        <v>6</v>
      </c>
      <c r="B699" s="3" t="s">
        <v>2899</v>
      </c>
      <c r="C699" s="3" t="s">
        <v>2900</v>
      </c>
      <c r="D699" s="3" t="s">
        <v>2901</v>
      </c>
      <c r="E699" s="3" t="s">
        <v>2902</v>
      </c>
      <c r="F699" s="3" t="s">
        <v>2903</v>
      </c>
      <c r="G699" s="3" t="str">
        <f ca="1">IFERROR(__xludf.DUMMYFUNCTION("googletranslate(D699,""en"",""ja"")"),"アシルコリンアシルヒドロラーゼ;ブチリルコリンエステラーゼ;非神経性コリンエステラーゼ。血漿コリンエステラーゼ;シュードコリンエステラーゼ")</f>
        <v>アシルコリンアシルヒドロラーゼ;ブチリルコリンエステラーゼ;非神経性コリンエステラーゼ。血漿コリンエステラーゼ;シュードコリンエステラーゼ</v>
      </c>
      <c r="H699" s="3" t="str">
        <f ca="1">IFERROR(__xludf.DUMMYFUNCTION("googletranslate(E699,""en"",""ja"")"),"生物学的標本中の総ブチリルコリンエステラーゼの測定。")</f>
        <v>生物学的標本中の総ブチリルコリンエステラーゼの測定。</v>
      </c>
      <c r="I699" s="3" t="str">
        <f ca="1">IFERROR(__xludf.DUMMYFUNCTION("googletranslate(F699,""en"",""ja"")"),"ブチリルコリンエステラーゼの測定")</f>
        <v>ブチリルコリンエステラーゼの測定</v>
      </c>
    </row>
    <row r="700" spans="1:9" ht="30">
      <c r="A700" s="3" t="s">
        <v>2904</v>
      </c>
      <c r="B700" s="3" t="s">
        <v>2905</v>
      </c>
      <c r="C700" s="3" t="s">
        <v>2906</v>
      </c>
      <c r="D700" s="3" t="s">
        <v>2907</v>
      </c>
      <c r="E700" s="3" t="s">
        <v>2908</v>
      </c>
      <c r="F700" s="3" t="s">
        <v>2906</v>
      </c>
      <c r="G700" s="3" t="str">
        <f ca="1">IFERROR(__xludf.DUMMYFUNCTION("googletranslate(D700,""en"",""ja"")"),"電球の数;電球の数")</f>
        <v>電球の数;電球の数</v>
      </c>
      <c r="H700" s="3" t="str">
        <f ca="1">IFERROR(__xludf.DUMMYFUNCTION("googletranslate(E700,""en"",""ja"")"),"エンティティに関連付けられた電球の総数。")</f>
        <v>エンティティに関連付けられた電球の総数。</v>
      </c>
      <c r="I700" s="3" t="str">
        <f ca="1">IFERROR(__xludf.DUMMYFUNCTION("googletranslate(F700,""en"",""ja"")"),"電球の数")</f>
        <v>電球の数</v>
      </c>
    </row>
    <row r="701" spans="1:9" ht="30">
      <c r="A701" s="3" t="s">
        <v>6</v>
      </c>
      <c r="B701" s="3" t="s">
        <v>2909</v>
      </c>
      <c r="C701" s="3" t="s">
        <v>2910</v>
      </c>
      <c r="D701" s="3" t="s">
        <v>2910</v>
      </c>
      <c r="E701" s="3" t="s">
        <v>2911</v>
      </c>
      <c r="F701" s="3" t="s">
        <v>2912</v>
      </c>
      <c r="G701" s="3" t="str">
        <f ca="1">IFERROR(__xludf.DUMMYFUNCTION("googletranslate(D701,""en"",""ja"")"),"ブプレノルフィン")</f>
        <v>ブプレノルフィン</v>
      </c>
      <c r="H701" s="3" t="str">
        <f ca="1">IFERROR(__xludf.DUMMYFUNCTION("googletranslate(E701,""en"",""ja"")"),"生物学的標本中に存在するブプレノルフィン薬剤の測定。")</f>
        <v>生物学的標本中に存在するブプレノルフィン薬剤の測定。</v>
      </c>
      <c r="I701" s="3" t="str">
        <f ca="1">IFERROR(__xludf.DUMMYFUNCTION("googletranslate(F701,""en"",""ja"")"),"ブプレノルフィンの測定")</f>
        <v>ブプレノルフィンの測定</v>
      </c>
    </row>
    <row r="702" spans="1:9">
      <c r="A702" s="3" t="s">
        <v>6</v>
      </c>
      <c r="B702" s="3" t="s">
        <v>2913</v>
      </c>
      <c r="C702" s="3" t="s">
        <v>2914</v>
      </c>
      <c r="D702" s="3" t="s">
        <v>2914</v>
      </c>
      <c r="E702" s="3" t="s">
        <v>2915</v>
      </c>
      <c r="F702" s="3" t="s">
        <v>2916</v>
      </c>
      <c r="G702" s="3" t="str">
        <f ca="1">IFERROR(__xludf.DUMMYFUNCTION("googletranslate(D702,""en"",""ja"")"),"ブプロピオン")</f>
        <v>ブプロピオン</v>
      </c>
      <c r="H702" s="3" t="str">
        <f ca="1">IFERROR(__xludf.DUMMYFUNCTION("googletranslate(E702,""en"",""ja"")"),"生物学的標本中のブプロピオンの測定。")</f>
        <v>生物学的標本中のブプロピオンの測定。</v>
      </c>
      <c r="I702" s="3" t="str">
        <f ca="1">IFERROR(__xludf.DUMMYFUNCTION("googletranslate(F702,""en"",""ja"")"),"ブプロピオンの測定")</f>
        <v>ブプロピオンの測定</v>
      </c>
    </row>
    <row r="703" spans="1:9" ht="45">
      <c r="A703" s="3" t="s">
        <v>67</v>
      </c>
      <c r="B703" s="3" t="s">
        <v>2917</v>
      </c>
      <c r="C703" s="3" t="s">
        <v>2918</v>
      </c>
      <c r="D703" s="3" t="s">
        <v>2918</v>
      </c>
      <c r="E703" s="3" t="s">
        <v>2919</v>
      </c>
      <c r="F703" s="3" t="s">
        <v>2920</v>
      </c>
      <c r="G703" s="3" t="str">
        <f ca="1">IFERROR(__xludf.DUMMYFUNCTION("googletranslate(D703,""en"",""ja"")"),"バークホルデリア")</f>
        <v>バークホルデリア</v>
      </c>
      <c r="H703" s="3" t="str">
        <f ca="1">IFERROR(__xludf.DUMMYFUNCTION("googletranslate(E703,""en"",""ja"")"),"生物学的標本において種レベルには割り当てられていないが、バークホルデリア属レベルに割り当てられている生物の測定値。")</f>
        <v>生物学的標本において種レベルには割り当てられていないが、バークホルデリア属レベルに割り当てられている生物の測定値。</v>
      </c>
      <c r="I703" s="3" t="str">
        <f ca="1">IFERROR(__xludf.DUMMYFUNCTION("googletranslate(F703,""en"",""ja"")"),"バークホルデリア測定")</f>
        <v>バークホルデリア測定</v>
      </c>
    </row>
    <row r="704" spans="1:9" ht="45">
      <c r="A704" s="3" t="s">
        <v>6</v>
      </c>
      <c r="B704" s="3" t="s">
        <v>2921</v>
      </c>
      <c r="C704" s="3" t="s">
        <v>2922</v>
      </c>
      <c r="D704" s="3" t="s">
        <v>2923</v>
      </c>
      <c r="E704" s="3" t="s">
        <v>2924</v>
      </c>
      <c r="F704" s="3" t="s">
        <v>2925</v>
      </c>
      <c r="G704" s="3" t="str">
        <f ca="1">IFERROR(__xludf.DUMMYFUNCTION("googletranslate(D704,""en"",""ja"")"),"バーセル;ウニノサイト")</f>
        <v>バーセル;ウニノサイト</v>
      </c>
      <c r="H704" s="3" t="str">
        <f ca="1">IFERROR(__xludf.DUMMYFUNCTION("googletranslate(E704,""en"",""ja"")"),"生物学的標本中のバー細胞（細胞表面全体に均一に分布した小さな鈍い突起の存在を特徴とする赤血球）の測定。")</f>
        <v>生物学的標本中のバー細胞（細胞表面全体に均一に分布した小さな鈍い突起の存在を特徴とする赤血球）の測定。</v>
      </c>
      <c r="I704" s="3" t="str">
        <f ca="1">IFERROR(__xludf.DUMMYFUNCTION("googletranslate(F704,""en"",""ja"")"),"バリセル数")</f>
        <v>バリセル数</v>
      </c>
    </row>
    <row r="705" spans="1:9" ht="60">
      <c r="A705" s="3" t="s">
        <v>51</v>
      </c>
      <c r="B705" s="3" t="s">
        <v>2926</v>
      </c>
      <c r="C705" s="3" t="s">
        <v>2927</v>
      </c>
      <c r="D705" s="3" t="s">
        <v>2928</v>
      </c>
      <c r="E705" s="3" t="s">
        <v>2929</v>
      </c>
      <c r="F705" s="3" t="s">
        <v>2930</v>
      </c>
      <c r="G705" s="3" t="str">
        <f ca="1">IFERROR(__xludf.DUMMYFUNCTION("googletranslate(D705,""en"",""ja"")"),"1-ブタノール;ブタン-1-オール;ブタノール;ブチルアルコール; n-ブタノール; N-ブチルアルコール")</f>
        <v>1-ブタノール;ブタン-1-オール;ブタノール;ブチルアルコール; n-ブタノール; N-ブチルアルコール</v>
      </c>
      <c r="H705" s="3" t="str">
        <f ca="1">IFERROR(__xludf.DUMMYFUNCTION("googletranslate(E705,""en"",""ja"")"),"試料中の n-ブタノールの測定。")</f>
        <v>試料中の n-ブタノールの測定。</v>
      </c>
      <c r="I705" s="3" t="str">
        <f ca="1">IFERROR(__xludf.DUMMYFUNCTION("googletranslate(F705,""en"",""ja"")"),"n-ブタノールの測定")</f>
        <v>n-ブタノールの測定</v>
      </c>
    </row>
    <row r="706" spans="1:9">
      <c r="A706" s="3" t="s">
        <v>6</v>
      </c>
      <c r="B706" s="3" t="s">
        <v>2931</v>
      </c>
      <c r="C706" s="3" t="s">
        <v>2932</v>
      </c>
      <c r="D706" s="3" t="s">
        <v>2932</v>
      </c>
      <c r="E706" s="3" t="s">
        <v>2933</v>
      </c>
      <c r="F706" s="3" t="s">
        <v>2934</v>
      </c>
      <c r="G706" s="3" t="str">
        <f ca="1">IFERROR(__xludf.DUMMYFUNCTION("googletranslate(D706,""en"",""ja"")"),"1,3-ブタジエン")</f>
        <v>1,3-ブタジエン</v>
      </c>
      <c r="H706" s="3" t="str">
        <f ca="1">IFERROR(__xludf.DUMMYFUNCTION("googletranslate(E706,""en"",""ja"")"),"試料中の 1,3-ブタジエンの測定。")</f>
        <v>試料中の 1,3-ブタジエンの測定。</v>
      </c>
      <c r="I706" s="3" t="str">
        <f ca="1">IFERROR(__xludf.DUMMYFUNCTION("googletranslate(F706,""en"",""ja"")"),"1,3-ブタジエンの測定")</f>
        <v>1,3-ブタジエンの測定</v>
      </c>
    </row>
    <row r="707" spans="1:9">
      <c r="A707" s="3" t="s">
        <v>51</v>
      </c>
      <c r="B707" s="3" t="s">
        <v>2931</v>
      </c>
      <c r="C707" s="3" t="s">
        <v>2932</v>
      </c>
      <c r="D707" s="3" t="s">
        <v>2932</v>
      </c>
      <c r="E707" s="3" t="s">
        <v>2933</v>
      </c>
      <c r="F707" s="3" t="s">
        <v>2934</v>
      </c>
      <c r="G707" s="3" t="str">
        <f ca="1">IFERROR(__xludf.DUMMYFUNCTION("googletranslate(D707,""en"",""ja"")"),"1,3-ブタジエン")</f>
        <v>1,3-ブタジエン</v>
      </c>
      <c r="H707" s="3" t="str">
        <f ca="1">IFERROR(__xludf.DUMMYFUNCTION("googletranslate(E707,""en"",""ja"")"),"試料中の 1,3-ブタジエンの測定。")</f>
        <v>試料中の 1,3-ブタジエンの測定。</v>
      </c>
      <c r="I707" s="3" t="str">
        <f ca="1">IFERROR(__xludf.DUMMYFUNCTION("googletranslate(F707,""en"",""ja"")"),"1,3-ブタジエンの測定")</f>
        <v>1,3-ブタジエンの測定</v>
      </c>
    </row>
    <row r="708" spans="1:9">
      <c r="A708" s="3" t="s">
        <v>6</v>
      </c>
      <c r="B708" s="3" t="s">
        <v>2935</v>
      </c>
      <c r="C708" s="3" t="s">
        <v>2936</v>
      </c>
      <c r="D708" s="3" t="s">
        <v>2936</v>
      </c>
      <c r="E708" s="3" t="s">
        <v>2937</v>
      </c>
      <c r="F708" s="3" t="s">
        <v>2938</v>
      </c>
      <c r="G708" s="3" t="str">
        <f ca="1">IFERROR(__xludf.DUMMYFUNCTION("googletranslate(D708,""en"",""ja"")"),"ブチロン")</f>
        <v>ブチロン</v>
      </c>
      <c r="H708" s="3" t="str">
        <f ca="1">IFERROR(__xludf.DUMMYFUNCTION("googletranslate(E708,""en"",""ja"")"),"生物学的標本中のブチロンの測定。")</f>
        <v>生物学的標本中のブチロンの測定。</v>
      </c>
      <c r="I708" s="3" t="str">
        <f ca="1">IFERROR(__xludf.DUMMYFUNCTION("googletranslate(F708,""en"",""ja"")"),"ブチロン測定")</f>
        <v>ブチロン測定</v>
      </c>
    </row>
    <row r="709" spans="1:9" ht="30">
      <c r="A709" s="3" t="s">
        <v>67</v>
      </c>
      <c r="B709" s="3" t="s">
        <v>2939</v>
      </c>
      <c r="C709" s="3" t="s">
        <v>2940</v>
      </c>
      <c r="D709" s="3" t="s">
        <v>2940</v>
      </c>
      <c r="E709" s="3" t="s">
        <v>2941</v>
      </c>
      <c r="F709" s="3" t="s">
        <v>2942</v>
      </c>
      <c r="G709" s="3" t="str">
        <f ca="1">IFERROR(__xludf.DUMMYFUNCTION("googletranslate(D709,""en"",""ja"")"),"バークホルデリア・ベトナムエンシス")</f>
        <v>バークホルデリア・ベトナムエンシス</v>
      </c>
      <c r="H709" s="3" t="str">
        <f ca="1">IFERROR(__xludf.DUMMYFUNCTION("googletranslate(E709,""en"",""ja"")"),"生物学的標本における Burkholderia vietnamiensis の測定。")</f>
        <v>生物学的標本における Burkholderia vietnamiensis の測定。</v>
      </c>
      <c r="I709" s="3" t="str">
        <f ca="1">IFERROR(__xludf.DUMMYFUNCTION("googletranslate(F709,""en"",""ja"")"),"Burkholderia vietnamiensis の測定")</f>
        <v>Burkholderia vietnamiensis の測定</v>
      </c>
    </row>
    <row r="710" spans="1:9" ht="60">
      <c r="A710" s="3" t="s">
        <v>51</v>
      </c>
      <c r="B710" s="3" t="s">
        <v>2943</v>
      </c>
      <c r="C710" s="3" t="s">
        <v>2944</v>
      </c>
      <c r="D710" s="3" t="s">
        <v>2945</v>
      </c>
      <c r="E710" s="3" t="s">
        <v>2946</v>
      </c>
      <c r="F710" s="3" t="s">
        <v>2947</v>
      </c>
      <c r="G710" s="3" t="str">
        <f ca="1">IFERROR(__xludf.DUMMYFUNCTION("googletranslate(D710,""en"",""ja"")"),"ベンズ(a)アントラセン;ベンズ[a]アントラセン。ベンゾ(a)アントラセン;ベンゾ[a]アントラセン")</f>
        <v>ベンズ(a)アントラセン;ベンズ[a]アントラセン。ベンゾ(a)アントラセン;ベンゾ[a]アントラセン</v>
      </c>
      <c r="H710" s="3" t="str">
        <f ca="1">IFERROR(__xludf.DUMMYFUNCTION("googletranslate(E710,""en"",""ja"")"),"試料中のベンゾ[a]アントラセンの測定。")</f>
        <v>試料中のベンゾ[a]アントラセンの測定。</v>
      </c>
      <c r="I710" s="3" t="str">
        <f ca="1">IFERROR(__xludf.DUMMYFUNCTION("googletranslate(F710,""en"",""ja"")"),"ベンゾ[a]アントラセンの測定")</f>
        <v>ベンゾ[a]アントラセンの測定</v>
      </c>
    </row>
    <row r="711" spans="1:9">
      <c r="A711" s="3" t="s">
        <v>51</v>
      </c>
      <c r="B711" s="3" t="s">
        <v>2948</v>
      </c>
      <c r="C711" s="3" t="s">
        <v>2949</v>
      </c>
      <c r="D711" s="3" t="s">
        <v>2950</v>
      </c>
      <c r="E711" s="3" t="s">
        <v>2951</v>
      </c>
      <c r="F711" s="3" t="s">
        <v>2952</v>
      </c>
      <c r="G711" s="3" t="str">
        <f ca="1">IFERROR(__xludf.DUMMYFUNCTION("googletranslate(D711,""en"",""ja"")"),"酢酸ベンジル;ベンジル酢酸")</f>
        <v>酢酸ベンジル;ベンジル酢酸</v>
      </c>
      <c r="H711" s="3" t="str">
        <f ca="1">IFERROR(__xludf.DUMMYFUNCTION("googletranslate(E711,""en"",""ja"")"),"試料中の酢酸ベンジルの測定。")</f>
        <v>試料中の酢酸ベンジルの測定。</v>
      </c>
      <c r="I711" s="3" t="str">
        <f ca="1">IFERROR(__xludf.DUMMYFUNCTION("googletranslate(F711,""en"",""ja"")"),"酢酸ベンジルの測定")</f>
        <v>酢酸ベンジルの測定</v>
      </c>
    </row>
    <row r="712" spans="1:9" ht="45">
      <c r="A712" s="3" t="s">
        <v>51</v>
      </c>
      <c r="B712" s="3" t="s">
        <v>2953</v>
      </c>
      <c r="C712" s="3" t="s">
        <v>2954</v>
      </c>
      <c r="D712" s="3" t="s">
        <v>2955</v>
      </c>
      <c r="E712" s="3" t="s">
        <v>2956</v>
      </c>
      <c r="F712" s="3" t="s">
        <v>2957</v>
      </c>
      <c r="G712" s="3" t="str">
        <f ca="1">IFERROR(__xludf.DUMMYFUNCTION("googletranslate(D712,""en"",""ja"")"),"3,4-ベンズピレン;ベンズ(a)ピレン;ベンズ[a]ピレン;ベンゾ(a)ピレン;ベンゾ[a]ピレン")</f>
        <v>3,4-ベンズピレン;ベンズ(a)ピレン;ベンズ[a]ピレン;ベンゾ(a)ピレン;ベンゾ[a]ピレン</v>
      </c>
      <c r="H712" s="3" t="str">
        <f ca="1">IFERROR(__xludf.DUMMYFUNCTION("googletranslate(E712,""en"",""ja"")"),"試料中のベンゾ[a]ピレンの測定。")</f>
        <v>試料中のベンゾ[a]ピレンの測定。</v>
      </c>
      <c r="I712" s="3" t="str">
        <f ca="1">IFERROR(__xludf.DUMMYFUNCTION("googletranslate(F712,""en"",""ja"")"),"ベンゾ[a]ピレンの測定")</f>
        <v>ベンゾ[a]ピレンの測定</v>
      </c>
    </row>
    <row r="713" spans="1:9" ht="45">
      <c r="A713" s="3" t="s">
        <v>6</v>
      </c>
      <c r="B713" s="3" t="s">
        <v>2953</v>
      </c>
      <c r="C713" s="3" t="s">
        <v>2954</v>
      </c>
      <c r="D713" s="3" t="s">
        <v>2955</v>
      </c>
      <c r="E713" s="3" t="s">
        <v>2956</v>
      </c>
      <c r="F713" s="3" t="s">
        <v>2957</v>
      </c>
      <c r="G713" s="3" t="str">
        <f ca="1">IFERROR(__xludf.DUMMYFUNCTION("googletranslate(D713,""en"",""ja"")"),"3,4-ベンズピレン;ベンズ(a)ピレン;ベンズ[a]ピレン;ベンゾ(a)ピレン;ベンゾ[a]ピレン")</f>
        <v>3,4-ベンズピレン;ベンズ(a)ピレン;ベンズ[a]ピレン;ベンゾ(a)ピレン;ベンゾ[a]ピレン</v>
      </c>
      <c r="H713" s="3" t="str">
        <f ca="1">IFERROR(__xludf.DUMMYFUNCTION("googletranslate(E713,""en"",""ja"")"),"試料中のベンゾ[a]ピレンの測定。")</f>
        <v>試料中のベンゾ[a]ピレンの測定。</v>
      </c>
      <c r="I713" s="3" t="str">
        <f ca="1">IFERROR(__xludf.DUMMYFUNCTION("googletranslate(F713,""en"",""ja"")"),"ベンゾ[a]ピレンの測定")</f>
        <v>ベンゾ[a]ピレンの測定</v>
      </c>
    </row>
    <row r="714" spans="1:9" ht="60">
      <c r="A714" s="3" t="s">
        <v>51</v>
      </c>
      <c r="B714" s="3" t="s">
        <v>2958</v>
      </c>
      <c r="C714" s="3" t="s">
        <v>2959</v>
      </c>
      <c r="D714" s="3" t="s">
        <v>2960</v>
      </c>
      <c r="E714" s="3" t="s">
        <v>2961</v>
      </c>
      <c r="F714" s="3" t="s">
        <v>2962</v>
      </c>
      <c r="G714" s="3" t="str">
        <f ca="1">IFERROR(__xludf.DUMMYFUNCTION("googletranslate(D714,""en"",""ja"")"),"ベンズ(b)フルオランテン;ベンズ[b]フルオランテン;ベンゾ(b)フルオランテン;ベンゾ[b]フルオランテン")</f>
        <v>ベンズ(b)フルオランテン;ベンズ[b]フルオランテン;ベンゾ(b)フルオランテン;ベンゾ[b]フルオランテン</v>
      </c>
      <c r="H714" s="3" t="str">
        <f ca="1">IFERROR(__xludf.DUMMYFUNCTION("googletranslate(E714,""en"",""ja"")"),"試料中のベンゾ[b]フルオランテンの測定。")</f>
        <v>試料中のベンゾ[b]フルオランテンの測定。</v>
      </c>
      <c r="I714" s="3" t="str">
        <f ca="1">IFERROR(__xludf.DUMMYFUNCTION("googletranslate(F714,""en"",""ja"")"),"ベンゾ[b]フルオランテンの測定")</f>
        <v>ベンゾ[b]フルオランテンの測定</v>
      </c>
    </row>
    <row r="715" spans="1:9" ht="60">
      <c r="A715" s="3" t="s">
        <v>51</v>
      </c>
      <c r="B715" s="3" t="s">
        <v>2963</v>
      </c>
      <c r="C715" s="3" t="s">
        <v>2964</v>
      </c>
      <c r="D715" s="3" t="s">
        <v>2965</v>
      </c>
      <c r="E715" s="3" t="s">
        <v>2966</v>
      </c>
      <c r="F715" s="3" t="s">
        <v>2967</v>
      </c>
      <c r="G715" s="3" t="str">
        <f ca="1">IFERROR(__xludf.DUMMYFUNCTION("googletranslate(D715,""en"",""ja"")"),"1-ベンゾフラン;ベンツ(b)フラン;ベンツ[b]フラン;ベンゾ(b)フラン;ベンゾ[b]フラン;ベンゾフラン;クマローネ")</f>
        <v>1-ベンゾフラン;ベンツ(b)フラン;ベンツ[b]フラン;ベンゾ(b)フラン;ベンゾ[b]フラン;ベンゾフラン;クマローネ</v>
      </c>
      <c r="H715" s="3" t="str">
        <f ca="1">IFERROR(__xludf.DUMMYFUNCTION("googletranslate(E715,""en"",""ja"")"),"試料中のベンゾ[b]フランの測定。")</f>
        <v>試料中のベンゾ[b]フランの測定。</v>
      </c>
      <c r="I715" s="3" t="str">
        <f ca="1">IFERROR(__xludf.DUMMYFUNCTION("googletranslate(F715,""en"",""ja"")"),"ベンゾ[b]フランの測定")</f>
        <v>ベンゾ[b]フランの測定</v>
      </c>
    </row>
    <row r="716" spans="1:9" ht="60">
      <c r="A716" s="3" t="s">
        <v>51</v>
      </c>
      <c r="B716" s="3" t="s">
        <v>2968</v>
      </c>
      <c r="C716" s="3" t="s">
        <v>2969</v>
      </c>
      <c r="D716" s="3" t="s">
        <v>2970</v>
      </c>
      <c r="E716" s="3" t="s">
        <v>2971</v>
      </c>
      <c r="F716" s="3" t="s">
        <v>2972</v>
      </c>
      <c r="G716" s="3" t="str">
        <f ca="1">IFERROR(__xludf.DUMMYFUNCTION("googletranslate(D716,""en"",""ja"")"),"ベンズ(c)フェナントレン;ベンズ[c]フェナントレン;ベンゾ(c)フェナントレン;ベンゾ[c]フェナントレン")</f>
        <v>ベンズ(c)フェナントレン;ベンズ[c]フェナントレン;ベンゾ(c)フェナントレン;ベンゾ[c]フェナントレン</v>
      </c>
      <c r="H716" s="3" t="str">
        <f ca="1">IFERROR(__xludf.DUMMYFUNCTION("googletranslate(E716,""en"",""ja"")"),"試料中のベンゾ[c]フェナントレンの測定。")</f>
        <v>試料中のベンゾ[c]フェナントレンの測定。</v>
      </c>
      <c r="I716" s="3" t="str">
        <f ca="1">IFERROR(__xludf.DUMMYFUNCTION("googletranslate(F716,""en"",""ja"")"),"ベンゾ[c]フェナントレンの測定")</f>
        <v>ベンゾ[c]フェナントレンの測定</v>
      </c>
    </row>
    <row r="717" spans="1:9" ht="60">
      <c r="A717" s="3" t="s">
        <v>51</v>
      </c>
      <c r="B717" s="3" t="s">
        <v>2973</v>
      </c>
      <c r="C717" s="3" t="s">
        <v>2974</v>
      </c>
      <c r="D717" s="3" t="s">
        <v>2975</v>
      </c>
      <c r="E717" s="3" t="s">
        <v>2976</v>
      </c>
      <c r="F717" s="3" t="s">
        <v>2977</v>
      </c>
      <c r="G717" s="3" t="str">
        <f ca="1">IFERROR(__xludf.DUMMYFUNCTION("googletranslate(D717,""en"",""ja"")"),"ベンズ(j)アセアントリレン;ベンズ[j]アセアントリレン;ベンゾ(j)アセアントリレン;ベンゾ[j]アセアントリレン")</f>
        <v>ベンズ(j)アセアントリレン;ベンズ[j]アセアントリレン;ベンゾ(j)アセアントリレン;ベンゾ[j]アセアントリレン</v>
      </c>
      <c r="H717" s="3" t="str">
        <f ca="1">IFERROR(__xludf.DUMMYFUNCTION("googletranslate(E717,""en"",""ja"")"),"試料中のベンゾ[j]アセアントリレンの測定。")</f>
        <v>試料中のベンゾ[j]アセアントリレンの測定。</v>
      </c>
      <c r="I717" s="3" t="str">
        <f ca="1">IFERROR(__xludf.DUMMYFUNCTION("googletranslate(F717,""en"",""ja"")"),"ベンゾ[j]アセアントリレンの測定")</f>
        <v>ベンゾ[j]アセアントリレンの測定</v>
      </c>
    </row>
    <row r="718" spans="1:9" ht="60">
      <c r="A718" s="3" t="s">
        <v>51</v>
      </c>
      <c r="B718" s="3" t="s">
        <v>2978</v>
      </c>
      <c r="C718" s="3" t="s">
        <v>2979</v>
      </c>
      <c r="D718" s="3" t="s">
        <v>2980</v>
      </c>
      <c r="E718" s="3" t="s">
        <v>2981</v>
      </c>
      <c r="F718" s="3" t="s">
        <v>2982</v>
      </c>
      <c r="G718" s="3" t="str">
        <f ca="1">IFERROR(__xludf.DUMMYFUNCTION("googletranslate(D718,""en"",""ja"")"),"ベンズ(k)フルオランテン;ベンズ[k]フルオランテン;ベンゾ(k)フルオランテン;ベンゾ[k]フルオランテン")</f>
        <v>ベンズ(k)フルオランテン;ベンズ[k]フルオランテン;ベンゾ(k)フルオランテン;ベンゾ[k]フルオランテン</v>
      </c>
      <c r="H718" s="3" t="str">
        <f ca="1">IFERROR(__xludf.DUMMYFUNCTION("googletranslate(E718,""en"",""ja"")"),"試料中のベンゾ[k]フルオランテンの測定。")</f>
        <v>試料中のベンゾ[k]フルオランテンの測定。</v>
      </c>
      <c r="I718" s="3" t="str">
        <f ca="1">IFERROR(__xludf.DUMMYFUNCTION("googletranslate(F718,""en"",""ja"")"),"ベンゾ[k]フルオランテンの測定")</f>
        <v>ベンゾ[k]フルオランテンの測定</v>
      </c>
    </row>
    <row r="719" spans="1:9" ht="45">
      <c r="A719" s="3" t="s">
        <v>6</v>
      </c>
      <c r="B719" s="3" t="s">
        <v>2983</v>
      </c>
      <c r="C719" s="3" t="s">
        <v>2984</v>
      </c>
      <c r="D719" s="3" t="s">
        <v>2985</v>
      </c>
      <c r="E719" s="3" t="s">
        <v>2986</v>
      </c>
      <c r="F719" s="3" t="s">
        <v>2987</v>
      </c>
      <c r="G719" s="3" t="str">
        <f ca="1">IFERROR(__xludf.DUMMYFUNCTION("googletranslate(D719,""en"",""ja"")"),"1-ベンジルピペラジン;ベンジルピペラジン; N-ベンジルピペラジン")</f>
        <v>1-ベンジルピペラジン;ベンジルピペラジン; N-ベンジルピペラジン</v>
      </c>
      <c r="H719" s="3" t="str">
        <f ca="1">IFERROR(__xludf.DUMMYFUNCTION("googletranslate(E719,""en"",""ja"")"),"生物学的標本中のベンジルピペラジンの測定。")</f>
        <v>生物学的標本中のベンジルピペラジンの測定。</v>
      </c>
      <c r="I719" s="3" t="str">
        <f ca="1">IFERROR(__xludf.DUMMYFUNCTION("googletranslate(F719,""en"",""ja"")"),"ベンジルピペラジンの測定")</f>
        <v>ベンジルピペラジンの測定</v>
      </c>
    </row>
    <row r="720" spans="1:9" ht="30">
      <c r="A720" s="3" t="s">
        <v>67</v>
      </c>
      <c r="B720" s="3" t="s">
        <v>2988</v>
      </c>
      <c r="C720" s="3" t="s">
        <v>2989</v>
      </c>
      <c r="D720" s="3" t="s">
        <v>2989</v>
      </c>
      <c r="E720" s="3" t="s">
        <v>2990</v>
      </c>
      <c r="F720" s="3" t="s">
        <v>2991</v>
      </c>
      <c r="G720" s="3" t="str">
        <f ca="1">IFERROR(__xludf.DUMMYFUNCTION("googletranslate(D720,""en"",""ja"")"),"クロストリジウム・ディフィシル 027/NAP1/BI")</f>
        <v>クロストリジウム・ディフィシル 027/NAP1/BI</v>
      </c>
      <c r="H720" s="3" t="str">
        <f ca="1">IFERROR(__xludf.DUMMYFUNCTION("googletranslate(E720,""en"",""ja"")"),"生物学的標本中のクロストリジウム ディフィシルの 027/NAP1/BI 株の測定。")</f>
        <v>生物学的標本中のクロストリジウム ディフィシルの 027/NAP1/BI 株の測定。</v>
      </c>
      <c r="I720" s="3" t="str">
        <f ca="1">IFERROR(__xludf.DUMMYFUNCTION("googletranslate(F720,""en"",""ja"")"),"クロストリジウム・ディフィシル027/NAP1/BI測定")</f>
        <v>クロストリジウム・ディフィシル027/NAP1/BI測定</v>
      </c>
    </row>
    <row r="721" spans="1:9" ht="75">
      <c r="A721" s="3" t="s">
        <v>67</v>
      </c>
      <c r="B721" s="3" t="s">
        <v>2992</v>
      </c>
      <c r="C721" s="3" t="s">
        <v>2993</v>
      </c>
      <c r="D721" s="3" t="s">
        <v>2994</v>
      </c>
      <c r="E721" s="3" t="s">
        <v>2995</v>
      </c>
      <c r="F721" s="3" t="s">
        <v>2996</v>
      </c>
      <c r="G721" s="3" t="str">
        <f ca="1">IFERROR(__xludf.DUMMYFUNCTION("googletranslate(D721,""en"",""ja"")"),"V. コール/腸炎炎菌/バルニフィカス DNA;コレラ菌/腸炎菌/バルニフィカス DNA")</f>
        <v>V. コール/腸炎炎菌/バルニフィカス DNA;コレラ菌/腸炎菌/バルニフィカス DNA</v>
      </c>
      <c r="H721" s="3" t="str">
        <f ca="1">IFERROR(__xludf.DUMMYFUNCTION("googletranslate(E721,""en"",""ja"")"),"生物学的検体中のコレラ菌および/または腸炎ビブリオおよび/またはビブリオ・バルニフィカスの DNA の測定。")</f>
        <v>生物学的検体中のコレラ菌および/または腸炎ビブリオおよび/またはビブリオ・バルニフィカスの DNA の測定。</v>
      </c>
      <c r="I721" s="3" t="str">
        <f ca="1">IFERROR(__xludf.DUMMYFUNCTION("googletranslate(F721,""en"",""ja"")"),"コレラ菌、腸炎ビブリオ、および/またはビブリオ・バルニフィカスのDNA測定")</f>
        <v>コレラ菌、腸炎ビブリオ、および/またはビブリオ・バルニフィカスのDNA測定</v>
      </c>
    </row>
    <row r="722" spans="1:9" ht="75">
      <c r="A722" s="3" t="s">
        <v>67</v>
      </c>
      <c r="B722" s="3" t="s">
        <v>2997</v>
      </c>
      <c r="C722" s="3" t="s">
        <v>2998</v>
      </c>
      <c r="D722" s="3" t="s">
        <v>2999</v>
      </c>
      <c r="E722" s="3" t="s">
        <v>3000</v>
      </c>
      <c r="F722" s="3" t="s">
        <v>3001</v>
      </c>
      <c r="G722" s="3" t="str">
        <f ca="1">IFERROR(__xludf.DUMMYFUNCTION("googletranslate(D722,""en"",""ja"")"),"侵入プラスミド抗原 H 遺伝子; ipaH遺伝子;赤癬菌種および/または腸管侵襲性大腸菌侵入プラスミド抗原 H DNA;赤癬菌/EIEC ipaH DNA")</f>
        <v>侵入プラスミド抗原 H 遺伝子; ipaH遺伝子;赤癬菌種および/または腸管侵襲性大腸菌侵入プラスミド抗原 H DNA;赤癬菌/EIEC ipaH DNA</v>
      </c>
      <c r="H722" s="3" t="str">
        <f ca="1">IFERROR(__xludf.DUMMYFUNCTION("googletranslate(E722,""en"",""ja"")"),"生物学的標本中の赤癬属および/または腸管侵襲性大腸菌のいずれかのメンバーからの侵入プラスミド抗原 H DNA の測定。")</f>
        <v>生物学的標本中の赤癬属および/または腸管侵襲性大腸菌のいずれかのメンバーからの侵入プラスミド抗原 H DNA の測定。</v>
      </c>
      <c r="I722" s="3" t="str">
        <f ca="1">IFERROR(__xludf.DUMMYFUNCTION("googletranslate(F722,""en"",""ja"")"),"赤癬菌および/または腸管侵襲性大腸菌 ipaH DNA 測定")</f>
        <v>赤癬菌および/または腸管侵襲性大腸菌 ipaH DNA 測定</v>
      </c>
    </row>
    <row r="723" spans="1:9" ht="45">
      <c r="A723" s="3" t="s">
        <v>67</v>
      </c>
      <c r="B723" s="3" t="s">
        <v>3002</v>
      </c>
      <c r="C723" s="3" t="s">
        <v>3003</v>
      </c>
      <c r="D723" s="3" t="s">
        <v>3003</v>
      </c>
      <c r="E723" s="3" t="s">
        <v>3004</v>
      </c>
      <c r="F723" s="3" t="s">
        <v>3005</v>
      </c>
      <c r="G723" s="3" t="str">
        <f ca="1">IFERROR(__xludf.DUMMYFUNCTION("googletranslate(D723,""en"",""ja"")"),"サポウイルス ジェノグループ I/II/IV/V RNA")</f>
        <v>サポウイルス ジェノグループ I/II/IV/V RNA</v>
      </c>
      <c r="H723" s="3" t="str">
        <f ca="1">IFERROR(__xludf.DUMMYFUNCTION("googletranslate(E723,""en"",""ja"")"),"生物学的検体中のサポウイルス遺伝子群 I、II、IV、および/または V RNA の測定。")</f>
        <v>生物学的検体中のサポウイルス遺伝子群 I、II、IV、および/または V RNA の測定。</v>
      </c>
      <c r="I723" s="3" t="str">
        <f ca="1">IFERROR(__xludf.DUMMYFUNCTION("googletranslate(F723,""en"",""ja"")"),"サポウイルス遺伝子群 I、II、IV、および/または V の RNA 測定")</f>
        <v>サポウイルス遺伝子群 I、II、IV、および/または V の RNA 測定</v>
      </c>
    </row>
    <row r="724" spans="1:9" ht="45">
      <c r="A724" s="3" t="s">
        <v>67</v>
      </c>
      <c r="B724" s="3" t="s">
        <v>3006</v>
      </c>
      <c r="C724" s="3" t="s">
        <v>3007</v>
      </c>
      <c r="D724" s="3" t="s">
        <v>3008</v>
      </c>
      <c r="E724" s="3" t="s">
        <v>3009</v>
      </c>
      <c r="F724" s="3" t="s">
        <v>3010</v>
      </c>
      <c r="G724" s="3" t="str">
        <f ca="1">IFERROR(__xludf.DUMMYFUNCTION("googletranslate(D724,""en"",""ja"")"),"ノロウイルスのゲノグループ I および/またはジェノグループ II RNA;ノロウイルス GI/GII RNA")</f>
        <v>ノロウイルスのゲノグループ I および/またはジェノグループ II RNA;ノロウイルス GI/GII RNA</v>
      </c>
      <c r="H724" s="3" t="str">
        <f ca="1">IFERROR(__xludf.DUMMYFUNCTION("googletranslate(E724,""en"",""ja"")"),"生物学的検体中のノロウイルスのゲノグループ I および/または II RNA の測定。")</f>
        <v>生物学的検体中のノロウイルスのゲノグループ I および/または II RNA の測定。</v>
      </c>
      <c r="I724" s="3" t="str">
        <f ca="1">IFERROR(__xludf.DUMMYFUNCTION("googletranslate(F724,""en"",""ja"")"),"ノロウイルス遺伝子グループ I および/または II の RNA 測定")</f>
        <v>ノロウイルス遺伝子グループ I および/または II の RNA 測定</v>
      </c>
    </row>
    <row r="725" spans="1:9" ht="45">
      <c r="A725" s="3" t="s">
        <v>67</v>
      </c>
      <c r="B725" s="3" t="s">
        <v>3011</v>
      </c>
      <c r="C725" s="3" t="s">
        <v>3012</v>
      </c>
      <c r="D725" s="3" t="s">
        <v>3013</v>
      </c>
      <c r="E725" s="3" t="s">
        <v>3014</v>
      </c>
      <c r="F725" s="3" t="s">
        <v>3015</v>
      </c>
      <c r="G725" s="3" t="str">
        <f ca="1">IFERROR(__xludf.DUMMYFUNCTION("googletranslate(D725,""en"",""ja"")"),"腸毒素原性大腸菌 LtA/ST1a/ST1b DNA。 ETEC LtA/ST1a/ST1b DNA")</f>
        <v>腸毒素原性大腸菌 LtA/ST1a/ST1b DNA。 ETEC LtA/ST1a/ST1b DNA</v>
      </c>
      <c r="H725" s="3" t="str">
        <f ca="1">IFERROR(__xludf.DUMMYFUNCTION("googletranslate(E725,""en"",""ja"")"),"生物学的検体中の腸毒素原性大腸菌 LtA、ST1a、および/または ST1b DNA の測定。")</f>
        <v>生物学的検体中の腸毒素原性大腸菌 LtA、ST1a、および/または ST1b DNA の測定。</v>
      </c>
      <c r="I725" s="3" t="str">
        <f ca="1">IFERROR(__xludf.DUMMYFUNCTION("googletranslate(F725,""en"",""ja"")"),"腸毒素原性大腸菌 LtA、ST1a、および/または ST1b DNA 測定")</f>
        <v>腸毒素原性大腸菌 LtA、ST1a、および/または ST1b DNA 測定</v>
      </c>
    </row>
    <row r="726" spans="1:9" ht="30">
      <c r="A726" s="3" t="s">
        <v>67</v>
      </c>
      <c r="B726" s="3" t="s">
        <v>3016</v>
      </c>
      <c r="C726" s="3" t="s">
        <v>3017</v>
      </c>
      <c r="D726" s="3" t="s">
        <v>3018</v>
      </c>
      <c r="E726" s="3" t="s">
        <v>3019</v>
      </c>
      <c r="F726" s="3" t="s">
        <v>3020</v>
      </c>
      <c r="G726" s="3" t="str">
        <f ca="1">IFERROR(__xludf.DUMMYFUNCTION("googletranslate(D726,""en"",""ja"")"),"腸管病原性大腸菌eae DNA; EPEC eae DNA")</f>
        <v>腸管病原性大腸菌eae DNA; EPEC eae DNA</v>
      </c>
      <c r="H726" s="3" t="str">
        <f ca="1">IFERROR(__xludf.DUMMYFUNCTION("googletranslate(E726,""en"",""ja"")"),"生物学的標本中の腸内病原性大腸菌 eae DNA の測定。")</f>
        <v>生物学的標本中の腸内病原性大腸菌 eae DNA の測定。</v>
      </c>
      <c r="I726" s="3" t="str">
        <f ca="1">IFERROR(__xludf.DUMMYFUNCTION("googletranslate(F726,""en"",""ja"")"),"腸管病原性大腸菌eae DNA測定")</f>
        <v>腸管病原性大腸菌eae DNA測定</v>
      </c>
    </row>
    <row r="727" spans="1:9" ht="45">
      <c r="A727" s="3" t="s">
        <v>67</v>
      </c>
      <c r="B727" s="3" t="s">
        <v>3021</v>
      </c>
      <c r="C727" s="3" t="s">
        <v>3022</v>
      </c>
      <c r="D727" s="3" t="s">
        <v>3023</v>
      </c>
      <c r="E727" s="3" t="s">
        <v>3024</v>
      </c>
      <c r="F727" s="3" t="s">
        <v>3025</v>
      </c>
      <c r="G727" s="3" t="str">
        <f ca="1">IFERROR(__xludf.DUMMYFUNCTION("googletranslate(D727,""en"",""ja"")"),"EAEC pAA プラスミド aggR/aatA DNA;腸内凝集性大腸菌 pAA プラスミド aggR/aatA DNA")</f>
        <v>EAEC pAA プラスミド aggR/aatA DNA;腸内凝集性大腸菌 pAA プラスミド aggR/aatA DNA</v>
      </c>
      <c r="H727" s="3" t="str">
        <f ca="1">IFERROR(__xludf.DUMMYFUNCTION("googletranslate(E727,""en"",""ja"")"),"生物学的検体中の腸内凝集性大腸菌 pAA プラスミド aggR および/または aatA DNA の測定。")</f>
        <v>生物学的検体中の腸内凝集性大腸菌 pAA プラスミド aggR および/または aatA DNA の測定。</v>
      </c>
      <c r="I727" s="3" t="str">
        <f ca="1">IFERROR(__xludf.DUMMYFUNCTION("googletranslate(F727,""en"",""ja"")"),"腸内凝集性大腸菌 pAA プラスミド aggR および/または aatA DNA の測定")</f>
        <v>腸内凝集性大腸菌 pAA プラスミド aggR および/または aatA DNA の測定</v>
      </c>
    </row>
    <row r="728" spans="1:9" ht="60">
      <c r="A728" s="3" t="s">
        <v>67</v>
      </c>
      <c r="B728" s="3" t="s">
        <v>3026</v>
      </c>
      <c r="C728" s="3" t="s">
        <v>3027</v>
      </c>
      <c r="D728" s="3" t="s">
        <v>3028</v>
      </c>
      <c r="E728" s="3" t="s">
        <v>3029</v>
      </c>
      <c r="F728" s="3" t="s">
        <v>3030</v>
      </c>
      <c r="G728" s="3" t="str">
        <f ca="1">IFERROR(__xludf.DUMMYFUNCTION("googletranslate(D728,""en"",""ja"")"),"大腸菌/ジェジュニ/ウプサリエンシス DNA;カンピロバクター・コリ/ジェジュニ/ウプサリエンシス DNA")</f>
        <v>大腸菌/ジェジュニ/ウプサリエンシス DNA;カンピロバクター・コリ/ジェジュニ/ウプサリエンシス DNA</v>
      </c>
      <c r="H728" s="3" t="str">
        <f ca="1">IFERROR(__xludf.DUMMYFUNCTION("googletranslate(E728,""en"",""ja"")"),"生物学的検体中のカンピロバクター・コリ、カンピロバクター・ジェジュニ、および/またはカンピロバクター・アップサリエンシスのDNAの測定。")</f>
        <v>生物学的検体中のカンピロバクター・コリ、カンピロバクター・ジェジュニ、および/またはカンピロバクター・アップサリエンシスのDNAの測定。</v>
      </c>
      <c r="I728" s="3" t="str">
        <f ca="1">IFERROR(__xludf.DUMMYFUNCTION("googletranslate(F728,""en"",""ja"")"),"カンピロバクター・コリ、カンピロバクター・ジェジュニ、カンピロバクター・アップサリエンシスのDNA測定")</f>
        <v>カンピロバクター・コリ、カンピロバクター・ジェジュニ、カンピロバクター・アップサリエンシスのDNA測定</v>
      </c>
    </row>
    <row r="729" spans="1:9" ht="45">
      <c r="A729" s="3" t="s">
        <v>67</v>
      </c>
      <c r="B729" s="3" t="s">
        <v>3031</v>
      </c>
      <c r="C729" s="3" t="s">
        <v>3032</v>
      </c>
      <c r="D729" s="3" t="s">
        <v>3032</v>
      </c>
      <c r="E729" s="3" t="s">
        <v>3033</v>
      </c>
      <c r="F729" s="3" t="s">
        <v>3034</v>
      </c>
      <c r="G729" s="3" t="str">
        <f ca="1">IFERROR(__xludf.DUMMYFUNCTION("googletranslate(D729,""en"",""ja"")"),"ヒトアストロウイルス 1/2/3/4/5/6/7/8 RNA")</f>
        <v>ヒトアストロウイルス 1/2/3/4/5/6/7/8 RNA</v>
      </c>
      <c r="H729" s="3" t="str">
        <f ca="1">IFERROR(__xludf.DUMMYFUNCTION("googletranslate(E729,""en"",""ja"")"),"生物学的検体中のヒトアストロウイルス 1、2、3、4、5、6、7 および/または 8 RNA の測定。")</f>
        <v>生物学的検体中のヒトアストロウイルス 1、2、3、4、5、6、7 および/または 8 RNA の測定。</v>
      </c>
      <c r="I729" s="3" t="str">
        <f ca="1">IFERROR(__xludf.DUMMYFUNCTION("googletranslate(F729,""en"",""ja"")"),"ヒトアストロウイルス 1、2、3、4、5、6、7、および/または 8 RNA の測定")</f>
        <v>ヒトアストロウイルス 1、2、3、4、5、6、7、および/または 8 RNA の測定</v>
      </c>
    </row>
    <row r="730" spans="1:9" ht="60">
      <c r="A730" s="3" t="s">
        <v>67</v>
      </c>
      <c r="B730" s="3" t="s">
        <v>3035</v>
      </c>
      <c r="C730" s="3" t="s">
        <v>3036</v>
      </c>
      <c r="D730" s="3" t="s">
        <v>3037</v>
      </c>
      <c r="E730" s="3" t="s">
        <v>3038</v>
      </c>
      <c r="F730" s="3" t="s">
        <v>3039</v>
      </c>
      <c r="G730" s="3" t="str">
        <f ca="1">IFERROR(__xludf.DUMMYFUNCTION("googletranslate(D730,""en"",""ja"")"),"ヒトアデノウイルス 40/41 DNA;ヒトアデノウイルス F40/F41 DNA;マスタデノウイルス 40/41 DNA")</f>
        <v>ヒトアデノウイルス 40/41 DNA;ヒトアデノウイルス F40/F41 DNA;マスタデノウイルス 40/41 DNA</v>
      </c>
      <c r="H730" s="3" t="str">
        <f ca="1">IFERROR(__xludf.DUMMYFUNCTION("googletranslate(E730,""en"",""ja"")"),"生物学的検体中のヒト アデノウイルス 40 型および/またはヒト アデノウイルス 41 型 DNA の測定。")</f>
        <v>生物学的検体中のヒト アデノウイルス 40 型および/またはヒト アデノウイルス 41 型 DNA の測定。</v>
      </c>
      <c r="I730" s="3" t="str">
        <f ca="1">IFERROR(__xludf.DUMMYFUNCTION("googletranslate(F730,""en"",""ja"")"),"ヒトアデノウイルス40および/またはヒトアデノウイルス41のDNA測定")</f>
        <v>ヒトアデノウイルス40および/またはヒトアデノウイルス41のDNA測定</v>
      </c>
    </row>
    <row r="731" spans="1:9" ht="45">
      <c r="A731" s="3" t="s">
        <v>103</v>
      </c>
      <c r="B731" s="3" t="s">
        <v>3040</v>
      </c>
      <c r="C731" s="3" t="s">
        <v>3041</v>
      </c>
      <c r="D731" s="3" t="s">
        <v>3041</v>
      </c>
      <c r="E731" s="3" t="s">
        <v>3042</v>
      </c>
      <c r="F731" s="3" t="s">
        <v>3043</v>
      </c>
      <c r="G731" s="3" t="str">
        <f ca="1">IFERROR(__xludf.DUMMYFUNCTION("googletranslate(D731,""en"",""ja"")"),"モノラル/非TBNKロイク")</f>
        <v>モノラル/非TBNKロイク</v>
      </c>
      <c r="H731" s="3" t="str">
        <f ca="1">IFERROR(__xludf.DUMMYFUNCTION("googletranslate(E731,""en"",""ja"")"),"生物学的標本中の T 細胞、B 細胞、またはナチュラル キラー細胞ではないすべての白血球に対する単球の相対測定値 (比率またはパーセンテージ)。")</f>
        <v>生物学的標本中の T 細胞、B 細胞、またはナチュラル キラー細胞ではないすべての白血球に対する単球の相対測定値 (比率またはパーセンテージ)。</v>
      </c>
      <c r="I731" s="3" t="str">
        <f ca="1">IFERROR(__xludf.DUMMYFUNCTION("googletranslate(F731,""en"",""ja"")"),"単球と非TBNK白血球の比率の測定")</f>
        <v>単球と非TBNK白血球の比率の測定</v>
      </c>
    </row>
    <row r="732" spans="1:9" ht="60">
      <c r="A732" s="3" t="s">
        <v>103</v>
      </c>
      <c r="B732" s="3" t="s">
        <v>3044</v>
      </c>
      <c r="C732" s="3" t="s">
        <v>3045</v>
      </c>
      <c r="D732" s="3" t="s">
        <v>3046</v>
      </c>
      <c r="E732" s="3" t="s">
        <v>3047</v>
      </c>
      <c r="F732" s="3" t="s">
        <v>3048</v>
      </c>
      <c r="G732" s="3" t="str">
        <f ca="1">IFERROR(__xludf.DUMMYFUNCTION("googletranslate(D732,""en"",""ja"")"),"モノクラシック亜集団/非TBNK白血球。 Mono Classic Sub/非TBNK Leuk")</f>
        <v>モノクラシック亜集団/非TBNK白血球。 Mono Classic Sub/非TBNK Leuk</v>
      </c>
      <c r="H732" s="3" t="str">
        <f ca="1">IFERROR(__xludf.DUMMYFUNCTION("googletranslate(E732,""en"",""ja"")"),"生物学的標本における、T 細胞、B 細胞、またはナチュラル キラー細胞ではないすべての白血球に対する古典的単球の部分集団の相対測定値 (比率またはパーセンテージ)。")</f>
        <v>生物学的標本における、T 細胞、B 細胞、またはナチュラル キラー細胞ではないすべての白血球に対する古典的単球の部分集団の相対測定値 (比率またはパーセンテージ)。</v>
      </c>
      <c r="I732" s="3" t="str">
        <f ca="1">IFERROR(__xludf.DUMMYFUNCTION("googletranslate(F732,""en"",""ja"")"),"古典的な単球部分集団と非TBNK白血球の比率の測定")</f>
        <v>古典的な単球部分集団と非TBNK白血球の比率の測定</v>
      </c>
    </row>
    <row r="733" spans="1:9" ht="60">
      <c r="A733" s="3" t="s">
        <v>103</v>
      </c>
      <c r="B733" s="3" t="s">
        <v>3049</v>
      </c>
      <c r="C733" s="3" t="s">
        <v>3050</v>
      </c>
      <c r="D733" s="3" t="s">
        <v>3051</v>
      </c>
      <c r="E733" s="3" t="s">
        <v>3052</v>
      </c>
      <c r="F733" s="3" t="s">
        <v>3053</v>
      </c>
      <c r="G733" s="3" t="str">
        <f ca="1">IFERROR(__xludf.DUMMYFUNCTION("googletranslate(D733,""en"",""ja"")"),"モノラル中間サブ/非TBNK;モノラル中間サブ/非TBNK Leuk;単球 中間部分集団/非 TBNK 白血球")</f>
        <v>モノラル中間サブ/非TBNK;モノラル中間サブ/非TBNK Leuk;単球 中間部分集団/非 TBNK 白血球</v>
      </c>
      <c r="H733" s="3" t="str">
        <f ca="1">IFERROR(__xludf.DUMMYFUNCTION("googletranslate(E733,""en"",""ja"")"),"生物学的標本における、T 細胞、B 細胞、またはナチュラル キラー細胞ではないすべての白血球に対する中間単球の部分集団の相対測定値 (比率またはパーセンテージ)。")</f>
        <v>生物学的標本における、T 細胞、B 細胞、またはナチュラル キラー細胞ではないすべての白血球に対する中間単球の部分集団の相対測定値 (比率またはパーセンテージ)。</v>
      </c>
      <c r="I733" s="3" t="str">
        <f ca="1">IFERROR(__xludf.DUMMYFUNCTION("googletranslate(F733,""en"",""ja"")"),"中間単球部分集団と非TBNK白血球の比率の測定")</f>
        <v>中間単球部分集団と非TBNK白血球の比率の測定</v>
      </c>
    </row>
    <row r="734" spans="1:9" ht="60">
      <c r="A734" s="3" t="s">
        <v>103</v>
      </c>
      <c r="B734" s="3" t="s">
        <v>3054</v>
      </c>
      <c r="C734" s="3" t="s">
        <v>3055</v>
      </c>
      <c r="D734" s="3" t="s">
        <v>3056</v>
      </c>
      <c r="E734" s="3" t="s">
        <v>3057</v>
      </c>
      <c r="F734" s="3" t="s">
        <v>3058</v>
      </c>
      <c r="G734" s="3" t="str">
        <f ca="1">IFERROR(__xludf.DUMMYFUNCTION("googletranslate(D734,""en"",""ja"")"),"モノラル非クラシックサブ/非TBNK Leuk;単球 非古典的部分集団/非TBNK 白血球")</f>
        <v>モノラル非クラシックサブ/非TBNK Leuk;単球 非古典的部分集団/非TBNK 白血球</v>
      </c>
      <c r="H734" s="3" t="str">
        <f ca="1">IFERROR(__xludf.DUMMYFUNCTION("googletranslate(E734,""en"",""ja"")"),"生物学的標本における、T 細胞、B 細胞、またはナチュラル キラー細胞ではないすべての白血球に対する非古典的単球の部分集団の相対測定値 (比率またはパーセンテージ)。")</f>
        <v>生物学的標本における、T 細胞、B 細胞、またはナチュラル キラー細胞ではないすべての白血球に対する非古典的単球の部分集団の相対測定値 (比率またはパーセンテージ)。</v>
      </c>
      <c r="I734" s="3" t="str">
        <f ca="1">IFERROR(__xludf.DUMMYFUNCTION("googletranslate(F734,""en"",""ja"")"),"非古典的単球部分集団と非TBNK白血球の比率の測定")</f>
        <v>非古典的単球部分集団と非TBNK白血球の比率の測定</v>
      </c>
    </row>
    <row r="735" spans="1:9" ht="60">
      <c r="A735" s="3" t="s">
        <v>103</v>
      </c>
      <c r="B735" s="3" t="s">
        <v>3059</v>
      </c>
      <c r="C735" s="3" t="s">
        <v>3060</v>
      </c>
      <c r="D735" s="3" t="s">
        <v>3061</v>
      </c>
      <c r="E735" s="3" t="s">
        <v>3062</v>
      </c>
      <c r="F735" s="3" t="s">
        <v>3063</v>
      </c>
      <c r="G735" s="3" t="str">
        <f ca="1">IFERROR(__xludf.DUMMYFUNCTION("googletranslate(D735,""en"",""ja"")"),"MDSC/非TBNKロイク; MDSC/非TBNK白血球;骨髄由来サプレッサー細胞/非TBNK白血球")</f>
        <v>MDSC/非TBNKロイク; MDSC/非TBNK白血球;骨髄由来サプレッサー細胞/非TBNK白血球</v>
      </c>
      <c r="H735" s="3" t="str">
        <f ca="1">IFERROR(__xludf.DUMMYFUNCTION("googletranslate(E735,""en"",""ja"")"),"生物学的検体中の、T 細胞、B 細胞、またはナチュラル キラー細胞ではないすべての白血球に対する骨髄由来サプレッサー細胞の相対測定値 (比率またはパーセンテージ)。")</f>
        <v>生物学的検体中の、T 細胞、B 細胞、またはナチュラル キラー細胞ではないすべての白血球に対する骨髄由来サプレッサー細胞の相対測定値 (比率またはパーセンテージ)。</v>
      </c>
      <c r="I735" s="3" t="str">
        <f ca="1">IFERROR(__xludf.DUMMYFUNCTION("googletranslate(F735,""en"",""ja"")"),"骨髄由来サプレッサー細胞と非TBNK白血球の比率の測定")</f>
        <v>骨髄由来サプレッサー細胞と非TBNK白血球の比率の測定</v>
      </c>
    </row>
    <row r="736" spans="1:9" ht="60">
      <c r="A736" s="3" t="s">
        <v>103</v>
      </c>
      <c r="B736" s="3" t="s">
        <v>3064</v>
      </c>
      <c r="C736" s="3" t="s">
        <v>3065</v>
      </c>
      <c r="D736" s="3" t="s">
        <v>3066</v>
      </c>
      <c r="E736" s="3" t="s">
        <v>3067</v>
      </c>
      <c r="F736" s="3" t="s">
        <v>3068</v>
      </c>
      <c r="G736" s="3" t="str">
        <f ca="1">IFERROR(__xludf.DUMMYFUNCTION("googletranslate(D736,""en"",""ja"")"),"モノクラシック/非TBNK Leuk;単球 古典的/非TBNK白血球")</f>
        <v>モノクラシック/非TBNK Leuk;単球 古典的/非TBNK白血球</v>
      </c>
      <c r="H736" s="3" t="str">
        <f ca="1">IFERROR(__xludf.DUMMYFUNCTION("googletranslate(E736,""en"",""ja"")"),"生物学的標本における、T 細胞、B 細胞、またはナチュラル キラー細胞ではないすべての白血球に対する古典的単球の相対測定値 (比率またはパーセンテージ)。")</f>
        <v>生物学的標本における、T 細胞、B 細胞、またはナチュラル キラー細胞ではないすべての白血球に対する古典的単球の相対測定値 (比率またはパーセンテージ)。</v>
      </c>
      <c r="I736" s="3" t="str">
        <f ca="1">IFERROR(__xludf.DUMMYFUNCTION("googletranslate(F736,""en"",""ja"")"),"古典的な単球と非TBNK白血球の比率の測定")</f>
        <v>古典的な単球と非TBNK白血球の比率の測定</v>
      </c>
    </row>
    <row r="737" spans="1:9" ht="60">
      <c r="A737" s="3" t="s">
        <v>103</v>
      </c>
      <c r="B737" s="3" t="s">
        <v>3069</v>
      </c>
      <c r="C737" s="3" t="s">
        <v>3070</v>
      </c>
      <c r="D737" s="3" t="s">
        <v>3071</v>
      </c>
      <c r="E737" s="3" t="s">
        <v>3072</v>
      </c>
      <c r="F737" s="3" t="s">
        <v>3073</v>
      </c>
      <c r="G737" s="3" t="str">
        <f ca="1">IFERROR(__xludf.DUMMYFUNCTION("googletranslate(D737,""en"",""ja"")"),"モノ中間/非TBNK Leuk;単球 中間/非TBNK白血球")</f>
        <v>モノ中間/非TBNK Leuk;単球 中間/非TBNK白血球</v>
      </c>
      <c r="H737" s="3" t="str">
        <f ca="1">IFERROR(__xludf.DUMMYFUNCTION("googletranslate(E737,""en"",""ja"")"),"生物学的標本における、T 細胞、B 細胞、またはナチュラル キラー細胞ではないすべての白血球に対する中間単球の相対測定値 (比率またはパーセンテージ)。")</f>
        <v>生物学的標本における、T 細胞、B 細胞、またはナチュラル キラー細胞ではないすべての白血球に対する中間単球の相対測定値 (比率またはパーセンテージ)。</v>
      </c>
      <c r="I737" s="3" t="str">
        <f ca="1">IFERROR(__xludf.DUMMYFUNCTION("googletranslate(F737,""en"",""ja"")"),"中間単球と非TBNK白血球の比率の測定")</f>
        <v>中間単球と非TBNK白血球の比率の測定</v>
      </c>
    </row>
    <row r="738" spans="1:9" ht="60">
      <c r="A738" s="3" t="s">
        <v>103</v>
      </c>
      <c r="B738" s="3" t="s">
        <v>3074</v>
      </c>
      <c r="C738" s="3" t="s">
        <v>3075</v>
      </c>
      <c r="D738" s="3" t="s">
        <v>3076</v>
      </c>
      <c r="E738" s="3" t="s">
        <v>3077</v>
      </c>
      <c r="F738" s="3" t="s">
        <v>3078</v>
      </c>
      <c r="G738" s="3" t="str">
        <f ca="1">IFERROR(__xludf.DUMMYFUNCTION("googletranslate(D738,""en"",""ja"")"),"モノラル非クラシック/非TBNK Leuk;単球 非古典的/非TBNK 白血球")</f>
        <v>モノラル非クラシック/非TBNK Leuk;単球 非古典的/非TBNK 白血球</v>
      </c>
      <c r="H738" s="3" t="str">
        <f ca="1">IFERROR(__xludf.DUMMYFUNCTION("googletranslate(E738,""en"",""ja"")"),"生物学的標本における、T 細胞、B 細胞、またはナチュラル キラー細胞ではないすべての白血球に対する非古典的単球の相対測定値 (比率またはパーセンテージ)。")</f>
        <v>生物学的標本における、T 細胞、B 細胞、またはナチュラル キラー細胞ではないすべての白血球に対する非古典的単球の相対測定値 (比率またはパーセンテージ)。</v>
      </c>
      <c r="I738" s="3" t="str">
        <f ca="1">IFERROR(__xludf.DUMMYFUNCTION("googletranslate(F738,""en"",""ja"")"),"非古典的単球対非TBNK白血球比測定")</f>
        <v>非古典的単球対非TBNK白血球比測定</v>
      </c>
    </row>
    <row r="739" spans="1:9" ht="60">
      <c r="A739" s="3" t="s">
        <v>103</v>
      </c>
      <c r="B739" s="3" t="s">
        <v>3079</v>
      </c>
      <c r="C739" s="3" t="s">
        <v>3080</v>
      </c>
      <c r="D739" s="3" t="s">
        <v>3081</v>
      </c>
      <c r="E739" s="3" t="s">
        <v>3082</v>
      </c>
      <c r="F739" s="3" t="s">
        <v>3083</v>
      </c>
      <c r="G739" s="3" t="str">
        <f ca="1">IFERROR(__xludf.DUMMYFUNCTION("googletranslate(D739,""en"",""ja"")"),"T リンパ球細胞傷害性幹細胞記憶部分集団/T リンパ球細胞傷害性; TLym Cytx SC Mem サブ/TLym Cytx")</f>
        <v>T リンパ球細胞傷害性幹細胞記憶部分集団/T リンパ球細胞傷害性; TLym Cytx SC Mem サブ/TLym Cytx</v>
      </c>
      <c r="H739" s="3" t="str">
        <f ca="1">IFERROR(__xludf.DUMMYFUNCTION("googletranslate(E739,""en"",""ja"")"),"生物学的標本中の総細胞傷害性 T リンパ球に対する細胞傷害性幹細胞メモリー T リンパ球の部分集団の相対測定値 (比率またはパーセンテージ)。")</f>
        <v>生物学的標本中の総細胞傷害性 T リンパ球に対する細胞傷害性幹細胞メモリー T リンパ球の部分集団の相対測定値 (比率またはパーセンテージ)。</v>
      </c>
      <c r="I739" s="3" t="str">
        <f ca="1">IFERROR(__xludf.DUMMYFUNCTION("googletranslate(F739,""en"",""ja"")"),"幹細胞記憶細胞傷害性 T リンパ球サブ集団と細胞傷害性 T リンパ球の比率の測定")</f>
        <v>幹細胞記憶細胞傷害性 T リンパ球サブ集団と細胞傷害性 T リンパ球の比率の測定</v>
      </c>
    </row>
    <row r="740" spans="1:9" ht="45">
      <c r="A740" s="3" t="s">
        <v>103</v>
      </c>
      <c r="B740" s="3" t="s">
        <v>3084</v>
      </c>
      <c r="C740" s="3" t="s">
        <v>3085</v>
      </c>
      <c r="D740" s="3" t="s">
        <v>3086</v>
      </c>
      <c r="E740" s="3" t="s">
        <v>3087</v>
      </c>
      <c r="F740" s="3" t="s">
        <v>3088</v>
      </c>
      <c r="G740" s="3" t="str">
        <f ca="1">IFERROR(__xludf.DUMMYFUNCTION("googletranslate(D740,""en"",""ja"")"),"T リンパ球細胞傷害性幹細胞記憶/T リンパ球細胞傷害性; TLym Cytx SC Mem/TLym Cytx")</f>
        <v>T リンパ球細胞傷害性幹細胞記憶/T リンパ球細胞傷害性; TLym Cytx SC Mem/TLym Cytx</v>
      </c>
      <c r="H740" s="3" t="str">
        <f ca="1">IFERROR(__xludf.DUMMYFUNCTION("googletranslate(E740,""en"",""ja"")"),"生物学的検体中の総細胞傷害性 T リンパ球に対する細胞傷害性幹細胞メモリー T リンパ球の相対測定値 (比率またはパーセンテージ)。")</f>
        <v>生物学的検体中の総細胞傷害性 T リンパ球に対する細胞傷害性幹細胞メモリー T リンパ球の相対測定値 (比率またはパーセンテージ)。</v>
      </c>
      <c r="I740" s="3" t="str">
        <f ca="1">IFERROR(__xludf.DUMMYFUNCTION("googletranslate(F740,""en"",""ja"")"),"幹細胞記憶細胞傷害性 T リンパ球と細胞傷害性 T リンパ球の比率の測定")</f>
        <v>幹細胞記憶細胞傷害性 T リンパ球と細胞傷害性 T リンパ球の比率の測定</v>
      </c>
    </row>
    <row r="741" spans="1:9" ht="60">
      <c r="A741" s="3" t="s">
        <v>103</v>
      </c>
      <c r="B741" s="3" t="s">
        <v>3089</v>
      </c>
      <c r="C741" s="3" t="s">
        <v>3090</v>
      </c>
      <c r="D741" s="3" t="s">
        <v>3091</v>
      </c>
      <c r="E741" s="3" t="s">
        <v>3092</v>
      </c>
      <c r="F741" s="3" t="s">
        <v>3093</v>
      </c>
      <c r="G741" s="3" t="str">
        <f ca="1">IFERROR(__xludf.DUMMYFUNCTION("googletranslate(D741,""en"",""ja"")"),"T リンパ球細胞傷害性幹細胞記憶/T リンパ球細胞傷害性ナイーブ; TLym Cytx SC Mem/TLymCN")</f>
        <v>T リンパ球細胞傷害性幹細胞記憶/T リンパ球細胞傷害性ナイーブ; TLym Cytx SC Mem/TLymCN</v>
      </c>
      <c r="H741" s="3" t="str">
        <f ca="1">IFERROR(__xludf.DUMMYFUNCTION("googletranslate(E741,""en"",""ja"")"),"生物学的標本中の細胞傷害性ナイーブ T リンパ球に対する細胞傷害性幹細胞メモリー T リンパ球の相対測定値 (比率またはパーセンテージ)。")</f>
        <v>生物学的標本中の細胞傷害性ナイーブ T リンパ球に対する細胞傷害性幹細胞メモリー T リンパ球の相対測定値 (比率またはパーセンテージ)。</v>
      </c>
      <c r="I741" s="3" t="str">
        <f ca="1">IFERROR(__xludf.DUMMYFUNCTION("googletranslate(F741,""en"",""ja"")"),"幹細胞記憶細胞傷害性 T リンパ球とナイーブ細胞傷害性 T リンパ球の比率の測定")</f>
        <v>幹細胞記憶細胞傷害性 T リンパ球とナイーブ細胞傷害性 T リンパ球の比率の測定</v>
      </c>
    </row>
    <row r="742" spans="1:9" ht="60">
      <c r="A742" s="3" t="s">
        <v>103</v>
      </c>
      <c r="B742" s="3" t="s">
        <v>3094</v>
      </c>
      <c r="C742" s="3" t="s">
        <v>3095</v>
      </c>
      <c r="D742" s="3" t="s">
        <v>3096</v>
      </c>
      <c r="E742" s="3" t="s">
        <v>3097</v>
      </c>
      <c r="F742" s="3" t="s">
        <v>3098</v>
      </c>
      <c r="G742" s="3" t="str">
        <f ca="1">IFERROR(__xludf.DUMMYFUNCTION("googletranslate(D742,""en"",""ja"")"),"T リンパ球細胞傷害性末端記憶部分集団/T リンパ球細胞傷害性; TLym Cytx 用語 Mem Sub/TLym Cytx")</f>
        <v>T リンパ球細胞傷害性末端記憶部分集団/T リンパ球細胞傷害性; TLym Cytx 用語 Mem Sub/TLym Cytx</v>
      </c>
      <c r="H742" s="3" t="str">
        <f ca="1">IFERROR(__xludf.DUMMYFUNCTION("googletranslate(E742,""en"",""ja"")"),"生物学的標本中の総細胞傷害性 T リンパ球に対する細胞傷害性終末記憶 T リンパ球の部分集団の相対測定値 (比率またはパーセンテージ)。")</f>
        <v>生物学的標本中の総細胞傷害性 T リンパ球に対する細胞傷害性終末記憶 T リンパ球の部分集団の相対測定値 (比率またはパーセンテージ)。</v>
      </c>
      <c r="I742" s="3" t="str">
        <f ca="1">IFERROR(__xludf.DUMMYFUNCTION("googletranslate(F742,""en"",""ja"")"),"ターミナルメモリー細胞傷害性Tリンパ球サブ集団対細胞傷害性Tリンパ球比の測定")</f>
        <v>ターミナルメモリー細胞傷害性Tリンパ球サブ集団対細胞傷害性Tリンパ球比の測定</v>
      </c>
    </row>
    <row r="743" spans="1:9" ht="90">
      <c r="A743" s="3" t="s">
        <v>103</v>
      </c>
      <c r="B743" s="3" t="s">
        <v>3099</v>
      </c>
      <c r="C743" s="3" t="s">
        <v>3100</v>
      </c>
      <c r="D743" s="3" t="s">
        <v>3101</v>
      </c>
      <c r="E743" s="3" t="s">
        <v>3102</v>
      </c>
      <c r="F743" s="3" t="s">
        <v>3103</v>
      </c>
      <c r="G743" s="3" t="str">
        <f ca="1">IFERROR(__xludf.DUMMYFUNCTION("googletranslate(D743,""en"",""ja"")"),"T リンパ球の細胞傷害性記憶腸ホーミング亜集団/T リンパ球の細胞傷害性記憶。 TLym Cytx メモリ GH サブ/TLym Cytx メモリ; TLym Cytx Mem GH サブ/TLymCM")</f>
        <v>T リンパ球の細胞傷害性記憶腸ホーミング亜集団/T リンパ球の細胞傷害性記憶。 TLym Cytx メモリ GH サブ/TLym Cytx メモリ; TLym Cytx Mem GH サブ/TLymCM</v>
      </c>
      <c r="H743" s="3" t="str">
        <f ca="1">IFERROR(__xludf.DUMMYFUNCTION("googletranslate(E743,""en"",""ja"")"),"生物学的標本中の総細胞傷害性メモリー T リンパ球に対する腸ホーミング細胞傷害性メモリー T リンパ球の部分集団の相対測定値 (比率またはパーセンテージ)。")</f>
        <v>生物学的標本中の総細胞傷害性メモリー T リンパ球に対する腸ホーミング細胞傷害性メモリー T リンパ球の部分集団の相対測定値 (比率またはパーセンテージ)。</v>
      </c>
      <c r="I743" s="3" t="str">
        <f ca="1">IFERROR(__xludf.DUMMYFUNCTION("googletranslate(F743,""en"",""ja"")"),"腸ホーミング細胞傷害性記憶 T リンパ球サブ集団と細胞傷害性記憶 T リンパ球の比率の測定")</f>
        <v>腸ホーミング細胞傷害性記憶 T リンパ球サブ集団と細胞傷害性記憶 T リンパ球の比率の測定</v>
      </c>
    </row>
    <row r="744" spans="1:9" ht="90">
      <c r="A744" s="3" t="s">
        <v>103</v>
      </c>
      <c r="B744" s="3" t="s">
        <v>3104</v>
      </c>
      <c r="C744" s="3" t="s">
        <v>3105</v>
      </c>
      <c r="D744" s="3" t="s">
        <v>3106</v>
      </c>
      <c r="E744" s="3" t="s">
        <v>3107</v>
      </c>
      <c r="F744" s="3" t="s">
        <v>3108</v>
      </c>
      <c r="G744" s="3" t="str">
        <f ca="1">IFERROR(__xludf.DUMMYFUNCTION("googletranslate(D744,""en"",""ja"")"),"T リンパ球の細胞傷害性記憶 皮膚ホーミング サブ集団/T リンパ球の細胞傷害性記憶。 TLym Cytx メモリ SH サブ/TLym Cytx メモリ; TLym Cytx Mem SH サブ/TLymCM")</f>
        <v>T リンパ球の細胞傷害性記憶 皮膚ホーミング サブ集団/T リンパ球の細胞傷害性記憶。 TLym Cytx メモリ SH サブ/TLym Cytx メモリ; TLym Cytx Mem SH サブ/TLymCM</v>
      </c>
      <c r="H744" s="3" t="str">
        <f ca="1">IFERROR(__xludf.DUMMYFUNCTION("googletranslate(E744,""en"",""ja"")"),"生物学的標本中の総細胞傷害性メモリー T リンパ球に対する皮膚ホーミング細胞傷害性メモリー T リンパ球の部分集団の相対測定値 (比率またはパーセンテージ)。")</f>
        <v>生物学的標本中の総細胞傷害性メモリー T リンパ球に対する皮膚ホーミング細胞傷害性メモリー T リンパ球の部分集団の相対測定値 (比率またはパーセンテージ)。</v>
      </c>
      <c r="I744" s="3" t="str">
        <f ca="1">IFERROR(__xludf.DUMMYFUNCTION("googletranslate(F744,""en"",""ja"")"),"スキンホーミング細胞傷害性記憶 T リンパ球サブ集団と細胞傷害性記憶 T リンパ球の比率の測定")</f>
        <v>スキンホーミング細胞傷害性記憶 T リンパ球サブ集団と細胞傷害性記憶 T リンパ球の比率の測定</v>
      </c>
    </row>
    <row r="745" spans="1:9" ht="90">
      <c r="A745" s="3" t="s">
        <v>103</v>
      </c>
      <c r="B745" s="3" t="s">
        <v>3109</v>
      </c>
      <c r="C745" s="3" t="s">
        <v>3110</v>
      </c>
      <c r="D745" s="3" t="s">
        <v>3111</v>
      </c>
      <c r="E745" s="3" t="s">
        <v>3112</v>
      </c>
      <c r="F745" s="3" t="s">
        <v>3113</v>
      </c>
      <c r="G745" s="3" t="str">
        <f ca="1">IFERROR(__xludf.DUMMYFUNCTION("googletranslate(D745,""en"",""ja"")"),"T リンパ球細胞毒性中枢記憶腸ホーミング/T リンパ球細胞毒性中枢記憶。 TLym Cytx Cen メモリ GH/TLym Cytx Cen メモリ; TLym Cytx Cen Mem GH/TLymCCM")</f>
        <v>T リンパ球細胞毒性中枢記憶腸ホーミング/T リンパ球細胞毒性中枢記憶。 TLym Cytx Cen メモリ GH/TLym Cytx Cen メモリ; TLym Cytx Cen Mem GH/TLymCCM</v>
      </c>
      <c r="H745" s="3" t="str">
        <f ca="1">IFERROR(__xludf.DUMMYFUNCTION("googletranslate(E745,""en"",""ja"")"),"生物学的検体中の総細胞傷害性中枢記憶 T リンパ球に対する腸ホーミング細胞傷害性中枢記憶 T リンパ球の相対測定値 (比率またはパーセンテージ)。")</f>
        <v>生物学的検体中の総細胞傷害性中枢記憶 T リンパ球に対する腸ホーミング細胞傷害性中枢記憶 T リンパ球の相対測定値 (比率またはパーセンテージ)。</v>
      </c>
      <c r="I745" s="3" t="str">
        <f ca="1">IFERROR(__xludf.DUMMYFUNCTION("googletranslate(F745,""en"",""ja"")"),"腸ホーミング細胞傷害性中枢記憶 T リンパ球と細胞傷害性中枢記憶 T リンパ球の比率の測定")</f>
        <v>腸ホーミング細胞傷害性中枢記憶 T リンパ球と細胞傷害性中枢記憶 T リンパ球の比率の測定</v>
      </c>
    </row>
    <row r="746" spans="1:9" ht="90">
      <c r="A746" s="3" t="s">
        <v>103</v>
      </c>
      <c r="B746" s="3" t="s">
        <v>3114</v>
      </c>
      <c r="C746" s="3" t="s">
        <v>3115</v>
      </c>
      <c r="D746" s="3" t="s">
        <v>3116</v>
      </c>
      <c r="E746" s="3" t="s">
        <v>3117</v>
      </c>
      <c r="F746" s="3" t="s">
        <v>3118</v>
      </c>
      <c r="G746" s="3" t="str">
        <f ca="1">IFERROR(__xludf.DUMMYFUNCTION("googletranslate(D746,""en"",""ja"")"),"T リンパ球細胞毒性中枢記憶腸ホーミング亜集団/T リンパ球細胞毒性; TLym Cytx Cen Mem GH サブ/TLym Cytx; TLym Cytx Cen Mem GH Sub/TLymC")</f>
        <v>T リンパ球細胞毒性中枢記憶腸ホーミング亜集団/T リンパ球細胞毒性; TLym Cytx Cen Mem GH サブ/TLym Cytx; TLym Cytx Cen Mem GH Sub/TLymC</v>
      </c>
      <c r="H746" s="3" t="str">
        <f ca="1">IFERROR(__xludf.DUMMYFUNCTION("googletranslate(E746,""en"",""ja"")"),"生物学的標本中の総細胞傷害性 T リンパ球に対する腸ホーミング細胞傷害性中央記憶 T リンパ球の部分集団の相対測定値 (比率またはパーセンテージ)。")</f>
        <v>生物学的標本中の総細胞傷害性 T リンパ球に対する腸ホーミング細胞傷害性中央記憶 T リンパ球の部分集団の相対測定値 (比率またはパーセンテージ)。</v>
      </c>
      <c r="I746" s="3" t="str">
        <f ca="1">IFERROR(__xludf.DUMMYFUNCTION("googletranslate(F746,""en"",""ja"")"),"腸ホーミング細胞傷害性セントラルメモリー T リンパ球部分集団と細胞傷害性 T リンパ球の比率の測定")</f>
        <v>腸ホーミング細胞傷害性セントラルメモリー T リンパ球部分集団と細胞傷害性 T リンパ球の比率の測定</v>
      </c>
    </row>
    <row r="747" spans="1:9" ht="120">
      <c r="A747" s="3" t="s">
        <v>103</v>
      </c>
      <c r="B747" s="3" t="s">
        <v>3119</v>
      </c>
      <c r="C747" s="3" t="s">
        <v>3120</v>
      </c>
      <c r="D747" s="3" t="s">
        <v>3121</v>
      </c>
      <c r="E747" s="3" t="s">
        <v>3122</v>
      </c>
      <c r="F747" s="3" t="s">
        <v>3123</v>
      </c>
      <c r="G747" s="3" t="str">
        <f ca="1">IFERROR(__xludf.DUMMYFUNCTION("googletranslate(D747,""en"",""ja"")"),"T リンパ球の細胞傷害性中心記憶 腸ホーミング サブ集団/T リンパ球の細胞傷害性中心記憶。 TLym Cytx Cen メモリ GH サブ/TLym Cytx Cen メモリ; TLym Cytx Cen Mem GH Sub/TLymCCM; TLym Cytx Cen Mem Gut-Homing Sub/TLymCCM")</f>
        <v>T リンパ球の細胞傷害性中心記憶 腸ホーミング サブ集団/T リンパ球の細胞傷害性中心記憶。 TLym Cytx Cen メモリ GH サブ/TLym Cytx Cen メモリ; TLym Cytx Cen Mem GH Sub/TLymCCM; TLym Cytx Cen Mem Gut-Homing Sub/TLymCCM</v>
      </c>
      <c r="H747" s="3" t="str">
        <f ca="1">IFERROR(__xludf.DUMMYFUNCTION("googletranslate(E747,""en"",""ja"")"),"生物学的検体中の総腸管ホーミング細胞傷害性 T リンパ球に対する腸管ホーミング細胞傷害性中央記憶 T リンパ球の部分集団の相対測定値 (比率またはパーセンテージ)。")</f>
        <v>生物学的検体中の総腸管ホーミング細胞傷害性 T リンパ球に対する腸管ホーミング細胞傷害性中央記憶 T リンパ球の部分集団の相対測定値 (比率またはパーセンテージ)。</v>
      </c>
      <c r="I747" s="3" t="str">
        <f ca="1">IFERROR(__xludf.DUMMYFUNCTION("googletranslate(F747,""en"",""ja"")"),"腸ホーミング細胞傷害性中央記憶 T リンパ球部分集団と腸ホーミング細胞傷害性 T リンパ球の比率の測定")</f>
        <v>腸ホーミング細胞傷害性中央記憶 T リンパ球部分集団と腸ホーミング細胞傷害性 T リンパ球の比率の測定</v>
      </c>
    </row>
    <row r="748" spans="1:9" ht="90">
      <c r="A748" s="3" t="s">
        <v>103</v>
      </c>
      <c r="B748" s="3" t="s">
        <v>3124</v>
      </c>
      <c r="C748" s="3" t="s">
        <v>3125</v>
      </c>
      <c r="D748" s="3" t="s">
        <v>3126</v>
      </c>
      <c r="E748" s="3" t="s">
        <v>3127</v>
      </c>
      <c r="F748" s="3" t="s">
        <v>3128</v>
      </c>
      <c r="G748" s="3" t="str">
        <f ca="1">IFERROR(__xludf.DUMMYFUNCTION("googletranslate(D748,""en"",""ja"")"),"T リンパ球細胞傷害性セントラル メモリー皮膚ホーミング/T リンパ球細胞傷害性セントラル メモリー。 TLym Cytx Cen メモリ SH/TLym Cytx Cen メモリ; TLym Cytx Cen Mem SH/TLymCCM")</f>
        <v>T リンパ球細胞傷害性セントラル メモリー皮膚ホーミング/T リンパ球細胞傷害性セントラル メモリー。 TLym Cytx Cen メモリ SH/TLym Cytx Cen メモリ; TLym Cytx Cen Mem SH/TLymCCM</v>
      </c>
      <c r="H748" s="3" t="str">
        <f ca="1">IFERROR(__xludf.DUMMYFUNCTION("googletranslate(E748,""en"",""ja"")"),"生物学的検体中の総細胞傷害性中枢記憶 T リンパ球に対する皮膚ホーミング細胞傷害性中枢記憶 T リンパ球の相対測定値 (比率またはパーセンテージ)。")</f>
        <v>生物学的検体中の総細胞傷害性中枢記憶 T リンパ球に対する皮膚ホーミング細胞傷害性中枢記憶 T リンパ球の相対測定値 (比率またはパーセンテージ)。</v>
      </c>
      <c r="I748" s="3" t="str">
        <f ca="1">IFERROR(__xludf.DUMMYFUNCTION("googletranslate(F748,""en"",""ja"")"),"スキンホーミング細胞傷害性中枢記憶 T リンパ球と細胞傷害性中枢記憶 T リンパ球の比測定")</f>
        <v>スキンホーミング細胞傷害性中枢記憶 T リンパ球と細胞傷害性中枢記憶 T リンパ球の比測定</v>
      </c>
    </row>
    <row r="749" spans="1:9" ht="90">
      <c r="A749" s="3" t="s">
        <v>103</v>
      </c>
      <c r="B749" s="3" t="s">
        <v>3129</v>
      </c>
      <c r="C749" s="3" t="s">
        <v>3130</v>
      </c>
      <c r="D749" s="3" t="s">
        <v>3131</v>
      </c>
      <c r="E749" s="3" t="s">
        <v>3132</v>
      </c>
      <c r="F749" s="3" t="s">
        <v>3133</v>
      </c>
      <c r="G749" s="3" t="str">
        <f ca="1">IFERROR(__xludf.DUMMYFUNCTION("googletranslate(D749,""en"",""ja"")"),"T リンパ球の細胞毒性 セントラル メモリー スキンホーミング サブ集団/T リンパ球 細胞毒性; TLym Cytx Cen Mem SH Sub/TLym Cytx; TLym Cytx Cen Mem SH Sub/TLymC")</f>
        <v>T リンパ球の細胞毒性 セントラル メモリー スキンホーミング サブ集団/T リンパ球 細胞毒性; TLym Cytx Cen Mem SH Sub/TLym Cytx; TLym Cytx Cen Mem SH Sub/TLymC</v>
      </c>
      <c r="H749" s="3" t="str">
        <f ca="1">IFERROR(__xludf.DUMMYFUNCTION("googletranslate(E749,""en"",""ja"")"),"生物学的標本中の総細胞傷害性 T リンパ球に対する皮膚ホーミング細胞傷害性中央記憶 T リンパ球の部分集団の相対測定値 (比率またはパーセンテージ)。")</f>
        <v>生物学的標本中の総細胞傷害性 T リンパ球に対する皮膚ホーミング細胞傷害性中央記憶 T リンパ球の部分集団の相対測定値 (比率またはパーセンテージ)。</v>
      </c>
      <c r="I749" s="3" t="str">
        <f ca="1">IFERROR(__xludf.DUMMYFUNCTION("googletranslate(F749,""en"",""ja"")"),"スキンホーミング細胞傷害性セントラルメモリーTリンパ球部分集団と細胞傷害性Tリンパ球の比率の測定")</f>
        <v>スキンホーミング細胞傷害性セントラルメモリーTリンパ球部分集団と細胞傷害性Tリンパ球の比率の測定</v>
      </c>
    </row>
    <row r="750" spans="1:9" ht="120">
      <c r="A750" s="3" t="s">
        <v>103</v>
      </c>
      <c r="B750" s="3" t="s">
        <v>3134</v>
      </c>
      <c r="C750" s="3" t="s">
        <v>3135</v>
      </c>
      <c r="D750" s="3" t="s">
        <v>3136</v>
      </c>
      <c r="E750" s="3" t="s">
        <v>3137</v>
      </c>
      <c r="F750" s="3" t="s">
        <v>3138</v>
      </c>
      <c r="G750" s="3" t="str">
        <f ca="1">IFERROR(__xludf.DUMMYFUNCTION("googletranslate(D750,""en"",""ja"")"),"T リンパ球の細胞傷害性中心記憶 皮膚ホーミング サブ集団/T リンパ球の細胞傷害性中心記憶。 TLym Cytx Cen メモリ SH サブ/TLym Cytx Cen メモリ; TLym Cytx Cen Mem SH Sub/TLymCCM; TLym Cytx Cen Mem スキンホーミング サブ/TLymCCM")</f>
        <v>T リンパ球の細胞傷害性中心記憶 皮膚ホーミング サブ集団/T リンパ球の細胞傷害性中心記憶。 TLym Cytx Cen メモリ SH サブ/TLym Cytx Cen メモリ; TLym Cytx Cen Mem SH Sub/TLymCCM; TLym Cytx Cen Mem スキンホーミング サブ/TLymCCM</v>
      </c>
      <c r="H750" s="3" t="str">
        <f ca="1">IFERROR(__xludf.DUMMYFUNCTION("googletranslate(E750,""en"",""ja"")"),"生物学的標本中の総細胞傷害性中心記憶 T リンパ球に対する皮膚ホーミング細胞傷害性中心記憶 T リンパ球の部分集団の相対測定値 (比率またはパーセンテージ)。")</f>
        <v>生物学的標本中の総細胞傷害性中心記憶 T リンパ球に対する皮膚ホーミング細胞傷害性中心記憶 T リンパ球の部分集団の相対測定値 (比率またはパーセンテージ)。</v>
      </c>
      <c r="I750" s="3" t="str">
        <f ca="1">IFERROR(__xludf.DUMMYFUNCTION("googletranslate(F750,""en"",""ja"")"),"スキンホーミング細胞傷害性中枢記憶 T リンパ球サブ集団と細胞傷害性中枢記憶 T リンパ球の比率の測定")</f>
        <v>スキンホーミング細胞傷害性中枢記憶 T リンパ球サブ集団と細胞傷害性中枢記憶 T リンパ球の比率の測定</v>
      </c>
    </row>
    <row r="751" spans="1:9" ht="90">
      <c r="A751" s="3" t="s">
        <v>103</v>
      </c>
      <c r="B751" s="3" t="s">
        <v>3139</v>
      </c>
      <c r="C751" s="3" t="s">
        <v>3140</v>
      </c>
      <c r="D751" s="3" t="s">
        <v>3141</v>
      </c>
      <c r="E751" s="3" t="s">
        <v>3142</v>
      </c>
      <c r="F751" s="3" t="s">
        <v>3143</v>
      </c>
      <c r="G751" s="3" t="str">
        <f ca="1">IFERROR(__xludf.DUMMYFUNCTION("googletranslate(D751,""en"",""ja"")"),"T リンパ球の細胞傷害性エフェクターの記憶 腸ホーミング/T リンパ球の細胞傷害性エフェクターの記憶。 TLym Cytx Eff Mem GH/TLym Cytx Eff Mem; TLym Cytx Eff Mem GH/TLymCEM")</f>
        <v>T リンパ球の細胞傷害性エフェクターの記憶 腸ホーミング/T リンパ球の細胞傷害性エフェクターの記憶。 TLym Cytx Eff Mem GH/TLym Cytx Eff Mem; TLym Cytx Eff Mem GH/TLymCEM</v>
      </c>
      <c r="H751" s="3" t="str">
        <f ca="1">IFERROR(__xludf.DUMMYFUNCTION("googletranslate(E751,""en"",""ja"")"),"生物学的検体中の総細胞傷害性エフェクターメモリー T リンパ球に対する腸ホーミング細胞傷害性エフェクターメモリー T リンパ球の相対測定値 (比率またはパーセンテージ)。")</f>
        <v>生物学的検体中の総細胞傷害性エフェクターメモリー T リンパ球に対する腸ホーミング細胞傷害性エフェクターメモリー T リンパ球の相対測定値 (比率またはパーセンテージ)。</v>
      </c>
      <c r="I751" s="3" t="str">
        <f ca="1">IFERROR(__xludf.DUMMYFUNCTION("googletranslate(F751,""en"",""ja"")"),"腸ホーミング細胞傷害性エフェクターメモリー T リンパ球対細胞傷害性 T リンパ球対細胞傷害性エフェクターメモリー T リンパ球比の測定")</f>
        <v>腸ホーミング細胞傷害性エフェクターメモリー T リンパ球対細胞傷害性 T リンパ球対細胞傷害性エフェクターメモリー T リンパ球比の測定</v>
      </c>
    </row>
    <row r="752" spans="1:9" ht="90">
      <c r="A752" s="3" t="s">
        <v>103</v>
      </c>
      <c r="B752" s="3" t="s">
        <v>3144</v>
      </c>
      <c r="C752" s="3" t="s">
        <v>3145</v>
      </c>
      <c r="D752" s="3" t="s">
        <v>3146</v>
      </c>
      <c r="E752" s="3" t="s">
        <v>3147</v>
      </c>
      <c r="F752" s="3" t="s">
        <v>3148</v>
      </c>
      <c r="G752" s="3" t="str">
        <f ca="1">IFERROR(__xludf.DUMMYFUNCTION("googletranslate(D752,""en"",""ja"")"),"T リンパ球細胞傷害性エフェクター記憶腸ホーミング亜集団/T リンパ球細胞傷害性; TLym Cytx Eff Mem GH サブ/TLym Cytx; TLym Cytx Eff Mem GH Sub/TLymC")</f>
        <v>T リンパ球細胞傷害性エフェクター記憶腸ホーミング亜集団/T リンパ球細胞傷害性; TLym Cytx Eff Mem GH サブ/TLym Cytx; TLym Cytx Eff Mem GH Sub/TLymC</v>
      </c>
      <c r="H752" s="3" t="str">
        <f ca="1">IFERROR(__xludf.DUMMYFUNCTION("googletranslate(E752,""en"",""ja"")"),"生物学的標本中の総細胞傷害性 T リンパ球に対する腸ホーミング細胞傷害性エフェクター記憶 T リンパ球の部分集団の相対測定値 (比率またはパーセンテージ)。")</f>
        <v>生物学的標本中の総細胞傷害性 T リンパ球に対する腸ホーミング細胞傷害性エフェクター記憶 T リンパ球の部分集団の相対測定値 (比率またはパーセンテージ)。</v>
      </c>
      <c r="I752" s="3" t="str">
        <f ca="1">IFERROR(__xludf.DUMMYFUNCTION("googletranslate(F752,""en"",""ja"")"),"腸ホーミング細胞傷害性エフェクター記憶 T リンパ球部分集団と細胞傷害性 T リンパ球の比率の測定")</f>
        <v>腸ホーミング細胞傷害性エフェクター記憶 T リンパ球部分集団と細胞傷害性 T リンパ球の比率の測定</v>
      </c>
    </row>
    <row r="753" spans="1:9" ht="135">
      <c r="A753" s="3" t="s">
        <v>103</v>
      </c>
      <c r="B753" s="3" t="s">
        <v>3149</v>
      </c>
      <c r="C753" s="3" t="s">
        <v>3150</v>
      </c>
      <c r="D753" s="3" t="s">
        <v>3151</v>
      </c>
      <c r="E753" s="3" t="s">
        <v>3152</v>
      </c>
      <c r="F753" s="3" t="s">
        <v>3153</v>
      </c>
      <c r="G753" s="3" t="str">
        <f ca="1">IFERROR(__xludf.DUMMYFUNCTION("googletranslate(D753,""en"",""ja"")"),"T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f>
        <v>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v>
      </c>
      <c r="H753" s="3" t="str">
        <f ca="1">IFERROR(__xludf.DUMMYFUNCTION("googletranslate(E753,""en"",""ja"")"),"生物学的検体中の総細胞傷害性エフェクター T リンパ球に対する腸ホーミング細胞傷害性エフェクター記憶 T リンパ球の部分集団の相対測定値 (比率またはパーセンテージ)。")</f>
        <v>生物学的検体中の総細胞傷害性エフェクター T リンパ球に対する腸ホーミング細胞傷害性エフェクター記憶 T リンパ球の部分集団の相対測定値 (比率またはパーセンテージ)。</v>
      </c>
      <c r="I753" s="3" t="str">
        <f ca="1">IFERROR(__xludf.DUMMYFUNCTION("googletranslate(F753,""en"",""ja"")"),"腸へのホーミング細胞傷害性エフェクターの記憶 T リンパ球部分集団と細胞傷害性エフェクター T リンパ球の比率の測定")</f>
        <v>腸へのホーミング細胞傷害性エフェクターの記憶 T リンパ球部分集団と細胞傷害性エフェクター T リンパ球の比率の測定</v>
      </c>
    </row>
    <row r="754" spans="1:9" ht="90">
      <c r="A754" s="3" t="s">
        <v>103</v>
      </c>
      <c r="B754" s="3" t="s">
        <v>3154</v>
      </c>
      <c r="C754" s="3" t="s">
        <v>3155</v>
      </c>
      <c r="D754" s="3" t="s">
        <v>3156</v>
      </c>
      <c r="E754" s="3" t="s">
        <v>3157</v>
      </c>
      <c r="F754" s="3" t="s">
        <v>3158</v>
      </c>
      <c r="G754" s="3" t="str">
        <f ca="1">IFERROR(__xludf.DUMMYFUNCTION("googletranslate(D754,""en"",""ja"")"),"T リンパ球の細胞傷害性エフェクターの記憶 スキンホーミング/T リンパ球の細胞傷害性エフェクターの記憶。 TLym Cytx Eff Mem SH/TLym Cytx Eff Mem; TLym Cytx Eff Mem SH/TLymCEM")</f>
        <v>T リンパ球の細胞傷害性エフェクターの記憶 スキンホーミング/T リンパ球の細胞傷害性エフェクターの記憶。 TLym Cytx Eff Mem SH/TLym Cytx Eff Mem; TLym Cytx Eff Mem SH/TLymCEM</v>
      </c>
      <c r="H754" s="3" t="str">
        <f ca="1">IFERROR(__xludf.DUMMYFUNCTION("googletranslate(E754,""en"",""ja"")"),"生物学的検体中の総細胞傷害性エフェクターメモリー T リンパ球に対する皮膚ホーミング細胞傷害性エフェクターメモリー T リンパ球の相対測定値 (比率またはパーセンテージ)。")</f>
        <v>生物学的検体中の総細胞傷害性エフェクターメモリー T リンパ球に対する皮膚ホーミング細胞傷害性エフェクターメモリー T リンパ球の相対測定値 (比率またはパーセンテージ)。</v>
      </c>
      <c r="I754" s="3" t="str">
        <f ca="1">IFERROR(__xludf.DUMMYFUNCTION("googletranslate(F754,""en"",""ja"")"),"スキンホーミング細胞傷害性エフェクターメモリー T リンパ球と細胞傷害性エフェクターメモリー T リンパ球の比率の測定")</f>
        <v>スキンホーミング細胞傷害性エフェクターメモリー T リンパ球と細胞傷害性エフェクターメモリー T リンパ球の比率の測定</v>
      </c>
    </row>
    <row r="755" spans="1:9" ht="90">
      <c r="A755" s="3" t="s">
        <v>103</v>
      </c>
      <c r="B755" s="3" t="s">
        <v>3159</v>
      </c>
      <c r="C755" s="3" t="s">
        <v>3160</v>
      </c>
      <c r="D755" s="3" t="s">
        <v>3161</v>
      </c>
      <c r="E755" s="3" t="s">
        <v>3162</v>
      </c>
      <c r="F755" s="3" t="s">
        <v>3163</v>
      </c>
      <c r="G755" s="3" t="str">
        <f ca="1">IFERROR(__xludf.DUMMYFUNCTION("googletranslate(D755,""en"",""ja"")"),"T リンパ球細胞毒性エフェクターメモリースキンホーミングサブ集団/T リンパ球細胞毒性; TLym Cytx Eff Mem SH Sub/TLym Cytx; TLym Cytx Eff Mem SH Sub/TLymC")</f>
        <v>T リンパ球細胞毒性エフェクターメモリースキンホーミングサブ集団/T リンパ球細胞毒性; TLym Cytx Eff Mem SH Sub/TLym Cytx; TLym Cytx Eff Mem SH Sub/TLymC</v>
      </c>
      <c r="H755" s="3" t="str">
        <f ca="1">IFERROR(__xludf.DUMMYFUNCTION("googletranslate(E755,""en"",""ja"")"),"生物学的標本中の総細胞傷害性 T リンパ球に対する皮膚ホーミング細胞傷害性エフェクター記憶 T リンパ球の部分集団の相対測定値 (比率またはパーセンテージ)。")</f>
        <v>生物学的標本中の総細胞傷害性 T リンパ球に対する皮膚ホーミング細胞傷害性エフェクター記憶 T リンパ球の部分集団の相対測定値 (比率またはパーセンテージ)。</v>
      </c>
      <c r="I755" s="3" t="str">
        <f ca="1">IFERROR(__xludf.DUMMYFUNCTION("googletranslate(F755,""en"",""ja"")"),"皮膚ホーミング細胞傷害性エフェクター記憶 T リンパ球部分集団と細胞傷害性 T リンパ球の比率の測定")</f>
        <v>皮膚ホーミング細胞傷害性エフェクター記憶 T リンパ球部分集団と細胞傷害性 T リンパ球の比率の測定</v>
      </c>
    </row>
    <row r="756" spans="1:9" ht="135">
      <c r="A756" s="3" t="s">
        <v>103</v>
      </c>
      <c r="B756" s="3" t="s">
        <v>3164</v>
      </c>
      <c r="C756" s="3" t="s">
        <v>3165</v>
      </c>
      <c r="D756" s="3" t="s">
        <v>3166</v>
      </c>
      <c r="E756" s="3" t="s">
        <v>3167</v>
      </c>
      <c r="F756" s="3" t="s">
        <v>3168</v>
      </c>
      <c r="G756" s="3" t="str">
        <f ca="1">IFERROR(__xludf.DUMMYFUNCTION("googletranslate(D756,""en"",""ja"")"),"T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f>
        <v>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v>
      </c>
      <c r="H756" s="3" t="str">
        <f ca="1">IFERROR(__xludf.DUMMYFUNCTION("googletranslate(E756,""en"",""ja"")"),"生物学的検体中の総細胞傷害性エフェクターメモリー T リンパ球に対する皮膚ホーミング細胞傷害性エフェクターメモリー T リンパ球の部分集団の相対測定値 (比率またはパーセンテージ)。")</f>
        <v>生物学的検体中の総細胞傷害性エフェクターメモリー T リンパ球に対する皮膚ホーミング細胞傷害性エフェクターメモリー T リンパ球の部分集団の相対測定値 (比率またはパーセンテージ)。</v>
      </c>
      <c r="I756" s="3" t="str">
        <f ca="1">IFERROR(__xludf.DUMMYFUNCTION("googletranslate(F756,""en"",""ja"")"),"スキンホーミング細胞傷害性エフェクターメモリー T リンパ球サブ集団と細胞傷害性エフェクターメモリー T リンパ球の比率の測定")</f>
        <v>スキンホーミング細胞傷害性エフェクターメモリー T リンパ球サブ集団と細胞傷害性エフェクターメモリー T リンパ球の比率の測定</v>
      </c>
    </row>
    <row r="757" spans="1:9" ht="90">
      <c r="A757" s="3" t="s">
        <v>103</v>
      </c>
      <c r="B757" s="3" t="s">
        <v>3169</v>
      </c>
      <c r="C757" s="3" t="s">
        <v>3170</v>
      </c>
      <c r="D757" s="3" t="s">
        <v>3171</v>
      </c>
      <c r="E757" s="3" t="s">
        <v>3172</v>
      </c>
      <c r="F757" s="3" t="s">
        <v>3173</v>
      </c>
      <c r="G757" s="3" t="str">
        <f ca="1">IFERROR(__xludf.DUMMYFUNCTION("googletranslate(D757,""en"",""ja"")"),"T リンパ球の細胞傷害性終末記憶 腸ホーミング/T リンパ球の細胞傷害性終末記憶。 TLym Cytx 用語メモリ GH/TLym Cytx 用語メモリ; TLym Cytx 用語メモリ GH/TLymCTM")</f>
        <v>T リンパ球の細胞傷害性終末記憶 腸ホーミング/T リンパ球の細胞傷害性終末記憶。 TLym Cytx 用語メモリ GH/TLym Cytx 用語メモリ; TLym Cytx 用語メモリ GH/TLymCTM</v>
      </c>
      <c r="H757" s="3" t="str">
        <f ca="1">IFERROR(__xludf.DUMMYFUNCTION("googletranslate(E757,""en"",""ja"")"),"生物学的検体中の総細胞傷害性末端メモリー T リンパ球に対する腸ホーミング細胞傷害性末端メモリー T リンパ球の相対測定値 (比率またはパーセンテージ)。")</f>
        <v>生物学的検体中の総細胞傷害性末端メモリー T リンパ球に対する腸ホーミング細胞傷害性末端メモリー T リンパ球の相対測定値 (比率またはパーセンテージ)。</v>
      </c>
      <c r="I757" s="3" t="str">
        <f ca="1">IFERROR(__xludf.DUMMYFUNCTION("googletranslate(F757,""en"",""ja"")"),"腸ホーミング細胞傷害性末端記憶 T リンパ球と細胞傷害性末端記憶 T リンパ球の比測定")</f>
        <v>腸ホーミング細胞傷害性末端記憶 T リンパ球と細胞傷害性末端記憶 T リンパ球の比測定</v>
      </c>
    </row>
    <row r="758" spans="1:9" ht="90">
      <c r="A758" s="3" t="s">
        <v>103</v>
      </c>
      <c r="B758" s="3" t="s">
        <v>3174</v>
      </c>
      <c r="C758" s="3" t="s">
        <v>3175</v>
      </c>
      <c r="D758" s="3" t="s">
        <v>3176</v>
      </c>
      <c r="E758" s="3" t="s">
        <v>3177</v>
      </c>
      <c r="F758" s="3" t="s">
        <v>3178</v>
      </c>
      <c r="G758" s="3" t="str">
        <f ca="1">IFERROR(__xludf.DUMMYFUNCTION("googletranslate(D758,""en"",""ja"")"),"T リンパ球細胞毒性末端記憶腸ホーミング亜集団/T リンパ球細胞毒性; TLym Cytx 用語 Mem GH サブ/TLym Cytx; TLym Cytx 用語 Mem GH Sub/TLymC")</f>
        <v>T リンパ球細胞毒性末端記憶腸ホーミング亜集団/T リンパ球細胞毒性; TLym Cytx 用語 Mem GH サブ/TLym Cytx; TLym Cytx 用語 Mem GH Sub/TLymC</v>
      </c>
      <c r="H758" s="3" t="str">
        <f ca="1">IFERROR(__xludf.DUMMYFUNCTION("googletranslate(E758,""en"",""ja"")"),"生物学的標本中の総細胞傷害性 T リンパ球に対する腸ホーミング細胞傷害性終末記憶 T リンパ球の部分集団の相対測定値 (比率またはパーセンテージ)。")</f>
        <v>生物学的標本中の総細胞傷害性 T リンパ球に対する腸ホーミング細胞傷害性終末記憶 T リンパ球の部分集団の相対測定値 (比率またはパーセンテージ)。</v>
      </c>
      <c r="I758" s="3" t="str">
        <f ca="1">IFERROR(__xludf.DUMMYFUNCTION("googletranslate(F758,""en"",""ja"")"),"腸ホーミング細胞傷害性終末記憶 T リンパ球部分集団と細胞傷害性 T リンパ球の比率の測定")</f>
        <v>腸ホーミング細胞傷害性終末記憶 T リンパ球部分集団と細胞傷害性 T リンパ球の比率の測定</v>
      </c>
    </row>
    <row r="759" spans="1:9" ht="120">
      <c r="A759" s="3" t="s">
        <v>103</v>
      </c>
      <c r="B759" s="3" t="s">
        <v>3179</v>
      </c>
      <c r="C759" s="3" t="s">
        <v>3180</v>
      </c>
      <c r="D759" s="3" t="s">
        <v>3181</v>
      </c>
      <c r="E759" s="3" t="s">
        <v>3182</v>
      </c>
      <c r="F759" s="3" t="s">
        <v>3183</v>
      </c>
      <c r="G759" s="3" t="str">
        <f ca="1">IFERROR(__xludf.DUMMYFUNCTION("googletranslate(D759,""en"",""ja"")"),"T リンパ球の細胞傷害性終末記憶 腸ホーミング サブ集団/T リンパ球の細胞傷害性終末記憶。 TLym Cytx 用語メモリ GH サブ/TLym Cytx 用語メモリ; TLym Cytx 用語 Mem GH Sub/TLymCTM; TLym Cytx 用語 Mem Gut-Homing Sub/TLymCTM")</f>
        <v>T リンパ球の細胞傷害性終末記憶 腸ホーミング サブ集団/T リンパ球の細胞傷害性終末記憶。 TLym Cytx 用語メモリ GH サブ/TLym Cytx 用語メモリ; TLym Cytx 用語 Mem GH Sub/TLymCTM; TLym Cytx 用語 Mem Gut-Homing Sub/TLymCTM</v>
      </c>
      <c r="H759" s="3" t="str">
        <f ca="1">IFERROR(__xludf.DUMMYFUNCTION("googletranslate(E759,""en"",""ja"")"),"生物学的検体中の総細胞傷害性終末記憶 T リンパ球に対する腸ホーミング細胞傷害性終末記憶 T リンパ球の部分集団の相対測定値 (比率またはパーセンテージ)。")</f>
        <v>生物学的検体中の総細胞傷害性終末記憶 T リンパ球に対する腸ホーミング細胞傷害性終末記憶 T リンパ球の部分集団の相対測定値 (比率またはパーセンテージ)。</v>
      </c>
      <c r="I759" s="3" t="str">
        <f ca="1">IFERROR(__xludf.DUMMYFUNCTION("googletranslate(F759,""en"",""ja"")"),"腸ホーミング細胞傷害性終末記憶 T リンパ球サブ集団対細胞傷害性終末記憶 T リンパ球比の測定")</f>
        <v>腸ホーミング細胞傷害性終末記憶 T リンパ球サブ集団対細胞傷害性終末記憶 T リンパ球比の測定</v>
      </c>
    </row>
    <row r="760" spans="1:9" ht="90">
      <c r="A760" s="3" t="s">
        <v>103</v>
      </c>
      <c r="B760" s="3" t="s">
        <v>3184</v>
      </c>
      <c r="C760" s="3" t="s">
        <v>3185</v>
      </c>
      <c r="D760" s="3" t="s">
        <v>3186</v>
      </c>
      <c r="E760" s="3" t="s">
        <v>3187</v>
      </c>
      <c r="F760" s="3" t="s">
        <v>3188</v>
      </c>
      <c r="G760" s="3" t="str">
        <f ca="1">IFERROR(__xludf.DUMMYFUNCTION("googletranslate(D760,""en"",""ja"")"),"T リンパ球の細胞傷害性末端記憶 皮膚ホーミング/T リンパ球の細胞傷害性末端記憶。 TLym Cytx 用語メモリ SH/TLym Cytx 用語メモリ; TLym Cytx 用語 Mem SH/TLymCTM")</f>
        <v>T リンパ球の細胞傷害性末端記憶 皮膚ホーミング/T リンパ球の細胞傷害性末端記憶。 TLym Cytx 用語メモリ SH/TLym Cytx 用語メモリ; TLym Cytx 用語 Mem SH/TLymCTM</v>
      </c>
      <c r="H760" s="3" t="str">
        <f ca="1">IFERROR(__xludf.DUMMYFUNCTION("googletranslate(E760,""en"",""ja"")"),"生物学的検体中の総細胞傷害性終末記憶 T リンパ球に対する皮膚ホーミング細胞傷害性終末記憶 T リンパ球の相対測定値 (比率またはパーセンテージ)。")</f>
        <v>生物学的検体中の総細胞傷害性終末記憶 T リンパ球に対する皮膚ホーミング細胞傷害性終末記憶 T リンパ球の相対測定値 (比率またはパーセンテージ)。</v>
      </c>
      <c r="I760" s="3" t="str">
        <f ca="1">IFERROR(__xludf.DUMMYFUNCTION("googletranslate(F760,""en"",""ja"")"),"スキンホーミング細胞傷害性末端記憶Tリンパ球対細胞傷害性末端記憶Tリンパ球比測定")</f>
        <v>スキンホーミング細胞傷害性末端記憶Tリンパ球対細胞傷害性末端記憶Tリンパ球比測定</v>
      </c>
    </row>
    <row r="761" spans="1:9" ht="90">
      <c r="A761" s="3" t="s">
        <v>103</v>
      </c>
      <c r="B761" s="3" t="s">
        <v>3189</v>
      </c>
      <c r="C761" s="3" t="s">
        <v>3190</v>
      </c>
      <c r="D761" s="3" t="s">
        <v>3191</v>
      </c>
      <c r="E761" s="3" t="s">
        <v>3192</v>
      </c>
      <c r="F761" s="3" t="s">
        <v>3193</v>
      </c>
      <c r="G761" s="3" t="str">
        <f ca="1">IFERROR(__xludf.DUMMYFUNCTION("googletranslate(D761,""en"",""ja"")"),"T リンパ球の細胞毒性 ターミナルメモリー スキンホーミングサブ集団/T リンパ球 細胞毒性; TLym Cytx 用語 Mem SH サブ/TLym Cytx; TLym Cytx Term Mem SH Sub/TLymC")</f>
        <v>T リンパ球の細胞毒性 ターミナルメモリー スキンホーミングサブ集団/T リンパ球 細胞毒性; TLym Cytx 用語 Mem SH サブ/TLym Cytx; TLym Cytx Term Mem SH Sub/TLymC</v>
      </c>
      <c r="H761" s="3" t="str">
        <f ca="1">IFERROR(__xludf.DUMMYFUNCTION("googletranslate(E761,""en"",""ja"")"),"生物学的標本中の総細胞傷害性 T リンパ球に対する皮膚ホーミング細胞傷害性終末記憶 T リンパ球の部分集団の相対測定値 (比率またはパーセンテージ)。")</f>
        <v>生物学的標本中の総細胞傷害性 T リンパ球に対する皮膚ホーミング細胞傷害性終末記憶 T リンパ球の部分集団の相対測定値 (比率またはパーセンテージ)。</v>
      </c>
      <c r="I761" s="3" t="str">
        <f ca="1">IFERROR(__xludf.DUMMYFUNCTION("googletranslate(F761,""en"",""ja"")"),"スキンホーミング細胞傷害性終末記憶 T リンパ球部分集団と細胞傷害性 T リンパ球の比率の測定")</f>
        <v>スキンホーミング細胞傷害性終末記憶 T リンパ球部分集団と細胞傷害性 T リンパ球の比率の測定</v>
      </c>
    </row>
    <row r="762" spans="1:9" ht="120">
      <c r="A762" s="3" t="s">
        <v>103</v>
      </c>
      <c r="B762" s="3" t="s">
        <v>3194</v>
      </c>
      <c r="C762" s="3" t="s">
        <v>3195</v>
      </c>
      <c r="D762" s="3" t="s">
        <v>3196</v>
      </c>
      <c r="E762" s="3" t="s">
        <v>3197</v>
      </c>
      <c r="F762" s="3" t="s">
        <v>3198</v>
      </c>
      <c r="G762" s="3" t="str">
        <f ca="1">IFERROR(__xludf.DUMMYFUNCTION("googletranslate(D762,""en"",""ja"")"),"T リンパ球の細胞傷害性終末記憶 皮膚ホーミング サブ集団/T リンパ球の細胞傷害性終末記憶。 TLym Cytx 用語メモリ SH サブ/TLym Cytx 用語メモリ。 TLym Cytx 用語 Mem SH Sub/TLymCTM; TLym Cytx 用語 Mem スキンホーミング サブ/TLymCTM")</f>
        <v>T リンパ球の細胞傷害性終末記憶 皮膚ホーミング サブ集団/T リンパ球の細胞傷害性終末記憶。 TLym Cytx 用語メモリ SH サブ/TLym Cytx 用語メモリ。 TLym Cytx 用語 Mem SH Sub/TLymCTM; TLym Cytx 用語 Mem スキンホーミング サブ/TLymCTM</v>
      </c>
      <c r="H762" s="3" t="str">
        <f ca="1">IFERROR(__xludf.DUMMYFUNCTION("googletranslate(E762,""en"",""ja"")"),"生物学的標本中の総細胞傷害性終末記憶 T リンパ球に対する皮膚ホーミング細胞傷害性終末記憶 T リンパ球の部分集団の相対測定値 (比率またはパーセンテージ)。")</f>
        <v>生物学的標本中の総細胞傷害性終末記憶 T リンパ球に対する皮膚ホーミング細胞傷害性終末記憶 T リンパ球の部分集団の相対測定値 (比率またはパーセンテージ)。</v>
      </c>
      <c r="I762" s="3" t="str">
        <f ca="1">IFERROR(__xludf.DUMMYFUNCTION("googletranslate(F762,""en"",""ja"")"),"スキンホーミング細胞傷害性終末記憶 T リンパ球サブ集団と細胞傷害性終末記憶 T リンパ球の比率の測定")</f>
        <v>スキンホーミング細胞傷害性終末記憶 T リンパ球サブ集団と細胞傷害性終末記憶 T リンパ球の比率の測定</v>
      </c>
    </row>
    <row r="763" spans="1:9" ht="75">
      <c r="A763" s="3" t="s">
        <v>103</v>
      </c>
      <c r="B763" s="3" t="s">
        <v>3199</v>
      </c>
      <c r="C763" s="3" t="s">
        <v>3200</v>
      </c>
      <c r="D763" s="3" t="s">
        <v>3201</v>
      </c>
      <c r="E763" s="3" t="s">
        <v>3202</v>
      </c>
      <c r="F763" s="3" t="s">
        <v>3203</v>
      </c>
      <c r="G763" s="3" t="str">
        <f ca="1">IFERROR(__xludf.DUMMYFUNCTION("googletranslate(D763,""en"",""ja"")"),"T リンパ球ヘルパー記憶腸ホーミング亜集団/T リンパ球ヘルパー記憶; TLym ヘルプ メム GH サブ/TLym ヘルプ メム; TLym ヘルプ メム GH サブ/TLymHM")</f>
        <v>T リンパ球ヘルパー記憶腸ホーミング亜集団/T リンパ球ヘルパー記憶; TLym ヘルプ メム GH サブ/TLym ヘルプ メム; TLym ヘルプ メム GH サブ/TLymHM</v>
      </c>
      <c r="H763" s="3" t="str">
        <f ca="1">IFERROR(__xludf.DUMMYFUNCTION("googletranslate(E763,""en"",""ja"")"),"生物学的標本中の総ヘルパー メモリー T リンパ球に対する腸ホーミング ヘルパー メモリー T リンパ球の部分集団の相対測定値 (比率またはパーセンテージ)。")</f>
        <v>生物学的標本中の総ヘルパー メモリー T リンパ球に対する腸ホーミング ヘルパー メモリー T リンパ球の部分集団の相対測定値 (比率またはパーセンテージ)。</v>
      </c>
      <c r="I763" s="3" t="str">
        <f ca="1">IFERROR(__xludf.DUMMYFUNCTION("googletranslate(F763,""en"",""ja"")"),"ガットホーミングヘルパーメモリー T リンパ球部分集団とヘルパーメモリー T リンパ球の比率の測定")</f>
        <v>ガットホーミングヘルパーメモリー T リンパ球部分集団とヘルパーメモリー T リンパ球の比率の測定</v>
      </c>
    </row>
    <row r="764" spans="1:9" ht="90">
      <c r="A764" s="3" t="s">
        <v>103</v>
      </c>
      <c r="B764" s="3" t="s">
        <v>3204</v>
      </c>
      <c r="C764" s="3" t="s">
        <v>3205</v>
      </c>
      <c r="D764" s="3" t="s">
        <v>3206</v>
      </c>
      <c r="E764" s="3" t="s">
        <v>3207</v>
      </c>
      <c r="F764" s="3" t="s">
        <v>3208</v>
      </c>
      <c r="G764" s="3" t="str">
        <f ca="1">IFERROR(__xludf.DUMMYFUNCTION("googletranslate(D764,""en"",""ja"")"),"T リンパ球ヘルパー メモリー スキン ホーミング サブ集団/T リンパ球ヘルパー メモリー; TLym ヘルプ メム SH サブ/TLym ヘルプ メム; TLym ヘルプ メム SH サブ/TLymHM")</f>
        <v>T リンパ球ヘルパー メモリー スキン ホーミング サブ集団/T リンパ球ヘルパー メモリー; TLym ヘルプ メム SH サブ/TLym ヘルプ メム; TLym ヘルプ メム SH サブ/TLymHM</v>
      </c>
      <c r="H764" s="3" t="str">
        <f ca="1">IFERROR(__xludf.DUMMYFUNCTION("googletranslate(E764,""en"",""ja"")"),"生物学的標本中の総ヘルパー メモリー T リンパ球に対する皮膚ホーミング ヘルパー メモリー T リンパ球の部分集団の相対測定値 (比率またはパーセンテージ)。")</f>
        <v>生物学的標本中の総ヘルパー メモリー T リンパ球に対する皮膚ホーミング ヘルパー メモリー T リンパ球の部分集団の相対測定値 (比率またはパーセンテージ)。</v>
      </c>
      <c r="I764" s="3" t="str">
        <f ca="1">IFERROR(__xludf.DUMMYFUNCTION("googletranslate(F764,""en"",""ja"")"),"スキンホーミングヘルパーメモリー T リンパ球部分集団とヘルパーメモリー T リンパ球の比率の測定")</f>
        <v>スキンホーミングヘルパーメモリー T リンパ球部分集団とヘルパーメモリー T リンパ球の比率の測定</v>
      </c>
    </row>
    <row r="765" spans="1:9" ht="90">
      <c r="A765" s="3" t="s">
        <v>103</v>
      </c>
      <c r="B765" s="3" t="s">
        <v>3209</v>
      </c>
      <c r="C765" s="3" t="s">
        <v>3210</v>
      </c>
      <c r="D765" s="3" t="s">
        <v>3211</v>
      </c>
      <c r="E765" s="3" t="s">
        <v>3212</v>
      </c>
      <c r="F765" s="3" t="s">
        <v>3213</v>
      </c>
      <c r="G765" s="3" t="str">
        <f ca="1">IFERROR(__xludf.DUMMYFUNCTION("googletranslate(D765,""en"",""ja"")"),"T リンパ球ヘルパー中央記憶腸ホーミング/T リンパ球ヘルパー中央記憶。 TLym ヘルプ セン メモリ GH/TLym ヘルプ セン メモリ; TLym ヘルプセンター GH/TLymHCM")</f>
        <v>T リンパ球ヘルパー中央記憶腸ホーミング/T リンパ球ヘルパー中央記憶。 TLym ヘルプ セン メモリ GH/TLym ヘルプ セン メモリ; TLym ヘルプセンター GH/TLymHCM</v>
      </c>
      <c r="H765" s="3" t="str">
        <f ca="1">IFERROR(__xludf.DUMMYFUNCTION("googletranslate(E765,""en"",""ja"")"),"生物学的検体中の総ヘルパーセントラルメモリー T リンパ球に対する腸ホーミングヘルパーセントラルメモリー T リンパ球の相対測定値 (比率またはパーセンテージ)。")</f>
        <v>生物学的検体中の総ヘルパーセントラルメモリー T リンパ球に対する腸ホーミングヘルパーセントラルメモリー T リンパ球の相対測定値 (比率またはパーセンテージ)。</v>
      </c>
      <c r="I765" s="3" t="str">
        <f ca="1">IFERROR(__xludf.DUMMYFUNCTION("googletranslate(F765,""en"",""ja"")"),"ガットホーミングヘルパーセントラルメモリーTリンパ球対ヘルパーセントラルメモリーTリンパ球比測定")</f>
        <v>ガットホーミングヘルパーセントラルメモリーTリンパ球対ヘルパーセントラルメモリーTリンパ球比測定</v>
      </c>
    </row>
    <row r="766" spans="1:9" ht="90">
      <c r="A766" s="3" t="s">
        <v>103</v>
      </c>
      <c r="B766" s="3" t="s">
        <v>3214</v>
      </c>
      <c r="C766" s="3" t="s">
        <v>3215</v>
      </c>
      <c r="D766" s="3" t="s">
        <v>3216</v>
      </c>
      <c r="E766" s="3" t="s">
        <v>3217</v>
      </c>
      <c r="F766" s="3" t="s">
        <v>3218</v>
      </c>
      <c r="G766" s="3" t="str">
        <f ca="1">IFERROR(__xludf.DUMMYFUNCTION("googletranslate(D766,""en"",""ja"")"),"T リンパ球ヘルパー 中枢記憶腸ホーミング サブ集団/T リンパ球ヘルパー; TLym ヘルプ Cen Mem GH Sub/TLym ヘルプ; TLym ヘルプ Cen Mem GH Sub/TLymH")</f>
        <v>T リンパ球ヘルパー 中枢記憶腸ホーミング サブ集団/T リンパ球ヘルパー; TLym ヘルプ Cen Mem GH Sub/TLym ヘルプ; TLym ヘルプ Cen Mem GH Sub/TLymH</v>
      </c>
      <c r="H766" s="3" t="str">
        <f ca="1">IFERROR(__xludf.DUMMYFUNCTION("googletranslate(E766,""en"",""ja"")"),"生物学的標本中の総ヘルパー T リンパ球に対する腸ホーミング ヘルパー セントラル メモリー T リンパ球の部分集団の相対測定値 (比率またはパーセンテージ)。")</f>
        <v>生物学的標本中の総ヘルパー T リンパ球に対する腸ホーミング ヘルパー セントラル メモリー T リンパ球の部分集団の相対測定値 (比率またはパーセンテージ)。</v>
      </c>
      <c r="I766" s="3" t="str">
        <f ca="1">IFERROR(__xludf.DUMMYFUNCTION("googletranslate(F766,""en"",""ja"")"),"ガットホーミングヘルパーセントラルメモリー T リンパ球部分集団とヘルパー T リンパ球の比率の測定")</f>
        <v>ガットホーミングヘルパーセントラルメモリー T リンパ球部分集団とヘルパー T リンパ球の比率の測定</v>
      </c>
    </row>
    <row r="767" spans="1:9" ht="120">
      <c r="A767" s="3" t="s">
        <v>103</v>
      </c>
      <c r="B767" s="3" t="s">
        <v>3219</v>
      </c>
      <c r="C767" s="3" t="s">
        <v>3220</v>
      </c>
      <c r="D767" s="3" t="s">
        <v>3221</v>
      </c>
      <c r="E767" s="3" t="s">
        <v>3222</v>
      </c>
      <c r="F767" s="3" t="s">
        <v>3223</v>
      </c>
      <c r="G767" s="3" t="str">
        <f ca="1">IFERROR(__xludf.DUMMYFUNCTION("googletranslate(D767,""en"",""ja"")"),"T リンパ球ヘルパー中央記憶腸ホーミング亜集団/T リンパ球ヘルパー中央記憶。 TLym ヘルプ Cen Mem GH Sub/TLym Help Cen Mem; TLym ヘルプ Cen Mem GH Sub/TLymHCM; TLym ヘルプ Cen Mem Gut-Homing Sub/TLymHCM")</f>
        <v>T リンパ球ヘルパー中央記憶腸ホーミング亜集団/T リンパ球ヘルパー中央記憶。 TLym ヘルプ Cen Mem GH Sub/TLym Help Cen Mem; TLym ヘルプ Cen Mem GH Sub/TLymHCM; TLym ヘルプ Cen Mem Gut-Homing Sub/TLymHCM</v>
      </c>
      <c r="H767" s="3" t="str">
        <f ca="1">IFERROR(__xludf.DUMMYFUNCTION("googletranslate(E767,""en"",""ja"")"),"生物学的標本中の総ヘルパーセントラルメモリー T リンパ球に対する腸ホーミングヘルパーセントラルメモリー T リンパ球の部分集団の相対測定値 (比率またはパーセンテージ)。")</f>
        <v>生物学的標本中の総ヘルパーセントラルメモリー T リンパ球に対する腸ホーミングヘルパーセントラルメモリー T リンパ球の部分集団の相対測定値 (比率またはパーセンテージ)。</v>
      </c>
      <c r="I767" s="3" t="str">
        <f ca="1">IFERROR(__xludf.DUMMYFUNCTION("googletranslate(F767,""en"",""ja"")"),"ガットホーミングヘルパーセントラルメモリーTリンパ球部分集団とヘルパーセントラルメモリーTリンパ球の比率測定")</f>
        <v>ガットホーミングヘルパーセントラルメモリーTリンパ球部分集団とヘルパーセントラルメモリーTリンパ球の比率測定</v>
      </c>
    </row>
    <row r="768" spans="1:9" ht="105">
      <c r="A768" s="3" t="s">
        <v>103</v>
      </c>
      <c r="B768" s="3" t="s">
        <v>3224</v>
      </c>
      <c r="C768" s="3" t="s">
        <v>3225</v>
      </c>
      <c r="D768" s="3" t="s">
        <v>3226</v>
      </c>
      <c r="E768" s="3" t="s">
        <v>3227</v>
      </c>
      <c r="F768" s="3" t="s">
        <v>3228</v>
      </c>
      <c r="G768" s="3" t="str">
        <f ca="1">IFERROR(__xludf.DUMMYFUNCTION("googletranslate(D768,""en"",""ja"")"),"T リンパ球ヘルパー セントラル メモリー スキンホーミング/T リンパ球ヘルパー セントラル メモリー。 TLym ヘルプ Cen Mem SH/TLym Help Cen Mem; TLym ヘルプ Cen Mem SH/TLymHCM")</f>
        <v>T リンパ球ヘルパー セントラル メモリー スキンホーミング/T リンパ球ヘルパー セントラル メモリー。 TLym ヘルプ Cen Mem SH/TLym Help Cen Mem; TLym ヘルプ Cen Mem SH/TLymHCM</v>
      </c>
      <c r="H768" s="3" t="str">
        <f ca="1">IFERROR(__xludf.DUMMYFUNCTION("googletranslate(E768,""en"",""ja"")"),"生物学的検体中の総ヘルパーセントラルメモリー T リンパ球に対する皮膚ホーミングヘルパーセントラルメモリー T リンパ球の相対測定値 (比率またはパーセンテージ)。")</f>
        <v>生物学的検体中の総ヘルパーセントラルメモリー T リンパ球に対する皮膚ホーミングヘルパーセントラルメモリー T リンパ球の相対測定値 (比率またはパーセンテージ)。</v>
      </c>
      <c r="I768" s="3" t="str">
        <f ca="1">IFERROR(__xludf.DUMMYFUNCTION("googletranslate(F768,""en"",""ja"")"),"スキンホーミングヘルパーセントラルメモリーTリンパ球対ヘルパーセントラルメモリーTリンパ球比測定")</f>
        <v>スキンホーミングヘルパーセントラルメモリーTリンパ球対ヘルパーセントラルメモリーTリンパ球比測定</v>
      </c>
    </row>
    <row r="769" spans="1:9" ht="90">
      <c r="A769" s="3" t="s">
        <v>103</v>
      </c>
      <c r="B769" s="3" t="s">
        <v>3229</v>
      </c>
      <c r="C769" s="3" t="s">
        <v>3230</v>
      </c>
      <c r="D769" s="3" t="s">
        <v>3231</v>
      </c>
      <c r="E769" s="3" t="s">
        <v>3232</v>
      </c>
      <c r="F769" s="3" t="s">
        <v>3233</v>
      </c>
      <c r="G769" s="3" t="str">
        <f ca="1">IFERROR(__xludf.DUMMYFUNCTION("googletranslate(D769,""en"",""ja"")"),"T リンパ球ヘルパー セントラル メモリー スキンホーミング サブ集団/T リンパ球ヘルパー; TLym ヘルプ Cen Mem SH Sub/TLym ヘルプ; TLym ヘルプ Cen Mem SH Sub/TLymH")</f>
        <v>T リンパ球ヘルパー セントラル メモリー スキンホーミング サブ集団/T リンパ球ヘルパー; TLym ヘルプ Cen Mem SH Sub/TLym ヘルプ; TLym ヘルプ Cen Mem SH Sub/TLymH</v>
      </c>
      <c r="H769" s="3" t="str">
        <f ca="1">IFERROR(__xludf.DUMMYFUNCTION("googletranslate(E769,""en"",""ja"")"),"生物学的標本中の総ヘルパー T リンパ球に対する皮膚ホーミング ヘルパー セントラル メモリー T リンパ球の部分集団の相対測定値 (比率またはパーセンテージ)。")</f>
        <v>生物学的標本中の総ヘルパー T リンパ球に対する皮膚ホーミング ヘルパー セントラル メモリー T リンパ球の部分集団の相対測定値 (比率またはパーセンテージ)。</v>
      </c>
      <c r="I769" s="3" t="str">
        <f ca="1">IFERROR(__xludf.DUMMYFUNCTION("googletranslate(F769,""en"",""ja"")"),"スキンホーミングヘルパーセントラルメモリーTリンパ球部分集団とヘルパーTリンパ球の比率の測定")</f>
        <v>スキンホーミングヘルパーセントラルメモリーTリンパ球部分集団とヘルパーTリンパ球の比率の測定</v>
      </c>
    </row>
    <row r="770" spans="1:9" ht="135">
      <c r="A770" s="3" t="s">
        <v>103</v>
      </c>
      <c r="B770" s="3" t="s">
        <v>3234</v>
      </c>
      <c r="C770" s="3" t="s">
        <v>3235</v>
      </c>
      <c r="D770" s="3" t="s">
        <v>3236</v>
      </c>
      <c r="E770" s="3" t="s">
        <v>3237</v>
      </c>
      <c r="F770" s="3" t="s">
        <v>3238</v>
      </c>
      <c r="G770" s="3" t="str">
        <f ca="1">IFERROR(__xludf.DUMMYFUNCTION("googletranslate(D770,""en"",""ja"")"),"T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f>
        <v>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v>
      </c>
      <c r="H770" s="3" t="str">
        <f ca="1">IFERROR(__xludf.DUMMYFUNCTION("googletranslate(E770,""en"",""ja"")"),"生物学的標本中の総ヘルパーセントラルメモリー T リンパ球に対する皮膚ホーミングヘルパーセントラルメモリー T リンパ球の部分集団の相対測定値 (比率またはパーセンテージ)。")</f>
        <v>生物学的標本中の総ヘルパーセントラルメモリー T リンパ球に対する皮膚ホーミングヘルパーセントラルメモリー T リンパ球の部分集団の相対測定値 (比率またはパーセンテージ)。</v>
      </c>
      <c r="I770" s="3" t="str">
        <f ca="1">IFERROR(__xludf.DUMMYFUNCTION("googletranslate(F770,""en"",""ja"")"),"スキンホーミングヘルパーセントラルメモリーTリンパ球部分集団とヘルパーセントラルメモリーTリンパ球の比率測定")</f>
        <v>スキンホーミングヘルパーセントラルメモリーTリンパ球部分集団とヘルパーセントラルメモリーTリンパ球の比率測定</v>
      </c>
    </row>
    <row r="771" spans="1:9" ht="105">
      <c r="A771" s="3" t="s">
        <v>103</v>
      </c>
      <c r="B771" s="3" t="s">
        <v>3239</v>
      </c>
      <c r="C771" s="3" t="s">
        <v>3240</v>
      </c>
      <c r="D771" s="3" t="s">
        <v>3241</v>
      </c>
      <c r="E771" s="3" t="s">
        <v>3242</v>
      </c>
      <c r="F771" s="3" t="s">
        <v>3243</v>
      </c>
      <c r="G771" s="3" t="str">
        <f ca="1">IFERROR(__xludf.DUMMYFUNCTION("googletranslate(D771,""en"",""ja"")"),"T リンパ球ヘルパー エフェクター メモリー ガットホーミング/T リンパ球ヘルパー エフェクター メモリー。 TLym ヘルプ Eff Mem GH/TLym Help Eff Mem; TLym ヘルプ Eff Mem GH/TLymHEM")</f>
        <v>T リンパ球ヘルパー エフェクター メモリー ガットホーミング/T リンパ球ヘルパー エフェクター メモリー。 TLym ヘルプ Eff Mem GH/TLym Help Eff Mem; TLym ヘルプ Eff Mem GH/TLymHEM</v>
      </c>
      <c r="H771" s="3" t="str">
        <f ca="1">IFERROR(__xludf.DUMMYFUNCTION("googletranslate(E771,""en"",""ja"")"),"生物学的標本中の総ヘルパー エフェクター メモリー T リンパ球に対する腸ホーミング ヘルパー エフェクター メモリー T リンパ球の相対測定値 (比率またはパーセンテージ)。")</f>
        <v>生物学的標本中の総ヘルパー エフェクター メモリー T リンパ球に対する腸ホーミング ヘルパー エフェクター メモリー T リンパ球の相対測定値 (比率またはパーセンテージ)。</v>
      </c>
      <c r="I771" s="3" t="str">
        <f ca="1">IFERROR(__xludf.DUMMYFUNCTION("googletranslate(F771,""en"",""ja"")"),"ガットホーミングヘルパーエフェクターメモリーTリンパ球とヘルパーエフェクターメモリーTリンパ球の比率の測定")</f>
        <v>ガットホーミングヘルパーエフェクターメモリーTリンパ球とヘルパーエフェクターメモリーTリンパ球の比率の測定</v>
      </c>
    </row>
    <row r="772" spans="1:9" ht="90">
      <c r="A772" s="3" t="s">
        <v>103</v>
      </c>
      <c r="B772" s="3" t="s">
        <v>3244</v>
      </c>
      <c r="C772" s="3" t="s">
        <v>3245</v>
      </c>
      <c r="D772" s="3" t="s">
        <v>3246</v>
      </c>
      <c r="E772" s="3" t="s">
        <v>3247</v>
      </c>
      <c r="F772" s="3" t="s">
        <v>3248</v>
      </c>
      <c r="G772" s="3" t="str">
        <f ca="1">IFERROR(__xludf.DUMMYFUNCTION("googletranslate(D772,""en"",""ja"")"),"T リンパ球ヘルパー エフェクター 記憶腸ホーミング サブ集団/T リンパ球ヘルパー; TLym ヘルプ Eff Mem GH Sub/TLym ヘルプ; TLym ヘルプ Eff Mem GH Sub/TLymH")</f>
        <v>T リンパ球ヘルパー エフェクター 記憶腸ホーミング サブ集団/T リンパ球ヘルパー; TLym ヘルプ Eff Mem GH Sub/TLym ヘルプ; TLym ヘルプ Eff Mem GH Sub/TLymH</v>
      </c>
      <c r="H772" s="3" t="str">
        <f ca="1">IFERROR(__xludf.DUMMYFUNCTION("googletranslate(E772,""en"",""ja"")"),"生物学的標本中の総ヘルパー T リンパ球に対する腸ホーミング ヘルパー エフェクター メモリー T リンパ球の部分集団の相対測定値 (比率またはパーセンテージ)。")</f>
        <v>生物学的標本中の総ヘルパー T リンパ球に対する腸ホーミング ヘルパー エフェクター メモリー T リンパ球の部分集団の相対測定値 (比率またはパーセンテージ)。</v>
      </c>
      <c r="I772" s="3" t="str">
        <f ca="1">IFERROR(__xludf.DUMMYFUNCTION("googletranslate(F772,""en"",""ja"")"),"ガットホーミングヘルパーエフェクターメモリー T リンパ球部分集団とヘルパー T リンパ球の比率の測定")</f>
        <v>ガットホーミングヘルパーエフェクターメモリー T リンパ球部分集団とヘルパー T リンパ球の比率の測定</v>
      </c>
    </row>
    <row r="773" spans="1:9" ht="135">
      <c r="A773" s="3" t="s">
        <v>103</v>
      </c>
      <c r="B773" s="3" t="s">
        <v>3249</v>
      </c>
      <c r="C773" s="3" t="s">
        <v>3250</v>
      </c>
      <c r="D773" s="3" t="s">
        <v>3251</v>
      </c>
      <c r="E773" s="3" t="s">
        <v>3252</v>
      </c>
      <c r="F773" s="3" t="s">
        <v>3253</v>
      </c>
      <c r="G773" s="3" t="str">
        <f ca="1">IFERROR(__xludf.DUMMYFUNCTION("googletranslate(D773,""en"",""ja"")"),"T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f>
        <v>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v>
      </c>
      <c r="H773" s="3" t="str">
        <f ca="1">IFERROR(__xludf.DUMMYFUNCTION("googletranslate(E773,""en"",""ja"")"),"生物学的標本中の総ヘルパー エフェクター メモリー T リンパ球に対する腸ホーミング ヘルパー エフェクター メモリー T リンパ球の部分集団の相対測定値 (比率またはパーセンテージ)。")</f>
        <v>生物学的標本中の総ヘルパー エフェクター メモリー T リンパ球に対する腸ホーミング ヘルパー エフェクター メモリー T リンパ球の部分集団の相対測定値 (比率またはパーセンテージ)。</v>
      </c>
      <c r="I773" s="3" t="str">
        <f ca="1">IFERROR(__xludf.DUMMYFUNCTION("googletranslate(F773,""en"",""ja"")"),"ガットホーミングヘルパーエフェクターメモリー T リンパ球部分集団とヘルパーエフェクターメモリー T リンパ球の比率の測定")</f>
        <v>ガットホーミングヘルパーエフェクターメモリー T リンパ球部分集団とヘルパーエフェクターメモリー T リンパ球の比率の測定</v>
      </c>
    </row>
    <row r="774" spans="1:9" ht="105">
      <c r="A774" s="3" t="s">
        <v>103</v>
      </c>
      <c r="B774" s="3" t="s">
        <v>3254</v>
      </c>
      <c r="C774" s="3" t="s">
        <v>3255</v>
      </c>
      <c r="D774" s="3" t="s">
        <v>3256</v>
      </c>
      <c r="E774" s="3" t="s">
        <v>3257</v>
      </c>
      <c r="F774" s="3" t="s">
        <v>3258</v>
      </c>
      <c r="G774" s="3" t="str">
        <f ca="1">IFERROR(__xludf.DUMMYFUNCTION("googletranslate(D774,""en"",""ja"")"),"T リンパ球ヘルパー エフェクター メモリー スキン ホーミング/T リンパ球ヘルパー エフェクター メモリー; TLym ヘルプ Eff Mem SH/TLym Help Eff Mem; TLym ヘルプ Eff Mem SH/TLymHEM")</f>
        <v>T リンパ球ヘルパー エフェクター メモリー スキン ホーミング/T リンパ球ヘルパー エフェクター メモリー; TLym ヘルプ Eff Mem SH/TLym Help Eff Mem; TLym ヘルプ Eff Mem SH/TLymHEM</v>
      </c>
      <c r="H774" s="3" t="str">
        <f ca="1">IFERROR(__xludf.DUMMYFUNCTION("googletranslate(E774,""en"",""ja"")"),"生物学的標本中の総ヘルパー エフェクター メモリー T リンパ球に対する皮膚ホーミング ヘルパー エフェクター メモリー T リンパ球の相対測定値 (比率またはパーセンテージ)。")</f>
        <v>生物学的標本中の総ヘルパー エフェクター メモリー T リンパ球に対する皮膚ホーミング ヘルパー エフェクター メモリー T リンパ球の相対測定値 (比率またはパーセンテージ)。</v>
      </c>
      <c r="I774" s="3" t="str">
        <f ca="1">IFERROR(__xludf.DUMMYFUNCTION("googletranslate(F774,""en"",""ja"")"),"スキンホーミングヘルパーエフェクターメモリーTリンパ球とヘルパーエフェクターメモリーTリンパ球の比率の測定")</f>
        <v>スキンホーミングヘルパーエフェクターメモリーTリンパ球とヘルパーエフェクターメモリーTリンパ球の比率の測定</v>
      </c>
    </row>
    <row r="775" spans="1:9" ht="90">
      <c r="A775" s="3" t="s">
        <v>103</v>
      </c>
      <c r="B775" s="3" t="s">
        <v>3259</v>
      </c>
      <c r="C775" s="3" t="s">
        <v>3260</v>
      </c>
      <c r="D775" s="3" t="s">
        <v>3261</v>
      </c>
      <c r="E775" s="3" t="s">
        <v>3262</v>
      </c>
      <c r="F775" s="3" t="s">
        <v>3263</v>
      </c>
      <c r="G775" s="3" t="str">
        <f ca="1">IFERROR(__xludf.DUMMYFUNCTION("googletranslate(D775,""en"",""ja"")"),"T リンパ球ヘルパー エフェクター メモリー スキンホーミング サブ集団/T リンパ球ヘルパー; TLym ヘルプ Eff Mem SH Sub/TLym ヘルプ; TLym ヘルプ Eff Mem SH Sub/TLymH")</f>
        <v>T リンパ球ヘルパー エフェクター メモリー スキンホーミング サブ集団/T リンパ球ヘルパー; TLym ヘルプ Eff Mem SH Sub/TLym ヘルプ; TLym ヘルプ Eff Mem SH Sub/TLymH</v>
      </c>
      <c r="H775" s="3" t="str">
        <f ca="1">IFERROR(__xludf.DUMMYFUNCTION("googletranslate(E775,""en"",""ja"")"),"生物学的標本中の総ヘルパー T リンパ球に対する皮膚ホーミング ヘルパー エフェクター メモリー T リンパ球の部分集団の相対測定値 (比率またはパーセンテージ)。")</f>
        <v>生物学的標本中の総ヘルパー T リンパ球に対する皮膚ホーミング ヘルパー エフェクター メモリー T リンパ球の部分集団の相対測定値 (比率またはパーセンテージ)。</v>
      </c>
      <c r="I775" s="3" t="str">
        <f ca="1">IFERROR(__xludf.DUMMYFUNCTION("googletranslate(F775,""en"",""ja"")"),"スキンホーミングヘルパーエフェクターメモリーTリンパ球部分集団とヘルパーTリンパ球の比率の測定")</f>
        <v>スキンホーミングヘルパーエフェクターメモリーTリンパ球部分集団とヘルパーTリンパ球の比率の測定</v>
      </c>
    </row>
    <row r="776" spans="1:9" ht="135">
      <c r="A776" s="3" t="s">
        <v>103</v>
      </c>
      <c r="B776" s="3" t="s">
        <v>3264</v>
      </c>
      <c r="C776" s="3" t="s">
        <v>3265</v>
      </c>
      <c r="D776" s="3" t="s">
        <v>3266</v>
      </c>
      <c r="E776" s="3" t="s">
        <v>3267</v>
      </c>
      <c r="F776" s="3" t="s">
        <v>3268</v>
      </c>
      <c r="G776" s="3" t="str">
        <f ca="1">IFERROR(__xludf.DUMMYFUNCTION("googletranslate(D776,""en"",""ja"")"),"T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f>
        <v>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v>
      </c>
      <c r="H776" s="3" t="str">
        <f ca="1">IFERROR(__xludf.DUMMYFUNCTION("googletranslate(E776,""en"",""ja"")"),"生物学的検体中の総ヘルパーエフェクターメモリー T リンパ球に対する皮膚ホーミングヘルパーエフェクターメモリー T リンパ球の部分集団の相対測定値 (比率またはパーセンテージ)。")</f>
        <v>生物学的検体中の総ヘルパーエフェクターメモリー T リンパ球に対する皮膚ホーミングヘルパーエフェクターメモリー T リンパ球の部分集団の相対測定値 (比率またはパーセンテージ)。</v>
      </c>
      <c r="I776" s="3" t="str">
        <f ca="1">IFERROR(__xludf.DUMMYFUNCTION("googletranslate(F776,""en"",""ja"")"),"スキンホーミングヘルパーエフェクターメモリーTリンパ球部分集団とヘルパーエフェクターメモリーTリンパ球の比率の測定")</f>
        <v>スキンホーミングヘルパーエフェクターメモリーTリンパ球部分集団とヘルパーエフェクターメモリーTリンパ球の比率の測定</v>
      </c>
    </row>
    <row r="777" spans="1:9" ht="105">
      <c r="A777" s="3" t="s">
        <v>103</v>
      </c>
      <c r="B777" s="3" t="s">
        <v>3269</v>
      </c>
      <c r="C777" s="3" t="s">
        <v>3270</v>
      </c>
      <c r="D777" s="3" t="s">
        <v>3271</v>
      </c>
      <c r="E777" s="3" t="s">
        <v>3272</v>
      </c>
      <c r="F777" s="3" t="s">
        <v>3273</v>
      </c>
      <c r="G777" s="3" t="str">
        <f ca="1">IFERROR(__xludf.DUMMYFUNCTION("googletranslate(D777,""en"",""ja"")"),"T リンパ球ヘルパーターミナル メモリー ガットホーミング/T リンパ球ヘルパーターミナル メモリー; TLym ヘルプ用語メモリ GH/TLym ヘルプ用語メモリ; TLym ヘルプ用語 Mem GH/TLymHTM")</f>
        <v>T リンパ球ヘルパーターミナル メモリー ガットホーミング/T リンパ球ヘルパーターミナル メモリー; TLym ヘルプ用語メモリ GH/TLym ヘルプ用語メモリ; TLym ヘルプ用語 Mem GH/TLymHTM</v>
      </c>
      <c r="H777" s="3" t="str">
        <f ca="1">IFERROR(__xludf.DUMMYFUNCTION("googletranslate(E777,""en"",""ja"")"),"生物学的検体中の総ヘルパー末端メモリー T リンパ球に対する腸ホーミングヘルパー末端メモリー T リンパ球の相対測定値 (比率またはパーセンテージ)。")</f>
        <v>生物学的検体中の総ヘルパー末端メモリー T リンパ球に対する腸ホーミングヘルパー末端メモリー T リンパ球の相対測定値 (比率またはパーセンテージ)。</v>
      </c>
      <c r="I777" s="3" t="str">
        <f ca="1">IFERROR(__xludf.DUMMYFUNCTION("googletranslate(F777,""en"",""ja"")"),"ガットホーミングヘルパーターミナルメモリーTリンパ球対ヘルパーターミナルメモリーTリンパ球比測定")</f>
        <v>ガットホーミングヘルパーターミナルメモリーTリンパ球対ヘルパーターミナルメモリーTリンパ球比測定</v>
      </c>
    </row>
    <row r="778" spans="1:9" ht="90">
      <c r="A778" s="3" t="s">
        <v>103</v>
      </c>
      <c r="B778" s="3" t="s">
        <v>3274</v>
      </c>
      <c r="C778" s="3" t="s">
        <v>3275</v>
      </c>
      <c r="D778" s="3" t="s">
        <v>3276</v>
      </c>
      <c r="E778" s="3" t="s">
        <v>3277</v>
      </c>
      <c r="F778" s="3" t="s">
        <v>3278</v>
      </c>
      <c r="G778" s="3" t="str">
        <f ca="1">IFERROR(__xludf.DUMMYFUNCTION("googletranslate(D778,""en"",""ja"")"),"T リンパ球ヘルパー ターミナル メモリー腸ホーミング サブ集団/T リンパ球ヘルパー; TLym ヘルプ用語 Mem GH Sub/TLym ヘルプ; TLym ヘルプ用語 Mem GH Sub/TLymH")</f>
        <v>T リンパ球ヘルパー ターミナル メモリー腸ホーミング サブ集団/T リンパ球ヘルパー; TLym ヘルプ用語 Mem GH Sub/TLym ヘルプ; TLym ヘルプ用語 Mem GH Sub/TLymH</v>
      </c>
      <c r="H778" s="3" t="str">
        <f ca="1">IFERROR(__xludf.DUMMYFUNCTION("googletranslate(E778,""en"",""ja"")"),"生物学的検体中の総ヘルパー T リンパ球に対する腸ホーミングヘルパーターミナルメモリー T リンパ球の部分集団の相対測定値 (比率またはパーセンテージ)。")</f>
        <v>生物学的検体中の総ヘルパー T リンパ球に対する腸ホーミングヘルパーターミナルメモリー T リンパ球の部分集団の相対測定値 (比率またはパーセンテージ)。</v>
      </c>
      <c r="I778" s="3" t="str">
        <f ca="1">IFERROR(__xludf.DUMMYFUNCTION("googletranslate(F778,""en"",""ja"")"),"腸ホーミングヘルパーターミナルメモリー T リンパ球部分集団とヘルパー T リンパ球の比率の測定")</f>
        <v>腸ホーミングヘルパーターミナルメモリー T リンパ球部分集団とヘルパー T リンパ球の比率の測定</v>
      </c>
    </row>
    <row r="779" spans="1:9" ht="105">
      <c r="A779" s="3" t="s">
        <v>103</v>
      </c>
      <c r="B779" s="3" t="s">
        <v>3279</v>
      </c>
      <c r="C779" s="3" t="s">
        <v>3280</v>
      </c>
      <c r="D779" s="3" t="s">
        <v>3281</v>
      </c>
      <c r="E779" s="3" t="s">
        <v>3282</v>
      </c>
      <c r="F779" s="3" t="s">
        <v>3283</v>
      </c>
      <c r="G779" s="3" t="str">
        <f ca="1">IFERROR(__xludf.DUMMYFUNCTION("googletranslate(D779,""en"",""ja"")"),"T リンパ球ヘルパーターミナル メモリ 腸ホーミング サブ集団/T リンパ球ヘルパーターミナル メモリ; TLym ヘルプ用語メモリ GH サブ/TLym ヘルプ用語メモリ; TLym ヘルプ用語 Mem GH Sub/TLymHTM")</f>
        <v>T リンパ球ヘルパーターミナル メモリ 腸ホーミング サブ集団/T リンパ球ヘルパーターミナル メモリ; TLym ヘルプ用語メモリ GH サブ/TLym ヘルプ用語メモリ; TLym ヘルプ用語 Mem GH Sub/TLymHTM</v>
      </c>
      <c r="H779" s="3" t="str">
        <f ca="1">IFERROR(__xludf.DUMMYFUNCTION("googletranslate(E779,""en"",""ja"")"),"生物学的標本中の総ヘルパー末端メモリー T リンパ球に対する腸ホーミングヘルパー末端メモリー T リンパ球の部分集団の相対測定値 (比率またはパーセンテージ)。")</f>
        <v>生物学的標本中の総ヘルパー末端メモリー T リンパ球に対する腸ホーミングヘルパー末端メモリー T リンパ球の部分集団の相対測定値 (比率またはパーセンテージ)。</v>
      </c>
      <c r="I779" s="3" t="str">
        <f ca="1">IFERROR(__xludf.DUMMYFUNCTION("googletranslate(F779,""en"",""ja"")"),"ガットホーミングヘルパーターミナル記憶 T リンパ球部分集団とヘルパーターミナル記憶 T リンパ球の比率の測定")</f>
        <v>ガットホーミングヘルパーターミナル記憶 T リンパ球部分集団とヘルパーターミナル記憶 T リンパ球の比率の測定</v>
      </c>
    </row>
    <row r="780" spans="1:9" ht="105">
      <c r="A780" s="3" t="s">
        <v>103</v>
      </c>
      <c r="B780" s="3" t="s">
        <v>3284</v>
      </c>
      <c r="C780" s="3" t="s">
        <v>3285</v>
      </c>
      <c r="D780" s="3" t="s">
        <v>3286</v>
      </c>
      <c r="E780" s="3" t="s">
        <v>3287</v>
      </c>
      <c r="F780" s="3" t="s">
        <v>3288</v>
      </c>
      <c r="G780" s="3" t="str">
        <f ca="1">IFERROR(__xludf.DUMMYFUNCTION("googletranslate(D780,""en"",""ja"")"),"Tリンパ球ヘルパーターミナルメモリー スキンホーミング/Tリンパ球ヘルパーターミナルメモリー; TLym ヘルプ用語メモリ SH/TLym ヘルプ用語メモリ; TLym ヘルプ用語 Mem SH/TLymHTM")</f>
        <v>Tリンパ球ヘルパーターミナルメモリー スキンホーミング/Tリンパ球ヘルパーターミナルメモリー; TLym ヘルプ用語メモリ SH/TLym ヘルプ用語メモリ; TLym ヘルプ用語 Mem SH/TLymHTM</v>
      </c>
      <c r="H780" s="3" t="str">
        <f ca="1">IFERROR(__xludf.DUMMYFUNCTION("googletranslate(E780,""en"",""ja"")"),"生物学的検体中の総ヘルパー末端メモリー T リンパ球に対する皮膚ホーミングヘルパー末端メモリー T リンパ球の相対測定値 (比率またはパーセンテージ)。")</f>
        <v>生物学的検体中の総ヘルパー末端メモリー T リンパ球に対する皮膚ホーミングヘルパー末端メモリー T リンパ球の相対測定値 (比率またはパーセンテージ)。</v>
      </c>
      <c r="I780" s="3" t="str">
        <f ca="1">IFERROR(__xludf.DUMMYFUNCTION("googletranslate(F780,""en"",""ja"")"),"スキンホーミングヘルパーターミナルメモリーTリンパ球対ヘルパーターミナルメモリーTリンパ球比測定")</f>
        <v>スキンホーミングヘルパーターミナルメモリーTリンパ球対ヘルパーターミナルメモリーTリンパ球比測定</v>
      </c>
    </row>
    <row r="781" spans="1:9" ht="90">
      <c r="A781" s="3" t="s">
        <v>103</v>
      </c>
      <c r="B781" s="3" t="s">
        <v>3289</v>
      </c>
      <c r="C781" s="3" t="s">
        <v>3290</v>
      </c>
      <c r="D781" s="3" t="s">
        <v>3291</v>
      </c>
      <c r="E781" s="3" t="s">
        <v>3292</v>
      </c>
      <c r="F781" s="3" t="s">
        <v>3293</v>
      </c>
      <c r="G781" s="3" t="str">
        <f ca="1">IFERROR(__xludf.DUMMYFUNCTION("googletranslate(D781,""en"",""ja"")"),"T リンパ球ヘルパー ターミナル メモリー スキンホーミング サブ集団/T リンパ球ヘルパー; TLym ヘルプ用語 Mem SH Sub/TLym ヘルプ; TLym ヘルプ ターム Mem SH Sub/TLymH")</f>
        <v>T リンパ球ヘルパー ターミナル メモリー スキンホーミング サブ集団/T リンパ球ヘルパー; TLym ヘルプ用語 Mem SH Sub/TLym ヘルプ; TLym ヘルプ ターム Mem SH Sub/TLymH</v>
      </c>
      <c r="H781" s="3" t="str">
        <f ca="1">IFERROR(__xludf.DUMMYFUNCTION("googletranslate(E781,""en"",""ja"")"),"生物学的標本中の総ヘルパー T リンパ球に対する皮膚ホーミングヘルパーターミナルメモリー T リンパ球の部分集団の相対測定値 (比率またはパーセンテージ)。")</f>
        <v>生物学的標本中の総ヘルパー T リンパ球に対する皮膚ホーミングヘルパーターミナルメモリー T リンパ球の部分集団の相対測定値 (比率またはパーセンテージ)。</v>
      </c>
      <c r="I781" s="3" t="str">
        <f ca="1">IFERROR(__xludf.DUMMYFUNCTION("googletranslate(F781,""en"",""ja"")"),"スキンホーミングヘルパーターミナルメモリーTリンパ球部分集団とヘルパーTリンパ球の比率の測定")</f>
        <v>スキンホーミングヘルパーターミナルメモリーTリンパ球部分集団とヘルパーTリンパ球の比率の測定</v>
      </c>
    </row>
    <row r="782" spans="1:9" ht="105">
      <c r="A782" s="3" t="s">
        <v>103</v>
      </c>
      <c r="B782" s="3" t="s">
        <v>3294</v>
      </c>
      <c r="C782" s="3" t="s">
        <v>3295</v>
      </c>
      <c r="D782" s="3" t="s">
        <v>3296</v>
      </c>
      <c r="E782" s="3" t="s">
        <v>3297</v>
      </c>
      <c r="F782" s="3" t="s">
        <v>3298</v>
      </c>
      <c r="G782" s="3" t="str">
        <f ca="1">IFERROR(__xludf.DUMMYFUNCTION("googletranslate(D782,""en"",""ja"")"),"T リンパ球ヘルパーターミナル メモリー スキンホーミング サブ集団/T リンパ球ヘルパーターミナル メモリー; TLym ヘルプ用語メモリ SH サブ/TLym ヘルプ用語メモリ; TLym ヘルプ用語 Mem SH Sub/TLymHTM")</f>
        <v>T リンパ球ヘルパーターミナル メモリー スキンホーミング サブ集団/T リンパ球ヘルパーターミナル メモリー; TLym ヘルプ用語メモリ SH サブ/TLym ヘルプ用語メモリ; TLym ヘルプ用語 Mem SH Sub/TLymHTM</v>
      </c>
      <c r="H782" s="3" t="str">
        <f ca="1">IFERROR(__xludf.DUMMYFUNCTION("googletranslate(E782,""en"",""ja"")"),"生物学的標本中の総ヘルパーターミナルメモリー T リンパ球に対する皮膚ホーミングヘルパーターミナルメモリー T リンパ球の部分集団の相対測定値 (比率またはパーセンテージ)。")</f>
        <v>生物学的標本中の総ヘルパーターミナルメモリー T リンパ球に対する皮膚ホーミングヘルパーターミナルメモリー T リンパ球の部分集団の相対測定値 (比率またはパーセンテージ)。</v>
      </c>
      <c r="I782" s="3" t="str">
        <f ca="1">IFERROR(__xludf.DUMMYFUNCTION("googletranslate(F782,""en"",""ja"")"),"スキンホーミングヘルパーターミナル記憶 T リンパ球部分集団とヘルパーターミナル記憶 T リンパ球の比率の測定")</f>
        <v>スキンホーミングヘルパーターミナル記憶 T リンパ球部分集団とヘルパーターミナル記憶 T リンパ球の比率の測定</v>
      </c>
    </row>
    <row r="783" spans="1:9" ht="60">
      <c r="A783" s="3" t="s">
        <v>103</v>
      </c>
      <c r="B783" s="3" t="s">
        <v>3299</v>
      </c>
      <c r="C783" s="3" t="s">
        <v>3300</v>
      </c>
      <c r="D783" s="3" t="s">
        <v>3301</v>
      </c>
      <c r="E783" s="3" t="s">
        <v>3302</v>
      </c>
      <c r="F783" s="3" t="s">
        <v>3303</v>
      </c>
      <c r="G783" s="3" t="str">
        <f ca="1">IFERROR(__xludf.DUMMYFUNCTION("googletranslate(D783,""en"",""ja"")"),"顆粒球//非TBNK白血球;顆粒球/非TBNK白血球")</f>
        <v>顆粒球//非TBNK白血球;顆粒球/非TBNK白血球</v>
      </c>
      <c r="H783" s="3" t="str">
        <f ca="1">IFERROR(__xludf.DUMMYFUNCTION("googletranslate(E783,""en"",""ja"")"),"生物学的標本における、T 細胞、B 細胞、またはナチュラル キラー細胞ではないすべての白血球に対する非古典的単球に対する顆粒球の相対的な測定値 (比率またはパーセンテージ)。")</f>
        <v>生物学的標本における、T 細胞、B 細胞、またはナチュラル キラー細胞ではないすべての白血球に対する非古典的単球に対する顆粒球の相対的な測定値 (比率またはパーセンテージ)。</v>
      </c>
      <c r="I783" s="3" t="str">
        <f ca="1">IFERROR(__xludf.DUMMYFUNCTION("googletranslate(F783,""en"",""ja"")"),"顆粒球と非TBNK白血球の比率の測定")</f>
        <v>顆粒球と非TBNK白血球の比率の測定</v>
      </c>
    </row>
    <row r="784" spans="1:9" ht="30">
      <c r="A784" s="3" t="s">
        <v>6</v>
      </c>
      <c r="B784" s="3" t="s">
        <v>3304</v>
      </c>
      <c r="C784" s="3" t="s">
        <v>3305</v>
      </c>
      <c r="D784" s="3" t="s">
        <v>3305</v>
      </c>
      <c r="E784" s="3" t="s">
        <v>3306</v>
      </c>
      <c r="F784" s="3" t="s">
        <v>3307</v>
      </c>
      <c r="G784" s="3" t="str">
        <f ca="1">IFERROR(__xludf.DUMMYFUNCTION("googletranslate(D784,""en"",""ja"")"),"補体C1エステラーゼ阻害剤")</f>
        <v>補体C1エステラーゼ阻害剤</v>
      </c>
      <c r="H784" s="3" t="str">
        <f ca="1">IFERROR(__xludf.DUMMYFUNCTION("googletranslate(E784,""en"",""ja"")"),"生物学的標本中の補体 C1 エステラーゼ阻害剤の測定。")</f>
        <v>生物学的標本中の補体 C1 エステラーゼ阻害剤の測定。</v>
      </c>
      <c r="I784" s="3" t="str">
        <f ca="1">IFERROR(__xludf.DUMMYFUNCTION("googletranslate(F784,""en"",""ja"")"),"補体C1エステラーゼ阻害剤の測定")</f>
        <v>補体C1エステラーゼ阻害剤の測定</v>
      </c>
    </row>
    <row r="785" spans="1:9" ht="30">
      <c r="A785" s="3" t="s">
        <v>6</v>
      </c>
      <c r="B785" s="3" t="s">
        <v>3308</v>
      </c>
      <c r="C785" s="3" t="s">
        <v>3309</v>
      </c>
      <c r="D785" s="3" t="s">
        <v>3309</v>
      </c>
      <c r="E785" s="3" t="s">
        <v>3310</v>
      </c>
      <c r="F785" s="3" t="s">
        <v>3311</v>
      </c>
      <c r="G785" s="3" t="str">
        <f ca="1">IFERROR(__xludf.DUMMYFUNCTION("googletranslate(D785,""en"",""ja"")"),"補体C1q")</f>
        <v>補体C1q</v>
      </c>
      <c r="H785" s="3" t="str">
        <f ca="1">IFERROR(__xludf.DUMMYFUNCTION("googletranslate(E785,""en"",""ja"")"),"生物学的標本中の補体 C1q の測定。")</f>
        <v>生物学的標本中の補体 C1q の測定。</v>
      </c>
      <c r="I785" s="3" t="str">
        <f ca="1">IFERROR(__xludf.DUMMYFUNCTION("googletranslate(F785,""en"",""ja"")"),"補体C1q測定")</f>
        <v>補体C1q測定</v>
      </c>
    </row>
    <row r="786" spans="1:9" ht="30">
      <c r="A786" s="3" t="s">
        <v>6</v>
      </c>
      <c r="B786" s="3" t="s">
        <v>3312</v>
      </c>
      <c r="C786" s="3" t="s">
        <v>3313</v>
      </c>
      <c r="D786" s="3" t="s">
        <v>3314</v>
      </c>
      <c r="E786" s="3" t="s">
        <v>3315</v>
      </c>
      <c r="F786" s="3" t="s">
        <v>3316</v>
      </c>
      <c r="G786" s="3" t="str">
        <f ca="1">IFERROR(__xludf.DUMMYFUNCTION("googletranslate(D786,""en"",""ja"")"),"ARMD14;補体C2")</f>
        <v>ARMD14;補体C2</v>
      </c>
      <c r="H786" s="3" t="str">
        <f ca="1">IFERROR(__xludf.DUMMYFUNCTION("googletranslate(E786,""en"",""ja"")"),"生物学的標本中の補体 C2 の測定。")</f>
        <v>生物学的標本中の補体 C2 の測定。</v>
      </c>
      <c r="I786" s="3" t="str">
        <f ca="1">IFERROR(__xludf.DUMMYFUNCTION("googletranslate(F786,""en"",""ja"")"),"補体C2測定")</f>
        <v>補体C2測定</v>
      </c>
    </row>
    <row r="787" spans="1:9" ht="45">
      <c r="A787" s="3" t="s">
        <v>103</v>
      </c>
      <c r="B787" s="3" t="s">
        <v>3317</v>
      </c>
      <c r="C787" s="3" t="s">
        <v>3318</v>
      </c>
      <c r="D787" s="3" t="s">
        <v>3319</v>
      </c>
      <c r="E787" s="3" t="s">
        <v>3320</v>
      </c>
      <c r="F787" s="3" t="s">
        <v>3321</v>
      </c>
      <c r="G787" s="3" t="str">
        <f ca="1">IFERROR(__xludf.DUMMYFUNCTION("googletranslate(D787,""en"",""ja"")"),"Bリンパ球/非TNK白血球; BLym/非TNKロイク")</f>
        <v>Bリンパ球/非TNK白血球; BLym/非TNKロイク</v>
      </c>
      <c r="H787" s="3" t="str">
        <f ca="1">IFERROR(__xludf.DUMMYFUNCTION("googletranslate(E787,""en"",""ja"")"),"生物学的標本中の T 細胞またはナチュラル キラー細胞ではない白血球に対する B リンパ球の相対的な測定値 (比率またはパーセンテージ)。")</f>
        <v>生物学的標本中の T 細胞またはナチュラル キラー細胞ではない白血球に対する B リンパ球の相対的な測定値 (比率またはパーセンテージ)。</v>
      </c>
      <c r="I787" s="3" t="str">
        <f ca="1">IFERROR(__xludf.DUMMYFUNCTION("googletranslate(F787,""en"",""ja"")"),"Bリンパ球と非TNK白血球の比率の測定")</f>
        <v>Bリンパ球と非TNK白血球の比率の測定</v>
      </c>
    </row>
    <row r="788" spans="1:9" ht="75">
      <c r="A788" s="3" t="s">
        <v>103</v>
      </c>
      <c r="B788" s="3" t="s">
        <v>3322</v>
      </c>
      <c r="C788" s="3" t="s">
        <v>3323</v>
      </c>
      <c r="D788" s="3" t="s">
        <v>3324</v>
      </c>
      <c r="E788" s="3" t="s">
        <v>3325</v>
      </c>
      <c r="F788" s="3" t="s">
        <v>3326</v>
      </c>
      <c r="G788" s="3" t="str">
        <f ca="1">IFERROR(__xludf.DUMMYFUNCTION("googletranslate(D788,""en"",""ja"")"),"非TBNKロイクサブ/非TBNKロイク;非TBNK白血球部分集団/非TBNK白血球")</f>
        <v>非TBNKロイクサブ/非TBNKロイク;非TBNK白血球部分集団/非TBNK白血球</v>
      </c>
      <c r="H788" s="3" t="str">
        <f ca="1">IFERROR(__xludf.DUMMYFUNCTION("googletranslate(E788,""en"",""ja"")"),"生物学的標本中の T 細胞、B 細胞またはナチュラルキラー細胞ではない白血球の部分集団と、T 細胞、B 細胞またはナチュラルキラー細胞ではない白血球の相対的な測定値 (比率またはパーセンテージ)。")</f>
        <v>生物学的標本中の T 細胞、B 細胞またはナチュラルキラー細胞ではない白血球の部分集団と、T 細胞、B 細胞またはナチュラルキラー細胞ではない白血球の相対的な測定値 (比率またはパーセンテージ)。</v>
      </c>
      <c r="I788" s="3" t="str">
        <f ca="1">IFERROR(__xludf.DUMMYFUNCTION("googletranslate(F788,""en"",""ja"")"),"非 TBNK 白血球部分集団と非 TBNK 白血球の比率の測定")</f>
        <v>非 TBNK 白血球部分集団と非 TBNK 白血球の比率の測定</v>
      </c>
    </row>
    <row r="789" spans="1:9" ht="60">
      <c r="A789" s="3" t="s">
        <v>103</v>
      </c>
      <c r="B789" s="3" t="s">
        <v>3327</v>
      </c>
      <c r="C789" s="3" t="s">
        <v>3328</v>
      </c>
      <c r="D789" s="3" t="s">
        <v>3329</v>
      </c>
      <c r="E789" s="3" t="s">
        <v>3330</v>
      </c>
      <c r="F789" s="3" t="s">
        <v>3331</v>
      </c>
      <c r="G789" s="3" t="str">
        <f ca="1">IFERROR(__xludf.DUMMYFUNCTION("googletranslate(D789,""en"",""ja"")"),"MDSC サブ/非 TBNK ロイク。骨髄由来サプレッサー細胞亜集団/非TBNK白血球")</f>
        <v>MDSC サブ/非 TBNK ロイク。骨髄由来サプレッサー細胞亜集団/非TBNK白血球</v>
      </c>
      <c r="H789" s="3" t="str">
        <f ca="1">IFERROR(__xludf.DUMMYFUNCTION("googletranslate(E789,""en"",""ja"")"),"生物学的標本中の T 細胞、B 細胞、またはナチュラル キラー細胞ではない白血球に対する骨髄由来サプレッサー細胞の部分集団の相対的な測定値 (比率またはパーセンテージ)。")</f>
        <v>生物学的標本中の T 細胞、B 細胞、またはナチュラル キラー細胞ではない白血球に対する骨髄由来サプレッサー細胞の部分集団の相対的な測定値 (比率またはパーセンテージ)。</v>
      </c>
      <c r="I789" s="3" t="str">
        <f ca="1">IFERROR(__xludf.DUMMYFUNCTION("googletranslate(F789,""en"",""ja"")"),"骨髄由来サプレッサー細胞部分集団と非TBNK白血球の比率の測定")</f>
        <v>骨髄由来サプレッサー細胞部分集団と非TBNK白血球の比率の測定</v>
      </c>
    </row>
    <row r="790" spans="1:9" ht="45">
      <c r="A790" s="3" t="s">
        <v>103</v>
      </c>
      <c r="B790" s="3" t="s">
        <v>3332</v>
      </c>
      <c r="C790" s="3" t="s">
        <v>3333</v>
      </c>
      <c r="D790" s="3" t="s">
        <v>3334</v>
      </c>
      <c r="E790" s="3" t="s">
        <v>3335</v>
      </c>
      <c r="F790" s="3" t="s">
        <v>3336</v>
      </c>
      <c r="G790" s="3" t="str">
        <f ca="1">IFERROR(__xludf.DUMMYFUNCTION("googletranslate(D790,""en"",""ja"")"),"ナチュラルキラー細胞/非結核白血球; NK細胞/非結核白血球")</f>
        <v>ナチュラルキラー細胞/非結核白血球; NK細胞/非結核白血球</v>
      </c>
      <c r="H790" s="3" t="str">
        <f ca="1">IFERROR(__xludf.DUMMYFUNCTION("googletranslate(E790,""en"",""ja"")"),"生物学的標本中の T 細胞または B 細胞ではない白血球に対するナチュラル キラー細胞の相対的な測定値 (比率またはパーセンテージ)。")</f>
        <v>生物学的標本中の T 細胞または B 細胞ではない白血球に対するナチュラル キラー細胞の相対的な測定値 (比率またはパーセンテージ)。</v>
      </c>
      <c r="I790" s="3" t="str">
        <f ca="1">IFERROR(__xludf.DUMMYFUNCTION("googletranslate(F790,""en"",""ja"")"),"ナチュラルキラー細胞と非結核白血球の比率の測定")</f>
        <v>ナチュラルキラー細胞と非結核白血球の比率の測定</v>
      </c>
    </row>
    <row r="791" spans="1:9" ht="45">
      <c r="A791" s="3" t="s">
        <v>103</v>
      </c>
      <c r="B791" s="3" t="s">
        <v>3337</v>
      </c>
      <c r="C791" s="3" t="s">
        <v>3338</v>
      </c>
      <c r="D791" s="3" t="s">
        <v>3339</v>
      </c>
      <c r="E791" s="3" t="s">
        <v>3340</v>
      </c>
      <c r="F791" s="3" t="s">
        <v>3341</v>
      </c>
      <c r="G791" s="3" t="str">
        <f ca="1">IFERROR(__xludf.DUMMYFUNCTION("googletranslate(D791,""en"",""ja"")"),"DC/非TBNKロイク。樹状細胞/非TBNK白血球")</f>
        <v>DC/非TBNKロイク。樹状細胞/非TBNK白血球</v>
      </c>
      <c r="H791" s="3" t="str">
        <f ca="1">IFERROR(__xludf.DUMMYFUNCTION("googletranslate(E791,""en"",""ja"")"),"生物学的標本中の T 細胞、B 細胞、またはナチュラル キラー細胞ではない白血球に対する樹状細胞の相対的な測定値 (比率またはパーセンテージ)。")</f>
        <v>生物学的標本中の T 細胞、B 細胞、またはナチュラル キラー細胞ではない白血球に対する樹状細胞の相対的な測定値 (比率またはパーセンテージ)。</v>
      </c>
      <c r="I791" s="3" t="str">
        <f ca="1">IFERROR(__xludf.DUMMYFUNCTION("googletranslate(F791,""en"",""ja"")"),"樹状細胞と非TBNK白血球の比率の測定")</f>
        <v>樹状細胞と非TBNK白血球の比率の測定</v>
      </c>
    </row>
    <row r="792" spans="1:9" ht="75">
      <c r="A792" s="3" t="s">
        <v>103</v>
      </c>
      <c r="B792" s="3" t="s">
        <v>3342</v>
      </c>
      <c r="C792" s="3" t="s">
        <v>3343</v>
      </c>
      <c r="D792" s="3" t="s">
        <v>3344</v>
      </c>
      <c r="E792" s="3" t="s">
        <v>3345</v>
      </c>
      <c r="F792" s="3" t="s">
        <v>3346</v>
      </c>
      <c r="G792" s="3" t="str">
        <f ca="1">IFERROR(__xludf.DUMMYFUNCTION("googletranslate(D792,""en"",""ja"")"),"B リンパ球の記憶クラススイッチ/白血球。 B リンパ球記憶スイッチ/白血球; BLym Mem Sw/Leuk")</f>
        <v>B リンパ球の記憶クラススイッチ/白血球。 B リンパ球記憶スイッチ/白血球; BLym Mem Sw/Leuk</v>
      </c>
      <c r="H792" s="3" t="str">
        <f ca="1">IFERROR(__xludf.DUMMYFUNCTION("googletranslate(E792,""en"",""ja"")"),"生物学的標本中の白血球に対するクラススイッチ記憶 B リンパ球の相対測定値 (比率またはパーセンテージ)。")</f>
        <v>生物学的標本中の白血球に対するクラススイッチ記憶 B リンパ球の相対測定値 (比率またはパーセンテージ)。</v>
      </c>
      <c r="I792" s="3" t="str">
        <f ca="1">IFERROR(__xludf.DUMMYFUNCTION("googletranslate(F792,""en"",""ja"")"),"クラススイッチメモリーBリンパ球対白血球比測定")</f>
        <v>クラススイッチメモリーBリンパ球対白血球比測定</v>
      </c>
    </row>
    <row r="793" spans="1:9" ht="120">
      <c r="A793" s="3" t="s">
        <v>103</v>
      </c>
      <c r="B793" s="3" t="s">
        <v>3347</v>
      </c>
      <c r="C793" s="3" t="s">
        <v>3348</v>
      </c>
      <c r="D793" s="3" t="s">
        <v>3349</v>
      </c>
      <c r="E793" s="3" t="s">
        <v>3350</v>
      </c>
      <c r="F793" s="3" t="s">
        <v>3351</v>
      </c>
      <c r="G793" s="3" t="str">
        <f ca="1">IFERROR(__xludf.DUMMYFUNCTION("googletranslate(D793,""en"",""ja"")"),"B リンパ球記憶クラススイッチ亜集団/B リンパ球記憶クラススイッチ亜集団; B リンパ球の記憶スイッチされた部分集団/B リンパ球の記憶スイッチされた部分集団; BLym Mem Sw Sub/BLymMSwS")</f>
        <v>B リンパ球記憶クラススイッチ亜集団/B リンパ球記憶クラススイッチ亜集団; B リンパ球の記憶スイッチされた部分集団/B リンパ球の記憶スイッチされた部分集団; BLym Mem Sw Sub/BLymMSwS</v>
      </c>
      <c r="H793" s="3" t="str">
        <f ca="1">IFERROR(__xludf.DUMMYFUNCTION("googletranslate(E793,""en"",""ja"")"),"クラススイッチ記憶 B リンパ球の部分集団に対するクラススイッチ記憶 B リンパ球の部分集団の相対測定値 (比率またはパーセンテージ)。")</f>
        <v>クラススイッチ記憶 B リンパ球の部分集団に対するクラススイッチ記憶 B リンパ球の部分集団の相対測定値 (比率またはパーセンテージ)。</v>
      </c>
      <c r="I793" s="3" t="str">
        <f ca="1">IFERROR(__xludf.DUMMYFUNCTION("googletranslate(F793,""en"",""ja"")"),"クラススイッチメモリーBリンパ球サブ集団とクラススイッチメモリーBリンパ球サブ集団の比率の測定")</f>
        <v>クラススイッチメモリーBリンパ球サブ集団とクラススイッチメモリーBリンパ球サブ集団の比率の測定</v>
      </c>
    </row>
    <row r="794" spans="1:9" ht="90">
      <c r="A794" s="3" t="s">
        <v>103</v>
      </c>
      <c r="B794" s="3" t="s">
        <v>3352</v>
      </c>
      <c r="C794" s="3" t="s">
        <v>3353</v>
      </c>
      <c r="D794" s="3" t="s">
        <v>3354</v>
      </c>
      <c r="E794" s="3" t="s">
        <v>3355</v>
      </c>
      <c r="F794" s="3" t="s">
        <v>3356</v>
      </c>
      <c r="G794" s="3" t="str">
        <f ca="1">IFERROR(__xludf.DUMMYFUNCTION("googletranslate(D794,""en"",""ja"")"),"Bリンパ球の記憶クラススイッチ亜集団/白血球。 Bリンパ球の記憶スイッチされた部分集団/白血球。 BLym Mem Sw サブ/ロイク")</f>
        <v>Bリンパ球の記憶クラススイッチ亜集団/白血球。 Bリンパ球の記憶スイッチされた部分集団/白血球。 BLym Mem Sw サブ/ロイク</v>
      </c>
      <c r="H794" s="3" t="str">
        <f ca="1">IFERROR(__xludf.DUMMYFUNCTION("googletranslate(E794,""en"",""ja"")"),"生物学的標本中の白血球に対するクラススイッチ記憶 B リンパ球の部分集団の相対測定値 (比率またはパーセンテージ)。")</f>
        <v>生物学的標本中の白血球に対するクラススイッチ記憶 B リンパ球の部分集団の相対測定値 (比率またはパーセンテージ)。</v>
      </c>
      <c r="I794" s="3" t="str">
        <f ca="1">IFERROR(__xludf.DUMMYFUNCTION("googletranslate(F794,""en"",""ja"")"),"クラススイッチメモリーBリンパ球部分集団と白血球の比率の測定")</f>
        <v>クラススイッチメモリーBリンパ球部分集団と白血球の比率の測定</v>
      </c>
    </row>
    <row r="795" spans="1:9" ht="75">
      <c r="A795" s="3" t="s">
        <v>103</v>
      </c>
      <c r="B795" s="3" t="s">
        <v>3357</v>
      </c>
      <c r="C795" s="3" t="s">
        <v>3358</v>
      </c>
      <c r="D795" s="3" t="s">
        <v>3359</v>
      </c>
      <c r="E795" s="3" t="s">
        <v>3360</v>
      </c>
      <c r="F795" s="3" t="s">
        <v>3361</v>
      </c>
      <c r="G795" s="3" t="str">
        <f ca="1">IFERROR(__xludf.DUMMYFUNCTION("googletranslate(D795,""en"",""ja"")"),"B リンパ球のメモリー スイッチによる非従来型 IgG+/B リンパ球のメモリー スイッチによる非従来型。 BLym Mem Sw Uncv IgG+/BLym Mem Sw Uncv")</f>
        <v>B リンパ球のメモリー スイッチによる非従来型 IgG+/B リンパ球のメモリー スイッチによる非従来型。 BLym Mem Sw Uncv IgG+/BLym Mem Sw Uncv</v>
      </c>
      <c r="H795" s="3" t="str">
        <f ca="1">IFERROR(__xludf.DUMMYFUNCTION("googletranslate(E795,""en"",""ja"")"),"生物学的検体中の総非従来型クラススイッチメモリー B リンパ球に対する、非従来型クラススイッチ IgG 陽性メモリー B リンパ球の相対測定値 (比率またはパーセンテージ)。")</f>
        <v>生物学的検体中の総非従来型クラススイッチメモリー B リンパ球に対する、非従来型クラススイッチ IgG 陽性メモリー B リンパ球の相対測定値 (比率またはパーセンテージ)。</v>
      </c>
      <c r="I795" s="3" t="str">
        <f ca="1">IFERROR(__xludf.DUMMYFUNCTION("googletranslate(F795,""en"",""ja"")"),"型破りなクラススイッチ IgG 陽性メモリー B リンパ球と型破りなクラススイッチ型メモリー B リンパ球の比率の測定")</f>
        <v>型破りなクラススイッチ IgG 陽性メモリー B リンパ球と型破りなクラススイッチ型メモリー B リンパ球の比率の測定</v>
      </c>
    </row>
    <row r="796" spans="1:9" ht="45">
      <c r="A796" s="3" t="s">
        <v>103</v>
      </c>
      <c r="B796" s="3" t="s">
        <v>3362</v>
      </c>
      <c r="C796" s="3" t="s">
        <v>3363</v>
      </c>
      <c r="D796" s="3" t="s">
        <v>3364</v>
      </c>
      <c r="E796" s="3" t="s">
        <v>3365</v>
      </c>
      <c r="F796" s="3" t="s">
        <v>3366</v>
      </c>
      <c r="G796" s="3" t="str">
        <f ca="1">IFERROR(__xludf.DUMMYFUNCTION("googletranslate(D796,""en"",""ja"")"),"B リンパ球の記憶スイッチ型型破りな IgM+。 BLym Mem Sw Uncv IgM+")</f>
        <v>B リンパ球の記憶スイッチ型型破りな IgM+。 BLym Mem Sw Uncv IgM+</v>
      </c>
      <c r="H796" s="3" t="str">
        <f ca="1">IFERROR(__xludf.DUMMYFUNCTION("googletranslate(E796,""en"",""ja"")"),"生物学的標本中の IgM+ クラススイッチ型の非従来型記憶 B リンパ球の測定。")</f>
        <v>生物学的標本中の IgM+ クラススイッチ型の非従来型記憶 B リンパ球の測定。</v>
      </c>
      <c r="I796" s="3" t="str">
        <f ca="1">IFERROR(__xludf.DUMMYFUNCTION("googletranslate(F796,""en"",""ja"")"),"型破りなクラススイッチ IgM 陽性メモリー B リンパ球数")</f>
        <v>型破りなクラススイッチ IgM 陽性メモリー B リンパ球数</v>
      </c>
    </row>
    <row r="797" spans="1:9" ht="105">
      <c r="A797" s="3" t="s">
        <v>103</v>
      </c>
      <c r="B797" s="3" t="s">
        <v>3367</v>
      </c>
      <c r="C797" s="3" t="s">
        <v>3368</v>
      </c>
      <c r="D797" s="3" t="s">
        <v>3369</v>
      </c>
      <c r="E797" s="3" t="s">
        <v>3370</v>
      </c>
      <c r="F797" s="3" t="s">
        <v>3371</v>
      </c>
      <c r="G797" s="3" t="str">
        <f ca="1">IFERROR(__xludf.DUMMYFUNCTION("googletranslate(D797,""en"",""ja"")"),"B リンパ球のメモリー スイッチによる非従来型 IgM+/B リンパ球のメモリー スイッチによる非従来型。 BLym Mem Sw Uncv IgM+/BLym Mem Sw Uncv; BLym Mem Sw Uncv IgM+/BLymMSwU")</f>
        <v>B リンパ球のメモリー スイッチによる非従来型 IgM+/B リンパ球のメモリー スイッチによる非従来型。 BLym Mem Sw Uncv IgM+/BLym Mem Sw Uncv; BLym Mem Sw Uncv IgM+/BLymMSwU</v>
      </c>
      <c r="H797" s="3" t="str">
        <f ca="1">IFERROR(__xludf.DUMMYFUNCTION("googletranslate(E797,""en"",""ja"")"),"生物学的検体中の総クラススイッチ非従来型記憶 B リンパ球に対する IgM+ クラススイッチ非従来型記憶 B リンパ球の相対測定値 (比率またはパーセンテージ)。")</f>
        <v>生物学的検体中の総クラススイッチ非従来型記憶 B リンパ球に対する IgM+ クラススイッチ非従来型記憶 B リンパ球の相対測定値 (比率またはパーセンテージ)。</v>
      </c>
      <c r="I797" s="3" t="str">
        <f ca="1">IFERROR(__xludf.DUMMYFUNCTION("googletranslate(F797,""en"",""ja"")"),"型破りなクラススイッチ IgM 陽性メモリー B リンパ球と型破りなクラススイッチ型メモリー B リンパ球の比率の測定")</f>
        <v>型破りなクラススイッチ IgM 陽性メモリー B リンパ球と型破りなクラススイッチ型メモリー B リンパ球の比率の測定</v>
      </c>
    </row>
    <row r="798" spans="1:9" ht="60">
      <c r="A798" s="3" t="s">
        <v>103</v>
      </c>
      <c r="B798" s="3" t="s">
        <v>3372</v>
      </c>
      <c r="C798" s="3" t="s">
        <v>3373</v>
      </c>
      <c r="D798" s="3" t="s">
        <v>3374</v>
      </c>
      <c r="E798" s="3" t="s">
        <v>3375</v>
      </c>
      <c r="F798" s="3" t="s">
        <v>3376</v>
      </c>
      <c r="G798" s="3" t="str">
        <f ca="1">IFERROR(__xludf.DUMMYFUNCTION("googletranslate(D798,""en"",""ja"")"),"顆粒球サブ集団/顆粒球サブ集団;顆粒球サブ/顆粒球サブ")</f>
        <v>顆粒球サブ集団/顆粒球サブ集団;顆粒球サブ/顆粒球サブ</v>
      </c>
      <c r="H798" s="3" t="str">
        <f ca="1">IFERROR(__xludf.DUMMYFUNCTION("googletranslate(E798,""en"",""ja"")"),"生物学的標本中の顆粒球の部分集団に対する顆粒球の部分集団の相対的な測定値 (比率またはパーセンテージ)。")</f>
        <v>生物学的標本中の顆粒球の部分集団に対する顆粒球の部分集団の相対的な測定値 (比率またはパーセンテージ)。</v>
      </c>
      <c r="I798" s="3" t="str">
        <f ca="1">IFERROR(__xludf.DUMMYFUNCTION("googletranslate(F798,""en"",""ja"")"),"顆粒球部分集団対顆粒球部分集団の比率の測定")</f>
        <v>顆粒球部分集団対顆粒球部分集団の比率の測定</v>
      </c>
    </row>
    <row r="799" spans="1:9" ht="75">
      <c r="A799" s="3" t="s">
        <v>103</v>
      </c>
      <c r="B799" s="3" t="s">
        <v>3377</v>
      </c>
      <c r="C799" s="3" t="s">
        <v>3378</v>
      </c>
      <c r="D799" s="3" t="s">
        <v>3379</v>
      </c>
      <c r="E799" s="3" t="s">
        <v>3380</v>
      </c>
      <c r="F799" s="3" t="s">
        <v>3381</v>
      </c>
      <c r="G799" s="3" t="str">
        <f ca="1">IFERROR(__xludf.DUMMYFUNCTION("googletranslate(D799,""en"",""ja"")"),"ILC1 サブ集団/ILC サブ集団;先天的LC1サブ/ILCサブ;自然リンパ系細胞タイプ 1 サブ集団/自然リンパ系細胞サブ集団")</f>
        <v>ILC1 サブ集団/ILC サブ集団;先天的LC1サブ/ILCサブ;自然リンパ系細胞タイプ 1 サブ集団/自然リンパ系細胞サブ集団</v>
      </c>
      <c r="H799" s="3" t="str">
        <f ca="1">IFERROR(__xludf.DUMMYFUNCTION("googletranslate(E799,""en"",""ja"")"),"生物学的標本における自然リンパ球の部分集団に対する 1 型自然リンパ球の部分集団の相対的な測定値 (比率またはパーセンテージ)。")</f>
        <v>生物学的標本における自然リンパ球の部分集団に対する 1 型自然リンパ球の部分集団の相対的な測定値 (比率またはパーセンテージ)。</v>
      </c>
      <c r="I799" s="3" t="str">
        <f ca="1">IFERROR(__xludf.DUMMYFUNCTION("googletranslate(F799,""en"",""ja"")"),"タイプ 1 自然リンパ球細胞亜集団と自然リンパ球細胞亜集団の比率の測定")</f>
        <v>タイプ 1 自然リンパ球細胞亜集団と自然リンパ球細胞亜集団の比率の測定</v>
      </c>
    </row>
    <row r="800" spans="1:9" ht="75">
      <c r="A800" s="3" t="s">
        <v>103</v>
      </c>
      <c r="B800" s="3" t="s">
        <v>3382</v>
      </c>
      <c r="C800" s="3" t="s">
        <v>3383</v>
      </c>
      <c r="D800" s="3" t="s">
        <v>3384</v>
      </c>
      <c r="E800" s="3" t="s">
        <v>3385</v>
      </c>
      <c r="F800" s="3" t="s">
        <v>3386</v>
      </c>
      <c r="G800" s="3" t="str">
        <f ca="1">IFERROR(__xludf.DUMMYFUNCTION("googletranslate(D800,""en"",""ja"")"),"ILC1 サブ/ILC1 サブ;先天的LC1サブ/ILC1サブ。先天性リンパ系細胞タイプ 1 サブ集団/先天性リンパ系細胞タイプ 1 サブ集団")</f>
        <v>ILC1 サブ/ILC1 サブ;先天的LC1サブ/ILC1サブ。先天性リンパ系細胞タイプ 1 サブ集団/先天性リンパ系細胞タイプ 1 サブ集団</v>
      </c>
      <c r="H800" s="3" t="str">
        <f ca="1">IFERROR(__xludf.DUMMYFUNCTION("googletranslate(E800,""en"",""ja"")"),"生物学的標本における 1 型自然リンパ球の部分集団に対する 1 型自然リンパ球の部分集団の相対的な測定値 (比率またはパーセンテージ)。")</f>
        <v>生物学的標本における 1 型自然リンパ球の部分集団に対する 1 型自然リンパ球の部分集団の相対的な測定値 (比率またはパーセンテージ)。</v>
      </c>
      <c r="I800" s="3" t="str">
        <f ca="1">IFERROR(__xludf.DUMMYFUNCTION("googletranslate(F800,""en"",""ja"")"),"1 型自然リンパ球細胞亜集団と 1 型自然リンパ球細胞亜集団の比率の測定")</f>
        <v>1 型自然リンパ球細胞亜集団と 1 型自然リンパ球細胞亜集団の比率の測定</v>
      </c>
    </row>
    <row r="801" spans="1:9" ht="75">
      <c r="A801" s="3" t="s">
        <v>103</v>
      </c>
      <c r="B801" s="3" t="s">
        <v>3387</v>
      </c>
      <c r="C801" s="3" t="s">
        <v>3388</v>
      </c>
      <c r="D801" s="3" t="s">
        <v>3389</v>
      </c>
      <c r="E801" s="3" t="s">
        <v>3390</v>
      </c>
      <c r="F801" s="3" t="s">
        <v>3391</v>
      </c>
      <c r="G801" s="3" t="str">
        <f ca="1">IFERROR(__xludf.DUMMYFUNCTION("googletranslate(D801,""en"",""ja"")"),"ILC2 サブ母集団/ILC サブ母集団;生来の LC2 サブ/ILC サブ。自然リンパ球細胞タイプ 2 サブ集団/自然リンパ球細胞サブ集団")</f>
        <v>ILC2 サブ母集団/ILC サブ母集団;生来の LC2 サブ/ILC サブ。自然リンパ球細胞タイプ 2 サブ集団/自然リンパ球細胞サブ集団</v>
      </c>
      <c r="H801" s="3" t="str">
        <f ca="1">IFERROR(__xludf.DUMMYFUNCTION("googletranslate(E801,""en"",""ja"")"),"生物学的標本における自然リンパ球の部分集団に対する 2 型自然リンパ球の部分集団の相対的な測定値 (比率またはパーセンテージ)。")</f>
        <v>生物学的標本における自然リンパ球の部分集団に対する 2 型自然リンパ球の部分集団の相対的な測定値 (比率またはパーセンテージ)。</v>
      </c>
      <c r="I801" s="3" t="str">
        <f ca="1">IFERROR(__xludf.DUMMYFUNCTION("googletranslate(F801,""en"",""ja"")"),"タイプ 2 自然リンパ系細胞亜集団と自然リンパ系細胞亜集団の比率の測定")</f>
        <v>タイプ 2 自然リンパ系細胞亜集団と自然リンパ系細胞亜集団の比率の測定</v>
      </c>
    </row>
    <row r="802" spans="1:9" ht="75">
      <c r="A802" s="3" t="s">
        <v>103</v>
      </c>
      <c r="B802" s="3" t="s">
        <v>3392</v>
      </c>
      <c r="C802" s="3" t="s">
        <v>3393</v>
      </c>
      <c r="D802" s="3" t="s">
        <v>3394</v>
      </c>
      <c r="E802" s="3" t="s">
        <v>3395</v>
      </c>
      <c r="F802" s="3" t="s">
        <v>3396</v>
      </c>
      <c r="G802" s="3" t="str">
        <f ca="1">IFERROR(__xludf.DUMMYFUNCTION("googletranslate(D802,""en"",""ja"")"),"ILC2 サブ母集団/ILC2 サブ母集団;先天的LC2サブ/ILC2サブ;先天性リンパ系細胞タイプ 2 サブ集団/先天性リンパ系細胞タイプ 2 サブ集団")</f>
        <v>ILC2 サブ母集団/ILC2 サブ母集団;先天的LC2サブ/ILC2サブ;先天性リンパ系細胞タイプ 2 サブ集団/先天性リンパ系細胞タイプ 2 サブ集団</v>
      </c>
      <c r="H802" s="3" t="str">
        <f ca="1">IFERROR(__xludf.DUMMYFUNCTION("googletranslate(E802,""en"",""ja"")"),"生物学的標本における 2 型自然リンパ球の部分集団に対する 2 型自然リンパ球の部分集団の相対的な測定値 (比率またはパーセンテージ)。")</f>
        <v>生物学的標本における 2 型自然リンパ球の部分集団に対する 2 型自然リンパ球の部分集団の相対的な測定値 (比率またはパーセンテージ)。</v>
      </c>
      <c r="I802" s="3" t="str">
        <f ca="1">IFERROR(__xludf.DUMMYFUNCTION("googletranslate(F802,""en"",""ja"")"),"2 型自然リンパ球細胞亜集団と 2 型自然リンパ球細胞亜集団の比率の測定")</f>
        <v>2 型自然リンパ球細胞亜集団と 2 型自然リンパ球細胞亜集団の比率の測定</v>
      </c>
    </row>
    <row r="803" spans="1:9" ht="75">
      <c r="A803" s="3" t="s">
        <v>103</v>
      </c>
      <c r="B803" s="3" t="s">
        <v>3397</v>
      </c>
      <c r="C803" s="3" t="s">
        <v>3398</v>
      </c>
      <c r="D803" s="3" t="s">
        <v>3399</v>
      </c>
      <c r="E803" s="3" t="s">
        <v>3400</v>
      </c>
      <c r="F803" s="3" t="s">
        <v>3401</v>
      </c>
      <c r="G803" s="3" t="str">
        <f ca="1">IFERROR(__xludf.DUMMYFUNCTION("googletranslate(D803,""en"",""ja"")"),"ILC3 サブ母集団/ILC サブ母集団;生来の LC3 サブ/ILC サブ。自然リンパ球細胞タイプ 3 サブ集団/自然リンパ球細胞サブ集団")</f>
        <v>ILC3 サブ母集団/ILC サブ母集団;生来の LC3 サブ/ILC サブ。自然リンパ球細胞タイプ 3 サブ集団/自然リンパ球細胞サブ集団</v>
      </c>
      <c r="H803" s="3" t="str">
        <f ca="1">IFERROR(__xludf.DUMMYFUNCTION("googletranslate(E803,""en"",""ja"")"),"生物学的標本における自然リンパ球の部分集団に対する 3 型自然リンパ球の部分集団の相対的な測定値 (比率またはパーセンテージ)。")</f>
        <v>生物学的標本における自然リンパ球の部分集団に対する 3 型自然リンパ球の部分集団の相対的な測定値 (比率またはパーセンテージ)。</v>
      </c>
      <c r="I803" s="3" t="str">
        <f ca="1">IFERROR(__xludf.DUMMYFUNCTION("googletranslate(F803,""en"",""ja"")"),"タイプ 3 自然リンパ球細胞亜集団と自然リンパ球細胞亜集団の比率の測定")</f>
        <v>タイプ 3 自然リンパ球細胞亜集団と自然リンパ球細胞亜集団の比率の測定</v>
      </c>
    </row>
    <row r="804" spans="1:9" ht="75">
      <c r="A804" s="3" t="s">
        <v>103</v>
      </c>
      <c r="B804" s="3" t="s">
        <v>3402</v>
      </c>
      <c r="C804" s="3" t="s">
        <v>3403</v>
      </c>
      <c r="D804" s="3" t="s">
        <v>3404</v>
      </c>
      <c r="E804" s="3" t="s">
        <v>3405</v>
      </c>
      <c r="F804" s="3" t="s">
        <v>3406</v>
      </c>
      <c r="G804" s="3" t="str">
        <f ca="1">IFERROR(__xludf.DUMMYFUNCTION("googletranslate(D804,""en"",""ja"")"),"ILC3 サブ母集団/ILC3 サブ母集団;先天的LC3サブ/ILC3サブ。先天性リンパ系細胞タイプ 3 サブ集団/先天性リンパ系細胞タイプ 3 サブ集団")</f>
        <v>ILC3 サブ母集団/ILC3 サブ母集団;先天的LC3サブ/ILC3サブ。先天性リンパ系細胞タイプ 3 サブ集団/先天性リンパ系細胞タイプ 3 サブ集団</v>
      </c>
      <c r="H804" s="3" t="str">
        <f ca="1">IFERROR(__xludf.DUMMYFUNCTION("googletranslate(E804,""en"",""ja"")"),"生物学的標本における 3 型自然リンパ球の部分集団に対する 3 型自然リンパ球の部分集団の相対的な測定値 (比率またはパーセンテージ)。")</f>
        <v>生物学的標本における 3 型自然リンパ球の部分集団に対する 3 型自然リンパ球の部分集団の相対的な測定値 (比率またはパーセンテージ)。</v>
      </c>
      <c r="I804" s="3" t="str">
        <f ca="1">IFERROR(__xludf.DUMMYFUNCTION("googletranslate(F804,""en"",""ja"")"),"3 型自然リンパ球細胞亜集団と 3 型自然リンパ球細胞亜集団の比率の測定")</f>
        <v>3 型自然リンパ球細胞亜集団と 3 型自然リンパ球細胞亜集団の比率の測定</v>
      </c>
    </row>
    <row r="805" spans="1:9" ht="105">
      <c r="A805" s="3" t="s">
        <v>103</v>
      </c>
      <c r="B805" s="3" t="s">
        <v>3407</v>
      </c>
      <c r="C805" s="3" t="s">
        <v>3408</v>
      </c>
      <c r="D805" s="3" t="s">
        <v>3409</v>
      </c>
      <c r="E805" s="3" t="s">
        <v>3410</v>
      </c>
      <c r="F805" s="3" t="s">
        <v>3411</v>
      </c>
      <c r="G805" s="3" t="str">
        <f ca="1">IFERROR(__xludf.DUMMYFUNCTION("googletranslate(D805,""en"",""ja"")"),"iNKT サブ母集団/iNKT サブ母集団;ナチュラルキラー T リンパ球不変サブ集団/ナチュラルキラー T リンパ球不変サブ集団; NK TLym インバー サブ/NKT インバー サブ")</f>
        <v>iNKT サブ母集団/iNKT サブ母集団;ナチュラルキラー T リンパ球不変サブ集団/ナチュラルキラー T リンパ球不変サブ集団; NK TLym インバー サブ/NKT インバー サブ</v>
      </c>
      <c r="H805" s="3" t="str">
        <f ca="1">IFERROR(__xludf.DUMMYFUNCTION("googletranslate(E805,""en"",""ja"")"),"生物学的標本における不変ナチュラルキラー T リンパ球の部分集団に対する、不変ナチュラルキラー T リンパ球の部分集団の相対測定値 (比率またはパーセンテージ)。")</f>
        <v>生物学的標本における不変ナチュラルキラー T リンパ球の部分集団に対する、不変ナチュラルキラー T リンパ球の部分集団の相対測定値 (比率またはパーセンテージ)。</v>
      </c>
      <c r="I805" s="3" t="str">
        <f ca="1">IFERROR(__xludf.DUMMYFUNCTION("googletranslate(F805,""en"",""ja"")"),"インバリアント ナチュラルキラー T リンパ球サブ集団とインバリアント ナチュラル キラー T リンパ球サブ集団の比率の測定")</f>
        <v>インバリアント ナチュラルキラー T リンパ球サブ集団とインバリアント ナチュラル キラー T リンパ球サブ集団の比率の測定</v>
      </c>
    </row>
    <row r="806" spans="1:9" ht="90">
      <c r="A806" s="3" t="s">
        <v>103</v>
      </c>
      <c r="B806" s="3" t="s">
        <v>3412</v>
      </c>
      <c r="C806" s="3" t="s">
        <v>3413</v>
      </c>
      <c r="D806" s="3" t="s">
        <v>3414</v>
      </c>
      <c r="E806" s="3" t="s">
        <v>3415</v>
      </c>
      <c r="F806" s="3" t="s">
        <v>3416</v>
      </c>
      <c r="G806" s="3" t="str">
        <f ca="1">IFERROR(__xludf.DUMMYFUNCTION("googletranslate(D806,""en"",""ja"")"),"T リンパ球ヘルパー末梢亜集団/T リンパ球ヘルパー末梢亜集団; TLym ヘルプ周辺機器サブ/TLym ヘルプ サブ; TLym ヘルプ ペリフェラル サブ/TLymHPS; Tph サブ/Tph サブ")</f>
        <v>T リンパ球ヘルパー末梢亜集団/T リンパ球ヘルパー末梢亜集団; TLym ヘルプ周辺機器サブ/TLym ヘルプ サブ; TLym ヘルプ ペリフェラル サブ/TLymHPS; Tph サブ/Tph サブ</v>
      </c>
      <c r="H806" s="3" t="str">
        <f ca="1">IFERROR(__xludf.DUMMYFUNCTION("googletranslate(E806,""en"",""ja"")"),"生物学的標本における末梢ヘルパー T リンパ球の部分集団に対する末梢ヘルパー T リンパ球の部分集団の相対測定値 (比率またはパーセンテージ)。")</f>
        <v>生物学的標本における末梢ヘルパー T リンパ球の部分集団に対する末梢ヘルパー T リンパ球の部分集団の相対測定値 (比率またはパーセンテージ)。</v>
      </c>
      <c r="I806" s="3" t="str">
        <f ca="1">IFERROR(__xludf.DUMMYFUNCTION("googletranslate(F806,""en"",""ja"")"),"末梢ヘルパー T リンパ球部分集団と末梢ヘルパー T リンパ球部分集団の比率の測定")</f>
        <v>末梢ヘルパー T リンパ球部分集団と末梢ヘルパー T リンパ球部分集団の比率の測定</v>
      </c>
    </row>
    <row r="807" spans="1:9" ht="105">
      <c r="A807" s="3" t="s">
        <v>103</v>
      </c>
      <c r="B807" s="3" t="s">
        <v>3417</v>
      </c>
      <c r="C807" s="3" t="s">
        <v>3418</v>
      </c>
      <c r="D807" s="3" t="s">
        <v>3419</v>
      </c>
      <c r="E807" s="3" t="s">
        <v>3420</v>
      </c>
      <c r="F807" s="3" t="s">
        <v>3421</v>
      </c>
      <c r="G807" s="3" t="str">
        <f ca="1">IFERROR(__xludf.DUMMYFUNCTION("googletranslate(D807,""en"",""ja"")"),"T リンパ球ヘルパー末梢サブ集団/T リンパ球ヘルパー記憶サブ集団。 TLym ヘルプ ペリフェラル サブ/TLym ヘルプ メモリ サブ; TLym ヘルプ ペリフェラル サブ/TLymHMS; Tph Sub/TLym ヘルプ Mem Sub")</f>
        <v>T リンパ球ヘルパー末梢サブ集団/T リンパ球ヘルパー記憶サブ集団。 TLym ヘルプ ペリフェラル サブ/TLym ヘルプ メモリ サブ; TLym ヘルプ ペリフェラル サブ/TLymHMS; Tph Sub/TLym ヘルプ Mem Sub</v>
      </c>
      <c r="H807" s="3" t="str">
        <f ca="1">IFERROR(__xludf.DUMMYFUNCTION("googletranslate(E807,""en"",""ja"")"),"生物学的標本における記憶ヘルパー T リンパ球の部分集団に対する末梢ヘルパー T リンパ球の部分集団の相対測定値 (比率またはパーセンテージ)。")</f>
        <v>生物学的標本における記憶ヘルパー T リンパ球の部分集団に対する末梢ヘルパー T リンパ球の部分集団の相対測定値 (比率またはパーセンテージ)。</v>
      </c>
      <c r="I807" s="3" t="str">
        <f ca="1">IFERROR(__xludf.DUMMYFUNCTION("googletranslate(F807,""en"",""ja"")"),"末梢ヘルパー T リンパ球部分集団とヘルパー記憶 T リンパ球部分集団の比率の測定")</f>
        <v>末梢ヘルパー T リンパ球部分集団とヘルパー記憶 T リンパ球部分集団の比率の測定</v>
      </c>
    </row>
    <row r="808" spans="1:9" ht="120">
      <c r="A808" s="3" t="s">
        <v>103</v>
      </c>
      <c r="B808" s="3" t="s">
        <v>3422</v>
      </c>
      <c r="C808" s="3" t="s">
        <v>3423</v>
      </c>
      <c r="D808" s="3" t="s">
        <v>3424</v>
      </c>
      <c r="E808" s="3" t="s">
        <v>3425</v>
      </c>
      <c r="F808" s="3" t="s">
        <v>3426</v>
      </c>
      <c r="G808" s="3" t="str">
        <f ca="1">IFERROR(__xludf.DUMMYFUNCTION("googletranslate(D808,""en"",""ja"")"),"T リンパ球細胞毒性中枢記憶腸ホーミング サブ集団/T リンパ球細胞毒性中枢記憶腸ホーミング サブ集団。 TLym Cytx Cen Mem GH サブ/TLym Cytx Cen Mem GH サブ; TLym Cytx Cen Mem GH Sub/TLymCCMGHS")</f>
        <v>T リンパ球細胞毒性中枢記憶腸ホーミング サブ集団/T リンパ球細胞毒性中枢記憶腸ホーミング サブ集団。 TLym Cytx Cen Mem GH サブ/TLym Cytx Cen Mem GH サブ; TLym Cytx Cen Mem GH Sub/TLymCCMGHS</v>
      </c>
      <c r="H808" s="3" t="str">
        <f ca="1">IFERROR(__xludf.DUMMYFUNCTION("googletranslate(E808,""en"",""ja"")"),"生物学的標本中の腸ホーミング細胞傷害性中央記憶 T リンパ球の亜集団に対する腸ホーミング細胞傷害性中央記憶 T リンパ球の亜集団の相対測定値 (比率またはパーセンテージ)。")</f>
        <v>生物学的標本中の腸ホーミング細胞傷害性中央記憶 T リンパ球の亜集団に対する腸ホーミング細胞傷害性中央記憶 T リンパ球の亜集団の相対測定値 (比率またはパーセンテージ)。</v>
      </c>
      <c r="I808" s="3" t="str">
        <f ca="1">IFERROR(__xludf.DUMMYFUNCTION("googletranslate(F808,""en"",""ja"")"),"腸ホーミング細胞傷害性セントラルメモリー T リンパ球サブ集団と腸ホーミング細胞傷害性セントラルメモリー T リンパ球サブ集団の比率の測定")</f>
        <v>腸ホーミング細胞傷害性セントラルメモリー T リンパ球サブ集団と腸ホーミング細胞傷害性セントラルメモリー T リンパ球サブ集団の比率の測定</v>
      </c>
    </row>
    <row r="809" spans="1:9" ht="120">
      <c r="A809" s="3" t="s">
        <v>103</v>
      </c>
      <c r="B809" s="3" t="s">
        <v>3427</v>
      </c>
      <c r="C809" s="3" t="s">
        <v>3428</v>
      </c>
      <c r="D809" s="3" t="s">
        <v>3429</v>
      </c>
      <c r="E809" s="3" t="s">
        <v>3430</v>
      </c>
      <c r="F809" s="3" t="s">
        <v>3431</v>
      </c>
      <c r="G809" s="3" t="str">
        <f ca="1">IFERROR(__xludf.DUMMYFUNCTION("googletranslate(D809,""en"",""ja"")"),"T リンパ球細胞傷害性セントラル メモリー スキン ホーミング サブ集団/T リンパ球細胞傷害性セントラル メモリー スキン ホーミング サブ集団。 TLym Cytx Cen Mem SH サブ/TLym Cytx Cen Mem SH サブ; TLym Cytx Cen Mem SH Sub/TLymCCMSHS")</f>
        <v>T リンパ球細胞傷害性セントラル メモリー スキン ホーミング サブ集団/T リンパ球細胞傷害性セントラル メモリー スキン ホーミング サブ集団。 TLym Cytx Cen Mem SH サブ/TLym Cytx Cen Mem SH サブ; TLym Cytx Cen Mem SH Sub/TLymCCMSHS</v>
      </c>
      <c r="H809" s="3" t="str">
        <f ca="1">IFERROR(__xludf.DUMMYFUNCTION("googletranslate(E809,""en"",""ja"")"),"生物学的標本における皮膚ホーミング細胞傷害性中央記憶 T リンパ球の亜集団に対する皮膚ホーミング細胞傷害性中央記憶 T リンパ球の亜集団の相対測定値 (比率またはパーセンテージ)。")</f>
        <v>生物学的標本における皮膚ホーミング細胞傷害性中央記憶 T リンパ球の亜集団に対する皮膚ホーミング細胞傷害性中央記憶 T リンパ球の亜集団の相対測定値 (比率またはパーセンテージ)。</v>
      </c>
      <c r="I809" s="3" t="str">
        <f ca="1">IFERROR(__xludf.DUMMYFUNCTION("googletranslate(F809,""en"",""ja"")"),"スキンホーミング細胞傷害性セントラルメモリーTリンパ球サブ集団とスキンホーミング細胞傷害性セントラルメモリーTリンパ球サブ集団の比率の測定")</f>
        <v>スキンホーミング細胞傷害性セントラルメモリーTリンパ球サブ集団とスキンホーミング細胞傷害性セントラルメモリーTリンパ球サブ集団の比率の測定</v>
      </c>
    </row>
    <row r="810" spans="1:9" ht="90">
      <c r="A810" s="3" t="s">
        <v>103</v>
      </c>
      <c r="B810" s="3" t="s">
        <v>3432</v>
      </c>
      <c r="C810" s="3" t="s">
        <v>3433</v>
      </c>
      <c r="D810" s="3" t="s">
        <v>3434</v>
      </c>
      <c r="E810" s="3" t="s">
        <v>3435</v>
      </c>
      <c r="F810" s="3" t="s">
        <v>3436</v>
      </c>
      <c r="G810" s="3" t="str">
        <f ca="1">IFERROR(__xludf.DUMMYFUNCTION("googletranslate(D810,""en"",""ja"")"),"T リンパ球細胞傷害性中央記憶サブ集団/T リンパ球中央記憶サブ集団; TLym Cytx Cen Mem サブ/TLym Cytx Cen Mem サブ; TLym Cytx Cen Mem Sub/TLymCCMS")</f>
        <v>T リンパ球細胞傷害性中央記憶サブ集団/T リンパ球中央記憶サブ集団; TLym Cytx Cen Mem サブ/TLym Cytx Cen Mem サブ; TLym Cytx Cen Mem Sub/TLymCCMS</v>
      </c>
      <c r="H810" s="3" t="str">
        <f ca="1">IFERROR(__xludf.DUMMYFUNCTION("googletranslate(E810,""en"",""ja"")"),"生物学的標本における細胞傷害性中枢記憶 T リンパ球の亜集団に対する細胞傷害性中枢記憶 T リンパ球の亜集団の相対測定値 (比率またはパーセンテージ)。")</f>
        <v>生物学的標本における細胞傷害性中枢記憶 T リンパ球の亜集団に対する細胞傷害性中枢記憶 T リンパ球の亜集団の相対測定値 (比率またはパーセンテージ)。</v>
      </c>
      <c r="I810" s="3" t="str">
        <f ca="1">IFERROR(__xludf.DUMMYFUNCTION("googletranslate(F810,""en"",""ja"")"),"中央記憶細胞傷害性 T リンパ球部分集団と中央記憶細胞傷害性 T リンパ球部分集団の比率の測定")</f>
        <v>中央記憶細胞傷害性 T リンパ球部分集団と中央記憶細胞傷害性 T リンパ球部分集団の比率の測定</v>
      </c>
    </row>
    <row r="811" spans="1:9" ht="120">
      <c r="A811" s="3" t="s">
        <v>103</v>
      </c>
      <c r="B811" s="3" t="s">
        <v>3437</v>
      </c>
      <c r="C811" s="3" t="s">
        <v>3438</v>
      </c>
      <c r="D811" s="3" t="s">
        <v>3439</v>
      </c>
      <c r="E811" s="3" t="s">
        <v>3440</v>
      </c>
      <c r="F811" s="3" t="s">
        <v>3441</v>
      </c>
      <c r="G811" s="3" t="str">
        <f ca="1">IFERROR(__xludf.DUMMYFUNCTION("googletranslate(D811,""en"",""ja"")"),"T リンパ球細胞傷害性エフェクター記憶腸ホーミング サブ集団/T リンパ球細胞傷害性エフェクター記憶腸ホーミング サブ集団; TLym Cytx Eff Mem GH サブ/TLym Cytx Eff Mem GH サブ; TLym Cytx Eff Mem GH Sub/TLymCEMGHS")</f>
        <v>T リンパ球細胞傷害性エフェクター記憶腸ホーミング サブ集団/T リンパ球細胞傷害性エフェクター記憶腸ホーミング サブ集団; TLym Cytx Eff Mem GH サブ/TLym Cytx Eff Mem GH サブ; TLym Cytx Eff Mem GH Sub/TLymCEMGHS</v>
      </c>
      <c r="H811" s="3" t="str">
        <f ca="1">IFERROR(__xludf.DUMMYFUNCTION("googletranslate(E811,""en"",""ja"")"),"生物学的標本中の腸ホーミング細胞傷害性エフェクターメモリー T リンパ球の部分集団に対する腸ホーミング細胞傷害性エフェクターメモリー T リンパ球の部分集団の相対測定値 (比率またはパーセンテージ)。")</f>
        <v>生物学的標本中の腸ホーミング細胞傷害性エフェクターメモリー T リンパ球の部分集団に対する腸ホーミング細胞傷害性エフェクターメモリー T リンパ球の部分集団の相対測定値 (比率またはパーセンテージ)。</v>
      </c>
      <c r="I811" s="3" t="str">
        <f ca="1">IFERROR(__xludf.DUMMYFUNCTION("googletranslate(F811,""en"",""ja"")"),"腸ホーミング細胞傷害性エフェクター記憶 T リンパ球部分集団と腸ホーミング細胞傷害性エフェクター記憶 T リンパ球部分集団の比率の測定")</f>
        <v>腸ホーミング細胞傷害性エフェクター記憶 T リンパ球部分集団と腸ホーミング細胞傷害性エフェクター記憶 T リンパ球部分集団の比率の測定</v>
      </c>
    </row>
    <row r="812" spans="1:9" ht="120">
      <c r="A812" s="3" t="s">
        <v>103</v>
      </c>
      <c r="B812" s="3" t="s">
        <v>3442</v>
      </c>
      <c r="C812" s="3" t="s">
        <v>3443</v>
      </c>
      <c r="D812" s="3" t="s">
        <v>3444</v>
      </c>
      <c r="E812" s="3" t="s">
        <v>3445</v>
      </c>
      <c r="F812" s="3" t="s">
        <v>3446</v>
      </c>
      <c r="G812" s="3" t="str">
        <f ca="1">IFERROR(__xludf.DUMMYFUNCTION("googletranslate(D812,""en"",""ja"")"),"T リンパ球細胞傷害性エフェクター メモリー スキン ホーミング サブ集団/T リンパ球細胞傷害性エフェクター メモリー スキン ホーミング サブ集団; TLym Cytx Eff Mem SH サブ/TLym Cytx Eff Mem SH サブ; TLym Cytx Eff Mem SH Sub/TLymCEMSHS")</f>
        <v>T リンパ球細胞傷害性エフェクター メモリー スキン ホーミング サブ集団/T リンパ球細胞傷害性エフェクター メモリー スキン ホーミング サブ集団; TLym Cytx Eff Mem SH サブ/TLym Cytx Eff Mem SH サブ; TLym Cytx Eff Mem SH Sub/TLymCEMSHS</v>
      </c>
      <c r="H812" s="3" t="str">
        <f ca="1">IFERROR(__xludf.DUMMYFUNCTION("googletranslate(E812,""en"",""ja"")"),"生物学的標本における皮膚ホーミング細胞傷害性エフェクター記憶 T リンパ球の亜集団に対する皮膚ホーミング細胞傷害性エフェクター記憶 T リンパ球の亜集団の相対測定値 (比率またはパーセンテージ)。")</f>
        <v>生物学的標本における皮膚ホーミング細胞傷害性エフェクター記憶 T リンパ球の亜集団に対する皮膚ホーミング細胞傷害性エフェクター記憶 T リンパ球の亜集団の相対測定値 (比率またはパーセンテージ)。</v>
      </c>
      <c r="I812" s="3" t="str">
        <f ca="1">IFERROR(__xludf.DUMMYFUNCTION("googletranslate(F812,""en"",""ja"")"),"皮膚ホーミング細胞傷害性エフェクターメモリーTリンパ球部分集団と皮膚ホーミング細胞傷害性エフェクターメモリーTリンパ球部分集団の比率の測定")</f>
        <v>皮膚ホーミング細胞傷害性エフェクターメモリーTリンパ球部分集団と皮膚ホーミング細胞傷害性エフェクターメモリーTリンパ球部分集団の比率の測定</v>
      </c>
    </row>
    <row r="813" spans="1:9" ht="105">
      <c r="A813" s="3" t="s">
        <v>103</v>
      </c>
      <c r="B813" s="3" t="s">
        <v>3447</v>
      </c>
      <c r="C813" s="3" t="s">
        <v>3448</v>
      </c>
      <c r="D813" s="3" t="s">
        <v>3449</v>
      </c>
      <c r="E813" s="3" t="s">
        <v>3450</v>
      </c>
      <c r="F813" s="3" t="s">
        <v>3451</v>
      </c>
      <c r="G813" s="3" t="str">
        <f ca="1">IFERROR(__xludf.DUMMYFUNCTION("googletranslate(D813,""en"",""ja"")"),"T リンパ球細胞傷害性記憶腸ホーミング サブ集団/T リンパ球細胞傷害性記憶腸ホーミング サブ集団; TLym Cytx Mem GH サブ/TLym Cytx Mem GH サブ; TLym Cytx Mem GH サブ/TLymCMGHS")</f>
        <v>T リンパ球細胞傷害性記憶腸ホーミング サブ集団/T リンパ球細胞傷害性記憶腸ホーミング サブ集団; TLym Cytx Mem GH サブ/TLym Cytx Mem GH サブ; TLym Cytx Mem GH サブ/TLymCMGHS</v>
      </c>
      <c r="H813" s="3" t="str">
        <f ca="1">IFERROR(__xludf.DUMMYFUNCTION("googletranslate(E813,""en"",""ja"")"),"生物学的検体中の腸ホーミング細胞傷害性メモリー T リンパ球の亜集団に対する腸ホーミング細胞傷害性メモリー T リンパ球の亜集団の相対測定値 (比率またはパーセンテージ)。")</f>
        <v>生物学的検体中の腸ホーミング細胞傷害性メモリー T リンパ球の亜集団に対する腸ホーミング細胞傷害性メモリー T リンパ球の亜集団の相対測定値 (比率またはパーセンテージ)。</v>
      </c>
      <c r="I813" s="3" t="str">
        <f ca="1">IFERROR(__xludf.DUMMYFUNCTION("googletranslate(F813,""en"",""ja"")"),"腸ホーミング細胞傷害性記憶 T リンパ球亜集団と腸ホーミング細胞傷害性記憶 T リンパ球亜集団の比率の測定")</f>
        <v>腸ホーミング細胞傷害性記憶 T リンパ球亜集団と腸ホーミング細胞傷害性記憶 T リンパ球亜集団の比率の測定</v>
      </c>
    </row>
    <row r="814" spans="1:9" ht="105">
      <c r="A814" s="3" t="s">
        <v>103</v>
      </c>
      <c r="B814" s="3" t="s">
        <v>3452</v>
      </c>
      <c r="C814" s="3" t="s">
        <v>3453</v>
      </c>
      <c r="D814" s="3" t="s">
        <v>3454</v>
      </c>
      <c r="E814" s="3" t="s">
        <v>3455</v>
      </c>
      <c r="F814" s="3" t="s">
        <v>3456</v>
      </c>
      <c r="G814" s="3" t="str">
        <f ca="1">IFERROR(__xludf.DUMMYFUNCTION("googletranslate(D814,""en"",""ja"")"),"T リンパ球細胞傷害性記憶スキン ホーミング サブ集団/T リンパ球細胞傷害性記憶スキン ホーミング サブ集団。 TLym Cytx Mem SH サブ/TLym Cytx Mem SH サブ; TLym Cytx Mem SH サブ/TLymCMSHS")</f>
        <v>T リンパ球細胞傷害性記憶スキン ホーミング サブ集団/T リンパ球細胞傷害性記憶スキン ホーミング サブ集団。 TLym Cytx Mem SH サブ/TLym Cytx Mem SH サブ; TLym Cytx Mem SH サブ/TLymCMSHS</v>
      </c>
      <c r="H814" s="3" t="str">
        <f ca="1">IFERROR(__xludf.DUMMYFUNCTION("googletranslate(E814,""en"",""ja"")"),"生物学的標本における皮膚ホーミング細胞傷害性メモリー T リンパ球の亜集団に対する皮膚ホーミング細胞傷害性メモリー T リンパ球の亜集団の相対測定値 (比率またはパーセンテージ)。")</f>
        <v>生物学的標本における皮膚ホーミング細胞傷害性メモリー T リンパ球の亜集団に対する皮膚ホーミング細胞傷害性メモリー T リンパ球の亜集団の相対測定値 (比率またはパーセンテージ)。</v>
      </c>
      <c r="I814" s="3" t="str">
        <f ca="1">IFERROR(__xludf.DUMMYFUNCTION("googletranslate(F814,""en"",""ja"")"),"皮膚ホーミング細胞傷害性記憶 T リンパ球亜集団と皮膚ホーミング細胞傷害性記憶 T リンパ球亜集団の比率の測定")</f>
        <v>皮膚ホーミング細胞傷害性記憶 T リンパ球亜集団と皮膚ホーミング細胞傷害性記憶 T リンパ球亜集団の比率の測定</v>
      </c>
    </row>
    <row r="815" spans="1:9" ht="90">
      <c r="A815" s="3" t="s">
        <v>103</v>
      </c>
      <c r="B815" s="3" t="s">
        <v>3457</v>
      </c>
      <c r="C815" s="3" t="s">
        <v>3458</v>
      </c>
      <c r="D815" s="3" t="s">
        <v>3459</v>
      </c>
      <c r="E815" s="3" t="s">
        <v>3460</v>
      </c>
      <c r="F815" s="3" t="s">
        <v>3461</v>
      </c>
      <c r="G815" s="3" t="str">
        <f ca="1">IFERROR(__xludf.DUMMYFUNCTION("googletranslate(D815,""en"",""ja"")"),"T リンパ球細胞傷害性ナイーブ サブ集団/T リンパ球細胞傷害性ナイーブ サブ集団; TLym Cytx ナイーブ サブ/TLym Cytx ナイーブ サブ; TLym Cytx ナイーブ サブ/TLymCNS")</f>
        <v>T リンパ球細胞傷害性ナイーブ サブ集団/T リンパ球細胞傷害性ナイーブ サブ集団; TLym Cytx ナイーブ サブ/TLym Cytx ナイーブ サブ; TLym Cytx ナイーブ サブ/TLymCNS</v>
      </c>
      <c r="H815" s="3" t="str">
        <f ca="1">IFERROR(__xludf.DUMMYFUNCTION("googletranslate(E815,""en"",""ja"")"),"生物学的検体中の細胞傷害性ナイーブ T リンパ球の部分集団に対する細胞傷害性ナイーブ T リンパ球の部分集団の相対測定値 (比率またはパーセンテージ)。")</f>
        <v>生物学的検体中の細胞傷害性ナイーブ T リンパ球の部分集団に対する細胞傷害性ナイーブ T リンパ球の部分集団の相対測定値 (比率またはパーセンテージ)。</v>
      </c>
      <c r="I815" s="3" t="str">
        <f ca="1">IFERROR(__xludf.DUMMYFUNCTION("googletranslate(F815,""en"",""ja"")"),"ナイーブ細胞傷害性 T リンパ球部分集団とナイーブ細胞傷害性 T リンパ球部分集団の比率の測定")</f>
        <v>ナイーブ細胞傷害性 T リンパ球部分集団とナイーブ細胞傷害性 T リンパ球部分集団の比率の測定</v>
      </c>
    </row>
    <row r="816" spans="1:9" ht="105">
      <c r="A816" s="3" t="s">
        <v>103</v>
      </c>
      <c r="B816" s="3" t="s">
        <v>3462</v>
      </c>
      <c r="C816" s="3" t="s">
        <v>3463</v>
      </c>
      <c r="D816" s="3" t="s">
        <v>3464</v>
      </c>
      <c r="E816" s="3" t="s">
        <v>3465</v>
      </c>
      <c r="F816" s="3" t="s">
        <v>3466</v>
      </c>
      <c r="G816" s="3" t="str">
        <f ca="1">IFERROR(__xludf.DUMMYFUNCTION("googletranslate(D816,""en"",""ja"")"),"T リンパ球細胞傷害性幹細胞記憶サブ集団/T リンパ球細胞傷害性幹細胞記憶サブ集団; TLym Cytx SC メモリ サブ/TLym Cytx SC メモリ サブ; TLym Cytx SC メモリ サブ/TLymCSCMS")</f>
        <v>T リンパ球細胞傷害性幹細胞記憶サブ集団/T リンパ球細胞傷害性幹細胞記憶サブ集団; TLym Cytx SC メモリ サブ/TLym Cytx SC メモリ サブ; TLym Cytx SC メモリ サブ/TLymCSCMS</v>
      </c>
      <c r="H816" s="3" t="str">
        <f ca="1">IFERROR(__xludf.DUMMYFUNCTION("googletranslate(E816,""en"",""ja"")"),"生物学的標本における細胞傷害性幹細胞メモリー T リンパ球の部分集団に対する細胞傷害性幹細胞メモリー T リンパ球の部分集団の相対測定値 (比率またはパーセンテージ)。")</f>
        <v>生物学的標本における細胞傷害性幹細胞メモリー T リンパ球の部分集団に対する細胞傷害性幹細胞メモリー T リンパ球の部分集団の相対測定値 (比率またはパーセンテージ)。</v>
      </c>
      <c r="I816" s="3" t="str">
        <f ca="1">IFERROR(__xludf.DUMMYFUNCTION("googletranslate(F816,""en"",""ja"")"),"幹細胞記憶細胞傷害性 T リンパ球部分集団と幹細胞記憶細胞傷害性 T リンパ球部分集団の比率の測定")</f>
        <v>幹細胞記憶細胞傷害性 T リンパ球部分集団と幹細胞記憶細胞傷害性 T リンパ球部分集団の比率の測定</v>
      </c>
    </row>
    <row r="817" spans="1:9" ht="120">
      <c r="A817" s="3" t="s">
        <v>103</v>
      </c>
      <c r="B817" s="3" t="s">
        <v>3467</v>
      </c>
      <c r="C817" s="3" t="s">
        <v>3468</v>
      </c>
      <c r="D817" s="3" t="s">
        <v>3469</v>
      </c>
      <c r="E817" s="3" t="s">
        <v>3470</v>
      </c>
      <c r="F817" s="3" t="s">
        <v>3471</v>
      </c>
      <c r="G817" s="3" t="str">
        <f ca="1">IFERROR(__xludf.DUMMYFUNCTION("googletranslate(D817,""en"",""ja"")"),"T リンパ球細胞傷害性終末記憶腸ホーミング サブ集団/T リンパ球細胞傷害性終末記憶腸ホーミング サブ集団。 TLym Cytx 用語 Mem GH サブ/TLym Cytx 用語 Mem GH サブ; TLym Cytx 用語 Mem GH Sub/TLymCTMGHS")</f>
        <v>T リンパ球細胞傷害性終末記憶腸ホーミング サブ集団/T リンパ球細胞傷害性終末記憶腸ホーミング サブ集団。 TLym Cytx 用語 Mem GH サブ/TLym Cytx 用語 Mem GH サブ; TLym Cytx 用語 Mem GH Sub/TLymCTMGHS</v>
      </c>
      <c r="H817" s="3" t="str">
        <f ca="1">IFERROR(__xludf.DUMMYFUNCTION("googletranslate(E817,""en"",""ja"")"),"生物学的標本中の腸ホーミング細胞傷害性終末記憶 T リンパ球の亜集団に対する腸ホーミング細胞傷害性終末記憶 T リンパ球の亜集団の相対測定値 (比率またはパーセンテージ)。")</f>
        <v>生物学的標本中の腸ホーミング細胞傷害性終末記憶 T リンパ球の亜集団に対する腸ホーミング細胞傷害性終末記憶 T リンパ球の亜集団の相対測定値 (比率またはパーセンテージ)。</v>
      </c>
      <c r="I817" s="3" t="str">
        <f ca="1">IFERROR(__xludf.DUMMYFUNCTION("googletranslate(F817,""en"",""ja"")"),"腸ホーミング細胞傷害性末端記憶 T リンパ球亜集団と腸ホーミング細胞傷害性末端記憶 T リンパ球亜集団の比率の測定")</f>
        <v>腸ホーミング細胞傷害性末端記憶 T リンパ球亜集団と腸ホーミング細胞傷害性末端記憶 T リンパ球亜集団の比率の測定</v>
      </c>
    </row>
    <row r="818" spans="1:9" ht="120">
      <c r="A818" s="3" t="s">
        <v>103</v>
      </c>
      <c r="B818" s="3" t="s">
        <v>3472</v>
      </c>
      <c r="C818" s="3" t="s">
        <v>3473</v>
      </c>
      <c r="D818" s="3" t="s">
        <v>3474</v>
      </c>
      <c r="E818" s="3" t="s">
        <v>3475</v>
      </c>
      <c r="F818" s="3" t="s">
        <v>3476</v>
      </c>
      <c r="G818" s="3" t="str">
        <f ca="1">IFERROR(__xludf.DUMMYFUNCTION("googletranslate(D818,""en"",""ja"")"),"T リンパ球細胞傷害性終末記憶スキン ホーミング サブ集団/T リンパ球細胞傷害性終末記憶スキン ホーミング サブ集団。 TLym Cytx Term Mem SH Sub/TLym Cytx Term Mem SH Sub; TLym Cytx Term Mem SH Sub/TLymCTMSHS")</f>
        <v>T リンパ球細胞傷害性終末記憶スキン ホーミング サブ集団/T リンパ球細胞傷害性終末記憶スキン ホーミング サブ集団。 TLym Cytx Term Mem SH Sub/TLym Cytx Term Mem SH Sub; TLym Cytx Term Mem SH Sub/TLymCTMSHS</v>
      </c>
      <c r="H818" s="3" t="str">
        <f ca="1">IFERROR(__xludf.DUMMYFUNCTION("googletranslate(E818,""en"",""ja"")"),"生物学的標本における皮膚ホーミング細胞傷害性終末記憶 T リンパ球の亜集団に対する皮膚ホーミング細胞傷害性終末記憶 T リンパ球の亜集団の相対測定値 (比率またはパーセンテージ)。")</f>
        <v>生物学的標本における皮膚ホーミング細胞傷害性終末記憶 T リンパ球の亜集団に対する皮膚ホーミング細胞傷害性終末記憶 T リンパ球の亜集団の相対測定値 (比率またはパーセンテージ)。</v>
      </c>
      <c r="I818" s="3" t="str">
        <f ca="1">IFERROR(__xludf.DUMMYFUNCTION("googletranslate(F818,""en"",""ja"")"),"皮膚ホーミング細胞傷害性終末記憶 T リンパ球亜集団と皮膚ホーミング細胞傷害性終末記憶 T リンパ球亜集団の比率の測定")</f>
        <v>皮膚ホーミング細胞傷害性終末記憶 T リンパ球亜集団と皮膚ホーミング細胞傷害性終末記憶 T リンパ球亜集団の比率の測定</v>
      </c>
    </row>
    <row r="819" spans="1:9" ht="105">
      <c r="A819" s="3" t="s">
        <v>103</v>
      </c>
      <c r="B819" s="3" t="s">
        <v>3477</v>
      </c>
      <c r="C819" s="3" t="s">
        <v>3478</v>
      </c>
      <c r="D819" s="3" t="s">
        <v>3479</v>
      </c>
      <c r="E819" s="3" t="s">
        <v>3480</v>
      </c>
      <c r="F819" s="3" t="s">
        <v>3481</v>
      </c>
      <c r="G819" s="3" t="str">
        <f ca="1">IFERROR(__xludf.DUMMYFUNCTION("googletranslate(D819,""en"",""ja"")"),"T リンパ球細胞傷害性終末記憶サブ集団/T リンパ球細胞傷害性終末記憶サブ集団; TLym Cytx Term Mem Sub/TLym Cytx Term Mem Sub; TLym Cytx 用語 Mem Sub/TLymCTMS")</f>
        <v>T リンパ球細胞傷害性終末記憶サブ集団/T リンパ球細胞傷害性終末記憶サブ集団; TLym Cytx Term Mem Sub/TLym Cytx Term Mem Sub; TLym Cytx 用語 Mem Sub/TLymCTMS</v>
      </c>
      <c r="H819" s="3" t="str">
        <f ca="1">IFERROR(__xludf.DUMMYFUNCTION("googletranslate(E819,""en"",""ja"")"),"生物学的検体中の細胞傷害性終末記憶 T リンパ球の亜集団に対する細胞傷害性終末記憶 T リンパ球の亜集団の相対測定値 (比率またはパーセンテージ)。")</f>
        <v>生物学的検体中の細胞傷害性終末記憶 T リンパ球の亜集団に対する細胞傷害性終末記憶 T リンパ球の亜集団の相対測定値 (比率またはパーセンテージ)。</v>
      </c>
      <c r="I819" s="3" t="str">
        <f ca="1">IFERROR(__xludf.DUMMYFUNCTION("googletranslate(F819,""en"",""ja"")"),"終末記憶細胞傷害性 T リンパ球亜集団と終末記憶細胞傷害性 T リンパ球亜集団の比率の測定")</f>
        <v>終末記憶細胞傷害性 T リンパ球亜集団と終末記憶細胞傷害性 T リンパ球亜集団の比率の測定</v>
      </c>
    </row>
    <row r="820" spans="1:9" ht="120">
      <c r="A820" s="3" t="s">
        <v>103</v>
      </c>
      <c r="B820" s="3" t="s">
        <v>3482</v>
      </c>
      <c r="C820" s="3" t="s">
        <v>3483</v>
      </c>
      <c r="D820" s="3" t="s">
        <v>3484</v>
      </c>
      <c r="E820" s="3" t="s">
        <v>3485</v>
      </c>
      <c r="F820" s="3" t="s">
        <v>3486</v>
      </c>
      <c r="G820" s="3" t="str">
        <f ca="1">IFERROR(__xludf.DUMMYFUNCTION("googletranslate(D820,""en"",""ja"")"),"T リンパ球ヘルパー中央記憶腸ホーミング サブ集団/T リンパ球ヘルパー中央記憶腸ホーミング サブ集団。 TLym Help Cen Mem GH Sub/TLym Help Cen Mem GH Sub; TLym ヘルプ Cen Mem GH Sub/TLymHCMGHS")</f>
        <v>T リンパ球ヘルパー中央記憶腸ホーミング サブ集団/T リンパ球ヘルパー中央記憶腸ホーミング サブ集団。 TLym Help Cen Mem GH Sub/TLym Help Cen Mem GH Sub; TLym ヘルプ Cen Mem GH Sub/TLymHCMGHS</v>
      </c>
      <c r="H820" s="3" t="str">
        <f ca="1">IFERROR(__xludf.DUMMYFUNCTION("googletranslate(E820,""en"",""ja"")"),"生物学的標本中の腸ホーミングヘルパーセントラルメモリー T リンパ球のサブ集団に対するガットホーミングヘルパーセントラルメモリー T リンパ球のサブ集団の相対測定値 (比率またはパーセンテージ)。")</f>
        <v>生物学的標本中の腸ホーミングヘルパーセントラルメモリー T リンパ球のサブ集団に対するガットホーミングヘルパーセントラルメモリー T リンパ球のサブ集団の相対測定値 (比率またはパーセンテージ)。</v>
      </c>
      <c r="I820" s="3" t="str">
        <f ca="1">IFERROR(__xludf.DUMMYFUNCTION("googletranslate(F820,""en"",""ja"")"),"ガットホーミングヘルパーセントラルメモリーTリンパ球サブ集団とガットホーミングヘルパーセントラルメモリーTリンパ球サブ集団の比率の測定")</f>
        <v>ガットホーミングヘルパーセントラルメモリーTリンパ球サブ集団とガットホーミングヘルパーセントラルメモリーTリンパ球サブ集団の比率の測定</v>
      </c>
    </row>
    <row r="821" spans="1:9" ht="120">
      <c r="A821" s="3" t="s">
        <v>103</v>
      </c>
      <c r="B821" s="3" t="s">
        <v>3487</v>
      </c>
      <c r="C821" s="3" t="s">
        <v>3488</v>
      </c>
      <c r="D821" s="3" t="s">
        <v>3489</v>
      </c>
      <c r="E821" s="3" t="s">
        <v>3490</v>
      </c>
      <c r="F821" s="3" t="s">
        <v>3491</v>
      </c>
      <c r="G821" s="3" t="str">
        <f ca="1">IFERROR(__xludf.DUMMYFUNCTION("googletranslate(D821,""en"",""ja"")"),"T リンパ球ヘルパー セントラル メモリー スキン ホーミング サブ集団/T リンパ球ヘルパー セントラル メモリー スキン ホーミング サブ集団。 TLym Help Cen Mem SH Sub/TLym Help Cen Mem SH Sub; TLym ヘルプ Cen Mem SH Sub/TLymHCMSHS")</f>
        <v>T リンパ球ヘルパー セントラル メモリー スキン ホーミング サブ集団/T リンパ球ヘルパー セントラル メモリー スキン ホーミング サブ集団。 TLym Help Cen Mem SH Sub/TLym Help Cen Mem SH Sub; TLym ヘルプ Cen Mem SH Sub/TLymHCMSHS</v>
      </c>
      <c r="H821" s="3" t="str">
        <f ca="1">IFERROR(__xludf.DUMMYFUNCTION("googletranslate(E821,""en"",""ja"")"),"生物学的標本における皮膚ホーミングヘルパーセントラルメモリー T リンパ球のサブ集団に対するスキンホーミングヘルパーセントラルメモリー T リンパ球のサブ集団の相対測定値 (比率またはパーセンテージ)。")</f>
        <v>生物学的標本における皮膚ホーミングヘルパーセントラルメモリー T リンパ球のサブ集団に対するスキンホーミングヘルパーセントラルメモリー T リンパ球のサブ集団の相対測定値 (比率またはパーセンテージ)。</v>
      </c>
      <c r="I821" s="3" t="str">
        <f ca="1">IFERROR(__xludf.DUMMYFUNCTION("googletranslate(F821,""en"",""ja"")"),"スキンホーミングヘルパーセントラルメモリーTリンパ球サブ集団とスキンホーミングヘルパーセントラルメモリーTリンパ球サブ集団の比率の測定")</f>
        <v>スキンホーミングヘルパーセントラルメモリーTリンパ球サブ集団とスキンホーミングヘルパーセントラルメモリーTリンパ球サブ集団の比率の測定</v>
      </c>
    </row>
    <row r="822" spans="1:9" ht="105">
      <c r="A822" s="3" t="s">
        <v>103</v>
      </c>
      <c r="B822" s="3" t="s">
        <v>3492</v>
      </c>
      <c r="C822" s="3" t="s">
        <v>3493</v>
      </c>
      <c r="D822" s="3" t="s">
        <v>3494</v>
      </c>
      <c r="E822" s="3" t="s">
        <v>3495</v>
      </c>
      <c r="F822" s="3" t="s">
        <v>3496</v>
      </c>
      <c r="G822" s="3" t="str">
        <f ca="1">IFERROR(__xludf.DUMMYFUNCTION("googletranslate(D822,""en"",""ja"")"),"T リンパ球ヘルパー中枢記憶サブ集団/T リンパ球ヘルパー中枢記憶サブ集団; TLym Help Cen Mem Sub/TLym Help Cen Mem Sub; TLym ヘルプ Cen Mem Sub/TLymHCMS")</f>
        <v>T リンパ球ヘルパー中枢記憶サブ集団/T リンパ球ヘルパー中枢記憶サブ集団; TLym Help Cen Mem Sub/TLym Help Cen Mem Sub; TLym ヘルプ Cen Mem Sub/TLymHCMS</v>
      </c>
      <c r="H822" s="3" t="str">
        <f ca="1">IFERROR(__xludf.DUMMYFUNCTION("googletranslate(E822,""en"",""ja"")"),"生物学的標本におけるヘルパー中枢記憶 T リンパ球の亜集団に対するヘルパー中枢記憶 T リンパ球の亜集団の相対測定値 (比率またはパーセンテージ)。")</f>
        <v>生物学的標本におけるヘルパー中枢記憶 T リンパ球の亜集団に対するヘルパー中枢記憶 T リンパ球の亜集団の相対測定値 (比率またはパーセンテージ)。</v>
      </c>
      <c r="I822" s="3" t="str">
        <f ca="1">IFERROR(__xludf.DUMMYFUNCTION("googletranslate(F822,""en"",""ja"")"),"セントラルメモリーヘルパーTリンパ球サブ集団とセントラルメモリーヘルパーTリンパ球サブ集団の比率の測定")</f>
        <v>セントラルメモリーヘルパーTリンパ球サブ集団とセントラルメモリーヘルパーTリンパ球サブ集団の比率の測定</v>
      </c>
    </row>
    <row r="823" spans="1:9" ht="120">
      <c r="A823" s="3" t="s">
        <v>103</v>
      </c>
      <c r="B823" s="3" t="s">
        <v>3497</v>
      </c>
      <c r="C823" s="3" t="s">
        <v>3498</v>
      </c>
      <c r="D823" s="3" t="s">
        <v>3499</v>
      </c>
      <c r="E823" s="3" t="s">
        <v>3500</v>
      </c>
      <c r="F823" s="3" t="s">
        <v>3501</v>
      </c>
      <c r="G823" s="3" t="str">
        <f ca="1">IFERROR(__xludf.DUMMYFUNCTION("googletranslate(D823,""en"",""ja"")"),"T リンパ球ヘルパー エフェクター記憶腸ホーミング サブ集団/T リンパ球ヘルパー エフェクター記憶腸ホーミング サブ集団。 TLym ヘルプ Eff Mem GH Sub/TLym ヘルプ Eff Mem GH Sub; TLym ヘルプ Eff Mem GH Sub/TLymHEMGHS")</f>
        <v>T リンパ球ヘルパー エフェクター記憶腸ホーミング サブ集団/T リンパ球ヘルパー エフェクター記憶腸ホーミング サブ集団。 TLym ヘルプ Eff Mem GH Sub/TLym ヘルプ Eff Mem GH Sub; TLym ヘルプ Eff Mem GH Sub/TLymHEMGHS</v>
      </c>
      <c r="H823" s="3" t="str">
        <f ca="1">IFERROR(__xludf.DUMMYFUNCTION("googletranslate(E823,""en"",""ja"")"),"生物学的標本中の腸ホーミングヘルパーエフェクターメモリー T リンパ球の部分集団に対する腸ホーミングヘルパーエフェクターメモリー T リンパ球の部分集団の相対測定値 (比率またはパーセンテージ)。")</f>
        <v>生物学的標本中の腸ホーミングヘルパーエフェクターメモリー T リンパ球の部分集団に対する腸ホーミングヘルパーエフェクターメモリー T リンパ球の部分集団の相対測定値 (比率またはパーセンテージ)。</v>
      </c>
      <c r="I823" s="3" t="str">
        <f ca="1">IFERROR(__xludf.DUMMYFUNCTION("googletranslate(F823,""en"",""ja"")"),"ガットホーミングヘルパーエフェクターメモリーTリンパ球部分集団とガットホーミングヘルパーエフェクターメモリーTリンパ球部分集団の比率の測定")</f>
        <v>ガットホーミングヘルパーエフェクターメモリーTリンパ球部分集団とガットホーミングヘルパーエフェクターメモリーTリンパ球部分集団の比率の測定</v>
      </c>
    </row>
    <row r="824" spans="1:9" ht="120">
      <c r="A824" s="3" t="s">
        <v>103</v>
      </c>
      <c r="B824" s="3" t="s">
        <v>3502</v>
      </c>
      <c r="C824" s="3" t="s">
        <v>3503</v>
      </c>
      <c r="D824" s="3" t="s">
        <v>3504</v>
      </c>
      <c r="E824" s="3" t="s">
        <v>3505</v>
      </c>
      <c r="F824" s="3" t="s">
        <v>3506</v>
      </c>
      <c r="G824" s="3" t="str">
        <f ca="1">IFERROR(__xludf.DUMMYFUNCTION("googletranslate(D824,""en"",""ja"")"),"T リンパ球ヘルパー エフェクター メモリー スキン ホーミング サブ集団/T リンパ球ヘルパー エフェクター メモリー スキン ホーミング サブ集団。 TLym Help Eff Mem SH Sub/TLym Help Eff Mem SH Sub; TLym ヘルプ Eff Mem SH Sub/TLymHEMSHS")</f>
        <v>T リンパ球ヘルパー エフェクター メモリー スキン ホーミング サブ集団/T リンパ球ヘルパー エフェクター メモリー スキン ホーミング サブ集団。 TLym Help Eff Mem SH Sub/TLym Help Eff Mem SH Sub; TLym ヘルプ Eff Mem SH Sub/TLymHEMSHS</v>
      </c>
      <c r="H824" s="3" t="str">
        <f ca="1">IFERROR(__xludf.DUMMYFUNCTION("googletranslate(E824,""en"",""ja"")"),"生物学的標本における皮膚ホーミングヘルパーエフェクターメモリー T リンパ球の亜集団に対する皮膚ホーミングヘルパーエフェクターメモリー T リンパ球の亜集団の相対測定値 (比率またはパーセンテージ)。")</f>
        <v>生物学的標本における皮膚ホーミングヘルパーエフェクターメモリー T リンパ球の亜集団に対する皮膚ホーミングヘルパーエフェクターメモリー T リンパ球の亜集団の相対測定値 (比率またはパーセンテージ)。</v>
      </c>
      <c r="I824" s="3" t="str">
        <f ca="1">IFERROR(__xludf.DUMMYFUNCTION("googletranslate(F824,""en"",""ja"")"),"スキンホーミングヘルパーエフェクターメモリーTリンパ球部分集団とスキンホーミングヘルパーエフェクターメモリーTリンパ球部分集団の比率の測定")</f>
        <v>スキンホーミングヘルパーエフェクターメモリーTリンパ球部分集団とスキンホーミングヘルパーエフェクターメモリーTリンパ球部分集団の比率の測定</v>
      </c>
    </row>
    <row r="825" spans="1:9" ht="105">
      <c r="A825" s="3" t="s">
        <v>103</v>
      </c>
      <c r="B825" s="3" t="s">
        <v>3507</v>
      </c>
      <c r="C825" s="3" t="s">
        <v>3508</v>
      </c>
      <c r="D825" s="3" t="s">
        <v>3509</v>
      </c>
      <c r="E825" s="3" t="s">
        <v>3510</v>
      </c>
      <c r="F825" s="3" t="s">
        <v>3511</v>
      </c>
      <c r="G825" s="3" t="str">
        <f ca="1">IFERROR(__xludf.DUMMYFUNCTION("googletranslate(D825,""en"",""ja"")"),"T リンパ球ヘルパー エフェクター記憶サブ集団/T リンパ球ヘルパー エフェクター記憶サブ集団。 TLym ヘルプ Eff Mem Sub/TLym ヘルプ Eff Mem Sub; TLym ヘルプ Eff Mem Sub/TLymHEMS")</f>
        <v>T リンパ球ヘルパー エフェクター記憶サブ集団/T リンパ球ヘルパー エフェクター記憶サブ集団。 TLym ヘルプ Eff Mem Sub/TLym ヘルプ Eff Mem Sub; TLym ヘルプ Eff Mem Sub/TLymHEMS</v>
      </c>
      <c r="H825" s="3" t="str">
        <f ca="1">IFERROR(__xludf.DUMMYFUNCTION("googletranslate(E825,""en"",""ja"")"),"生物学的標本におけるヘルパーエフェクターメモリー T リンパ球の亜集団に対するヘルパーエフェクターメモリー T リンパ球の亜集団の相対測定値 (比率またはパーセンテージ)。")</f>
        <v>生物学的標本におけるヘルパーエフェクターメモリー T リンパ球の亜集団に対するヘルパーエフェクターメモリー T リンパ球の亜集団の相対測定値 (比率またはパーセンテージ)。</v>
      </c>
      <c r="I825" s="3" t="str">
        <f ca="1">IFERROR(__xludf.DUMMYFUNCTION("googletranslate(F825,""en"",""ja"")"),"エフェクター メモリー ヘルパー T リンパ球部分集団とエフェクター メモリー ヘルパー T リンパ球部分集団の比率の測定")</f>
        <v>エフェクター メモリー ヘルパー T リンパ球部分集団とエフェクター メモリー ヘルパー T リンパ球部分集団の比率の測定</v>
      </c>
    </row>
    <row r="826" spans="1:9" ht="75">
      <c r="A826" s="3" t="s">
        <v>103</v>
      </c>
      <c r="B826" s="3" t="s">
        <v>3512</v>
      </c>
      <c r="C826" s="3" t="s">
        <v>3513</v>
      </c>
      <c r="D826" s="3" t="s">
        <v>3514</v>
      </c>
      <c r="E826" s="3" t="s">
        <v>3515</v>
      </c>
      <c r="F826" s="3" t="s">
        <v>3516</v>
      </c>
      <c r="G826" s="3" t="str">
        <f ca="1">IFERROR(__xludf.DUMMYFUNCTION("googletranslate(D826,""en"",""ja"")"),"T リンパ球ヘルパー濾胞サブ集団/T リンパ球ヘルパー濾胞サブ集団; TLym ヘルプ フォール サブ/TLym ヘルプ フォール サブ; TLym ヘルプ Foll Sub/TLymHFS")</f>
        <v>T リンパ球ヘルパー濾胞サブ集団/T リンパ球ヘルパー濾胞サブ集団; TLym ヘルプ フォール サブ/TLym ヘルプ フォール サブ; TLym ヘルプ Foll Sub/TLymHFS</v>
      </c>
      <c r="H826" s="3" t="str">
        <f ca="1">IFERROR(__xludf.DUMMYFUNCTION("googletranslate(E826,""en"",""ja"")"),"生物学的標本中のヘルパー濾胞性 T リンパ球の部分集団に対するヘルパー濾胞性 T リンパ球の部分集団の相対測定値 (比率またはパーセンテージ)。")</f>
        <v>生物学的標本中のヘルパー濾胞性 T リンパ球の部分集団に対するヘルパー濾胞性 T リンパ球の部分集団の相対測定値 (比率またはパーセンテージ)。</v>
      </c>
      <c r="I826" s="3" t="str">
        <f ca="1">IFERROR(__xludf.DUMMYFUNCTION("googletranslate(F826,""en"",""ja"")"),"濾胞性ヘルパーTリンパ球部分集団と濾胞性ヘルパーTリンパ球部分集団の比率の測定")</f>
        <v>濾胞性ヘルパーTリンパ球部分集団と濾胞性ヘルパーTリンパ球部分集団の比率の測定</v>
      </c>
    </row>
    <row r="827" spans="1:9" ht="105">
      <c r="A827" s="3" t="s">
        <v>103</v>
      </c>
      <c r="B827" s="3" t="s">
        <v>3517</v>
      </c>
      <c r="C827" s="3" t="s">
        <v>3518</v>
      </c>
      <c r="D827" s="3" t="s">
        <v>3519</v>
      </c>
      <c r="E827" s="3" t="s">
        <v>3520</v>
      </c>
      <c r="F827" s="3" t="s">
        <v>3521</v>
      </c>
      <c r="G827" s="3" t="str">
        <f ca="1">IFERROR(__xludf.DUMMYFUNCTION("googletranslate(D827,""en"",""ja"")"),"T リンパ球ヘルパー記憶腸ホーミング サブ集団/T リンパ球ヘルパー記憶腸ホーミング サブ集団; TLym ヘルプ メム GH サブ/TLym ヘルプ メム GH サブ; TLym ヘルプ メム GH サブ/TLymHMGHS")</f>
        <v>T リンパ球ヘルパー記憶腸ホーミング サブ集団/T リンパ球ヘルパー記憶腸ホーミング サブ集団; TLym ヘルプ メム GH サブ/TLym ヘルプ メム GH サブ; TLym ヘルプ メム GH サブ/TLymHMGHS</v>
      </c>
      <c r="H827" s="3" t="str">
        <f ca="1">IFERROR(__xludf.DUMMYFUNCTION("googletranslate(E827,""en"",""ja"")"),"生物学的標本中のガットホーミングヘルパーメモリー T リンパ球のサブ集団に対するガットホーミングヘルパーメモリー T リンパ球のサブ集団の相対測定値 (比率またはパーセンテージ)。")</f>
        <v>生物学的標本中のガットホーミングヘルパーメモリー T リンパ球のサブ集団に対するガットホーミングヘルパーメモリー T リンパ球のサブ集団の相対測定値 (比率またはパーセンテージ)。</v>
      </c>
      <c r="I827" s="3" t="str">
        <f ca="1">IFERROR(__xludf.DUMMYFUNCTION("googletranslate(F827,""en"",""ja"")"),"ガットホーミングヘルパーメモリーTリンパ球部分集団とガットホーミングヘルパーメモリーTリンパ球部分集団の比率の測定")</f>
        <v>ガットホーミングヘルパーメモリーTリンパ球部分集団とガットホーミングヘルパーメモリーTリンパ球部分集団の比率の測定</v>
      </c>
    </row>
    <row r="828" spans="1:9" ht="105">
      <c r="A828" s="3" t="s">
        <v>103</v>
      </c>
      <c r="B828" s="3" t="s">
        <v>3522</v>
      </c>
      <c r="C828" s="3" t="s">
        <v>3523</v>
      </c>
      <c r="D828" s="3" t="s">
        <v>3524</v>
      </c>
      <c r="E828" s="3" t="s">
        <v>3525</v>
      </c>
      <c r="F828" s="3" t="s">
        <v>3526</v>
      </c>
      <c r="G828" s="3" t="str">
        <f ca="1">IFERROR(__xludf.DUMMYFUNCTION("googletranslate(D828,""en"",""ja"")"),"T リンパ球ヘルパー メモリー スキン ホーミング サブ集団/T リンパ球ヘルパー メモリー スキン ホーミング サブ集団; TLym ヘルプ メム SH サブ/TLym ヘルプ メム SH サブ; TLym ヘルプ メム SH Sub/TLymHMSHS")</f>
        <v>T リンパ球ヘルパー メモリー スキン ホーミング サブ集団/T リンパ球ヘルパー メモリー スキン ホーミング サブ集団; TLym ヘルプ メム SH サブ/TLym ヘルプ メム SH サブ; TLym ヘルプ メム SH Sub/TLymHMSHS</v>
      </c>
      <c r="H828" s="3" t="str">
        <f ca="1">IFERROR(__xludf.DUMMYFUNCTION("googletranslate(E828,""en"",""ja"")"),"生物学的標本中の皮膚ホーミングヘルパーメモリー T リンパ球の亜集団に対する皮膚ホーミングヘルパーメモリー T リンパ球の亜集団の相対測定値 (比率またはパーセンテージ)。")</f>
        <v>生物学的標本中の皮膚ホーミングヘルパーメモリー T リンパ球の亜集団に対する皮膚ホーミングヘルパーメモリー T リンパ球の亜集団の相対測定値 (比率またはパーセンテージ)。</v>
      </c>
      <c r="I828" s="3" t="str">
        <f ca="1">IFERROR(__xludf.DUMMYFUNCTION("googletranslate(F828,""en"",""ja"")"),"スキンホーミングヘルパーメモリーTリンパ球サブ集団とスキンホーミングヘルパーメモリーTリンパ球サブ集団の比率の測定")</f>
        <v>スキンホーミングヘルパーメモリーTリンパ球サブ集団とスキンホーミングヘルパーメモリーTリンパ球サブ集団の比率の測定</v>
      </c>
    </row>
    <row r="829" spans="1:9" ht="90">
      <c r="A829" s="3" t="s">
        <v>103</v>
      </c>
      <c r="B829" s="3" t="s">
        <v>3527</v>
      </c>
      <c r="C829" s="3" t="s">
        <v>3528</v>
      </c>
      <c r="D829" s="3" t="s">
        <v>3529</v>
      </c>
      <c r="E829" s="3" t="s">
        <v>3530</v>
      </c>
      <c r="F829" s="3" t="s">
        <v>3531</v>
      </c>
      <c r="G829" s="3" t="str">
        <f ca="1">IFERROR(__xludf.DUMMYFUNCTION("googletranslate(D829,""en"",""ja"")"),"T リンパ球ヘルパー ナイーブ サブ集団/T リンパ球ヘルパー ナイーブ サブ集団; TLym ヘルプ ナイーブ サブ/TLym ヘルプ ナイーブ サブ; TLym ヘルプ Naive Sub/TLymHNS")</f>
        <v>T リンパ球ヘルパー ナイーブ サブ集団/T リンパ球ヘルパー ナイーブ サブ集団; TLym ヘルプ ナイーブ サブ/TLym ヘルプ ナイーブ サブ; TLym ヘルプ Naive Sub/TLymHNS</v>
      </c>
      <c r="H829" s="3" t="str">
        <f ca="1">IFERROR(__xludf.DUMMYFUNCTION("googletranslate(E829,""en"",""ja"")"),"生物学的検体中のヘルパーナイーブ T リンパ球の部分集団に対するヘルパー ナイーブ T リンパ球の部分集団の相対測定値 (比率またはパーセンテージ)。")</f>
        <v>生物学的検体中のヘルパーナイーブ T リンパ球の部分集団に対するヘルパー ナイーブ T リンパ球の部分集団の相対測定値 (比率またはパーセンテージ)。</v>
      </c>
      <c r="I829" s="3" t="str">
        <f ca="1">IFERROR(__xludf.DUMMYFUNCTION("googletranslate(F829,""en"",""ja"")"),"ナイーブヘルパーTリンパ球部分集団とナイーブヘルパーTリンパ球部分集団の比率の測定")</f>
        <v>ナイーブヘルパーTリンパ球部分集団とナイーブヘルパーTリンパ球部分集団の比率の測定</v>
      </c>
    </row>
    <row r="830" spans="1:9" ht="90">
      <c r="A830" s="3" t="s">
        <v>103</v>
      </c>
      <c r="B830" s="3" t="s">
        <v>3532</v>
      </c>
      <c r="C830" s="3" t="s">
        <v>3533</v>
      </c>
      <c r="D830" s="3" t="s">
        <v>3534</v>
      </c>
      <c r="E830" s="3" t="s">
        <v>3535</v>
      </c>
      <c r="F830" s="3" t="s">
        <v>3536</v>
      </c>
      <c r="G830" s="3" t="str">
        <f ca="1">IFERROR(__xludf.DUMMYFUNCTION("googletranslate(D830,""en"",""ja"")"),"T リンパ球ヘルパー制御エフェクター サブ集団/T リンパ球ヘルパー制御エフェクター サブ集団; TLym Help Reg Eff Sub/TLym Help Reg Eff Sub; TLym ヘルプ Reg Eff Sub/TLymHRES")</f>
        <v>T リンパ球ヘルパー制御エフェクター サブ集団/T リンパ球ヘルパー制御エフェクター サブ集団; TLym Help Reg Eff Sub/TLym Help Reg Eff Sub; TLym ヘルプ Reg Eff Sub/TLymHRES</v>
      </c>
      <c r="H830" s="3" t="str">
        <f ca="1">IFERROR(__xludf.DUMMYFUNCTION("googletranslate(E830,""en"",""ja"")"),"生物学的検体中のヘルパー制御エフェクター T リンパ球の亜集団に対するヘルパー制御エフェクター T リンパ球の亜集団の相対測定値 (比率またはパーセンテージ)。")</f>
        <v>生物学的検体中のヘルパー制御エフェクター T リンパ球の亜集団に対するヘルパー制御エフェクター T リンパ球の亜集団の相対測定値 (比率またはパーセンテージ)。</v>
      </c>
      <c r="I830" s="3" t="str">
        <f ca="1">IFERROR(__xludf.DUMMYFUNCTION("googletranslate(F830,""en"",""ja"")"),"調節エフェクターヘルパー T リンパ球部分集団と調節エフェクター ヘルパー T リンパ球部分集団の比率の測定")</f>
        <v>調節エフェクターヘルパー T リンパ球部分集団と調節エフェクター ヘルパー T リンパ球部分集団の比率の測定</v>
      </c>
    </row>
    <row r="831" spans="1:9" ht="105">
      <c r="A831" s="3" t="s">
        <v>103</v>
      </c>
      <c r="B831" s="3" t="s">
        <v>3537</v>
      </c>
      <c r="C831" s="3" t="s">
        <v>3538</v>
      </c>
      <c r="D831" s="3" t="s">
        <v>3539</v>
      </c>
      <c r="E831" s="3" t="s">
        <v>3540</v>
      </c>
      <c r="F831" s="3" t="s">
        <v>3541</v>
      </c>
      <c r="G831" s="3" t="str">
        <f ca="1">IFERROR(__xludf.DUMMYFUNCTION("googletranslate(D831,""en"",""ja"")"),"T リンパ球ヘルパー制御記憶サブ集団/T リンパ球ヘルパー制御記憶サブ集団; TLym ヘルプ登録メモリ サブ/TLym ヘルプ登録メモリ サブ; TLym ヘルプ登録メモリ サブ/TLymHRMS")</f>
        <v>T リンパ球ヘルパー制御記憶サブ集団/T リンパ球ヘルパー制御記憶サブ集団; TLym ヘルプ登録メモリ サブ/TLym ヘルプ登録メモリ サブ; TLym ヘルプ登録メモリ サブ/TLymHRMS</v>
      </c>
      <c r="H831" s="3" t="str">
        <f ca="1">IFERROR(__xludf.DUMMYFUNCTION("googletranslate(E831,""en"",""ja"")"),"生物学的検体中のヘルパー制御性メモリー T リンパ球の部分集団に対するヘルパー制御性メモリー T リンパ球の部分集団の相対測定値 (比率またはパーセンテージ)。")</f>
        <v>生物学的検体中のヘルパー制御性メモリー T リンパ球の部分集団に対するヘルパー制御性メモリー T リンパ球の部分集団の相対測定値 (比率またはパーセンテージ)。</v>
      </c>
      <c r="I831" s="3" t="str">
        <f ca="1">IFERROR(__xludf.DUMMYFUNCTION("googletranslate(F831,""en"",""ja"")"),"レギュラトリーメモリーヘルパーTリンパ球サブポピュレーションとレギュラトリーメモリーヘルパーTリンパ球サブポピュレーションの比率の測定")</f>
        <v>レギュラトリーメモリーヘルパーTリンパ球サブポピュレーションとレギュラトリーメモリーヘルパーTリンパ球サブポピュレーションの比率の測定</v>
      </c>
    </row>
    <row r="832" spans="1:9" ht="105">
      <c r="A832" s="3" t="s">
        <v>103</v>
      </c>
      <c r="B832" s="3" t="s">
        <v>3542</v>
      </c>
      <c r="C832" s="3" t="s">
        <v>3543</v>
      </c>
      <c r="D832" s="3" t="s">
        <v>3544</v>
      </c>
      <c r="E832" s="3" t="s">
        <v>3545</v>
      </c>
      <c r="F832" s="3" t="s">
        <v>3546</v>
      </c>
      <c r="G832" s="3" t="str">
        <f ca="1">IFERROR(__xludf.DUMMYFUNCTION("googletranslate(D832,""en"",""ja"")"),"T リンパ球ヘルパー規制ナイーブ サブ集団/T リンパ球ヘルパー規制ナイーブ サブ集団; TLym Help Reg Naive Sub/TLym Help Reg Naive Sub; TLym ヘルプ Reg Naive Sub/TLymHRNS")</f>
        <v>T リンパ球ヘルパー規制ナイーブ サブ集団/T リンパ球ヘルパー規制ナイーブ サブ集団; TLym Help Reg Naive Sub/TLym Help Reg Naive Sub; TLym ヘルプ Reg Naive Sub/TLymHRNS</v>
      </c>
      <c r="H832" s="3" t="str">
        <f ca="1">IFERROR(__xludf.DUMMYFUNCTION("googletranslate(E832,""en"",""ja"")"),"生物学的検体中のヘルパー制御性ナイーブ T リンパ球の部分集団に対するヘルパー制御性ナイーブ T リンパ球の部分集団の相対測定値 (比率またはパーセンテージ)。")</f>
        <v>生物学的検体中のヘルパー制御性ナイーブ T リンパ球の部分集団に対するヘルパー制御性ナイーブ T リンパ球の部分集団の相対測定値 (比率またはパーセンテージ)。</v>
      </c>
      <c r="I832" s="3" t="str">
        <f ca="1">IFERROR(__xludf.DUMMYFUNCTION("googletranslate(F832,""en"",""ja"")"),"ナイーブ制御ヘルパー T リンパ球部分集団とナイーブ制御ヘルパー T リンパ球部分集団の比率の測定")</f>
        <v>ナイーブ制御ヘルパー T リンパ球部分集団とナイーブ制御ヘルパー T リンパ球部分集団の比率の測定</v>
      </c>
    </row>
    <row r="833" spans="1:9" ht="75">
      <c r="A833" s="3" t="s">
        <v>103</v>
      </c>
      <c r="B833" s="3" t="s">
        <v>3547</v>
      </c>
      <c r="C833" s="3" t="s">
        <v>3548</v>
      </c>
      <c r="D833" s="3" t="s">
        <v>3549</v>
      </c>
      <c r="E833" s="3" t="s">
        <v>3550</v>
      </c>
      <c r="F833" s="3" t="s">
        <v>3551</v>
      </c>
      <c r="G833" s="3" t="str">
        <f ca="1">IFERROR(__xludf.DUMMYFUNCTION("googletranslate(D833,""en"",""ja"")"),"T リンパ球ヘルパー制御サブ集団/T リンパ球ヘルパー制御サブ集団; TLym ヘルプ登録サブ/TLym ヘルプ登録サブ; TLym ヘルプ登録サブ/TLymHRS")</f>
        <v>T リンパ球ヘルパー制御サブ集団/T リンパ球ヘルパー制御サブ集団; TLym ヘルプ登録サブ/TLym ヘルプ登録サブ; TLym ヘルプ登録サブ/TLymHRS</v>
      </c>
      <c r="H833" s="3" t="str">
        <f ca="1">IFERROR(__xludf.DUMMYFUNCTION("googletranslate(E833,""en"",""ja"")"),"生物学的検体中のヘルパー制御性 T リンパ球の部分集団に対するヘルパー制御性 T リンパ球の部分集団の相対測定値 (比率またはパーセンテージ)。")</f>
        <v>生物学的検体中のヘルパー制御性 T リンパ球の部分集団に対するヘルパー制御性 T リンパ球の部分集団の相対測定値 (比率またはパーセンテージ)。</v>
      </c>
      <c r="I833" s="3" t="str">
        <f ca="1">IFERROR(__xludf.DUMMYFUNCTION("googletranslate(F833,""en"",""ja"")"),"調節ヘルパー T リンパ球部分集団と調節ヘルパー T リンパ球部分集団の比率の測定")</f>
        <v>調節ヘルパー T リンパ球部分集団と調節ヘルパー T リンパ球部分集団の比率の測定</v>
      </c>
    </row>
    <row r="834" spans="1:9" ht="120">
      <c r="A834" s="3" t="s">
        <v>103</v>
      </c>
      <c r="B834" s="3" t="s">
        <v>3552</v>
      </c>
      <c r="C834" s="3" t="s">
        <v>3553</v>
      </c>
      <c r="D834" s="3" t="s">
        <v>3554</v>
      </c>
      <c r="E834" s="3" t="s">
        <v>3555</v>
      </c>
      <c r="F834" s="3" t="s">
        <v>3556</v>
      </c>
      <c r="G834" s="3" t="str">
        <f ca="1">IFERROR(__xludf.DUMMYFUNCTION("googletranslate(D834,""en"",""ja"")"),"T リンパ球ヘルパー端末記憶腸ホーミング サブ集団/T リンパ球ヘルパー端末記憶腸ホーミング サブ集団; TLym ヘルプ ターム Mem GH Sub/TLym ヘルプ ターム Mem GH Sub; TLym ヘルプ用語 Mem GH Sub/TLymHTMGHS")</f>
        <v>T リンパ球ヘルパー端末記憶腸ホーミング サブ集団/T リンパ球ヘルパー端末記憶腸ホーミング サブ集団; TLym ヘルプ ターム Mem GH Sub/TLym ヘルプ ターム Mem GH Sub; TLym ヘルプ用語 Mem GH Sub/TLymHTMGHS</v>
      </c>
      <c r="H834" s="3" t="str">
        <f ca="1">IFERROR(__xludf.DUMMYFUNCTION("googletranslate(E834,""en"",""ja"")"),"生物学的検体中の腸ホーミングヘルパー末端記憶 T リンパ球の亜集団に対する腸ホーミングヘルパー終末記憶 T リンパ球の亜集団の相対測定値 (比率またはパーセンテージ)。")</f>
        <v>生物学的検体中の腸ホーミングヘルパー末端記憶 T リンパ球の亜集団に対する腸ホーミングヘルパー終末記憶 T リンパ球の亜集団の相対測定値 (比率またはパーセンテージ)。</v>
      </c>
      <c r="I834" s="3" t="str">
        <f ca="1">IFERROR(__xludf.DUMMYFUNCTION("googletranslate(F834,""en"",""ja"")"),"腸ホーミングヘルパーターミナル記憶 T リンパ球亜集団と腸ホーミングヘルパー端末記憶 T リンパ球亜集団の比率の測定")</f>
        <v>腸ホーミングヘルパーターミナル記憶 T リンパ球亜集団と腸ホーミングヘルパー端末記憶 T リンパ球亜集団の比率の測定</v>
      </c>
    </row>
    <row r="835" spans="1:9" ht="120">
      <c r="A835" s="3" t="s">
        <v>103</v>
      </c>
      <c r="B835" s="3" t="s">
        <v>3557</v>
      </c>
      <c r="C835" s="3" t="s">
        <v>3558</v>
      </c>
      <c r="D835" s="3" t="s">
        <v>3559</v>
      </c>
      <c r="E835" s="3" t="s">
        <v>3560</v>
      </c>
      <c r="F835" s="3" t="s">
        <v>3561</v>
      </c>
      <c r="G835" s="3" t="str">
        <f ca="1">IFERROR(__xludf.DUMMYFUNCTION("googletranslate(D835,""en"",""ja"")"),"T リンパ球ヘルパーターミナル メモリー スキン ホーミング サブ集団/T リンパ球ヘルパーターミナル メモリー スキン ホーミング サブ集団; TLym ヘルプ ターム Mem SH Sub/TLym ヘルプ ターム Mem SH Sub; TLym ヘルプ用語 Mem SH Sub/TLymHTMSHS")</f>
        <v>T リンパ球ヘルパーターミナル メモリー スキン ホーミング サブ集団/T リンパ球ヘルパーターミナル メモリー スキン ホーミング サブ集団; TLym ヘルプ ターム Mem SH Sub/TLym ヘルプ ターム Mem SH Sub; TLym ヘルプ用語 Mem SH Sub/TLymHTMSHS</v>
      </c>
      <c r="H835" s="3" t="str">
        <f ca="1">IFERROR(__xludf.DUMMYFUNCTION("googletranslate(E835,""en"",""ja"")"),"生物学的標本における皮膚ホーミングヘルパー終末記憶 T リンパ球の亜集団に対する皮膚ホーミングヘルパー終末記憶 T リンパ球の亜集団の相対測定値 (比率またはパーセンテージ)。")</f>
        <v>生物学的標本における皮膚ホーミングヘルパー終末記憶 T リンパ球の亜集団に対する皮膚ホーミングヘルパー終末記憶 T リンパ球の亜集団の相対測定値 (比率またはパーセンテージ)。</v>
      </c>
      <c r="I835" s="3" t="str">
        <f ca="1">IFERROR(__xludf.DUMMYFUNCTION("googletranslate(F835,""en"",""ja"")"),"スキンホーミングヘルパーターミナルメモリーTリンパ球サブ集団とスキンホーミングヘルパーターミナルメモリーTリンパ球サブ集団の比率の測定")</f>
        <v>スキンホーミングヘルパーターミナルメモリーTリンパ球サブ集団とスキンホーミングヘルパーターミナルメモリーTリンパ球サブ集団の比率の測定</v>
      </c>
    </row>
    <row r="836" spans="1:9" ht="105">
      <c r="A836" s="3" t="s">
        <v>103</v>
      </c>
      <c r="B836" s="3" t="s">
        <v>3562</v>
      </c>
      <c r="C836" s="3" t="s">
        <v>3563</v>
      </c>
      <c r="D836" s="3" t="s">
        <v>3564</v>
      </c>
      <c r="E836" s="3" t="s">
        <v>3565</v>
      </c>
      <c r="F836" s="3" t="s">
        <v>3566</v>
      </c>
      <c r="G836" s="3" t="str">
        <f ca="1">IFERROR(__xludf.DUMMYFUNCTION("googletranslate(D836,""en"",""ja"")"),"T リンパ球ヘルパーターミナル記憶サブ集団/T リンパ球ヘルパーターミナル記憶サブ集団; TLym ヘルプ ターム Mem Sub/TLym ヘルプ ターム Mem Sub; TLym ヘルプ用語 Mem Sub/TLymHTMS")</f>
        <v>T リンパ球ヘルパーターミナル記憶サブ集団/T リンパ球ヘルパーターミナル記憶サブ集団; TLym ヘルプ ターム Mem Sub/TLym ヘルプ ターム Mem Sub; TLym ヘルプ用語 Mem Sub/TLymHTMS</v>
      </c>
      <c r="H836" s="3" t="str">
        <f ca="1">IFERROR(__xludf.DUMMYFUNCTION("googletranslate(E836,""en"",""ja"")"),"生物学的標本におけるヘルパー終末記憶 T リンパ球の亜集団に対するヘルパー終末記憶 T リンパ球の亜集団の相対測定値 (比率またはパーセンテージ)。")</f>
        <v>生物学的標本におけるヘルパー終末記憶 T リンパ球の亜集団に対するヘルパー終末記憶 T リンパ球の亜集団の相対測定値 (比率またはパーセンテージ)。</v>
      </c>
      <c r="I836" s="3" t="str">
        <f ca="1">IFERROR(__xludf.DUMMYFUNCTION("googletranslate(F836,""en"",""ja"")"),"ターミナルメモリーヘルパーTリンパ球サブ集団とターミナルメモリーヘルパーTリンパ球サブ集団の比率の測定")</f>
        <v>ターミナルメモリーヘルパーTリンパ球サブ集団とターミナルメモリーヘルパーTリンパ球サブ集団の比率の測定</v>
      </c>
    </row>
    <row r="837" spans="1:9" ht="105">
      <c r="A837" s="3" t="s">
        <v>103</v>
      </c>
      <c r="B837" s="3" t="s">
        <v>3567</v>
      </c>
      <c r="C837" s="3" t="s">
        <v>3568</v>
      </c>
      <c r="D837" s="3" t="s">
        <v>3569</v>
      </c>
      <c r="E837" s="3" t="s">
        <v>3570</v>
      </c>
      <c r="F837" s="3" t="s">
        <v>3571</v>
      </c>
      <c r="G837" s="3" t="str">
        <f ca="1">IFERROR(__xludf.DUMMYFUNCTION("googletranslate(D837,""en"",""ja"")"),"T リンパ球細胞傷害性エフェクター記憶サブ集団/T リンパ球細胞傷害性エフェクター記憶サブ集団; TLym Cytx Eff Mem サブ/TLym Cytx Eff Mem サブ; TLym Cytx Eff Mem サブ/TLymCEMS")</f>
        <v>T リンパ球細胞傷害性エフェクター記憶サブ集団/T リンパ球細胞傷害性エフェクター記憶サブ集団; TLym Cytx Eff Mem サブ/TLym Cytx Eff Mem サブ; TLym Cytx Eff Mem サブ/TLymCEMS</v>
      </c>
      <c r="H837" s="3" t="str">
        <f ca="1">IFERROR(__xludf.DUMMYFUNCTION("googletranslate(E837,""en"",""ja"")"),"生物学的標本における細胞傷害性エフェクターメモリー T リンパ球の部分集団に対する細胞傷害性エフェクターメモリー T リンパ球の部分集団の相対測定値 (比率またはパーセンテージ)。")</f>
        <v>生物学的標本における細胞傷害性エフェクターメモリー T リンパ球の部分集団に対する細胞傷害性エフェクターメモリー T リンパ球の部分集団の相対測定値 (比率またはパーセンテージ)。</v>
      </c>
      <c r="I837" s="3" t="str">
        <f ca="1">IFERROR(__xludf.DUMMYFUNCTION("googletranslate(F837,""en"",""ja"")"),"エフェクター記憶細胞傷害性 T リンパ球部分集団とエフェクター記憶細胞傷害性 T リンパ球部分集団の比率の測定")</f>
        <v>エフェクター記憶細胞傷害性 T リンパ球部分集団とエフェクター記憶細胞傷害性 T リンパ球部分集団の比率の測定</v>
      </c>
    </row>
    <row r="838" spans="1:9" ht="120">
      <c r="A838" s="3" t="s">
        <v>103</v>
      </c>
      <c r="B838" s="3" t="s">
        <v>3572</v>
      </c>
      <c r="C838" s="3" t="s">
        <v>3573</v>
      </c>
      <c r="D838" s="3" t="s">
        <v>3574</v>
      </c>
      <c r="E838" s="3" t="s">
        <v>3575</v>
      </c>
      <c r="F838" s="3" t="s">
        <v>3576</v>
      </c>
      <c r="G838" s="3" t="str">
        <f ca="1">IFERROR(__xludf.DUMMYFUNCTION("googletranslate(D838,""en"",""ja"")"),"B リンパ球の非クラススイッチ型メモリー IgG+/B リンパ球の非クラススイッチ型メモリー。 B リンパ球の記憶切り替えなし IgG+/B リンパ球の記憶切り替えなし。 BLym Mem NSw IgG+/BLym Mem NSw; BLym Mem NSw IgG+/BLymMNSw")</f>
        <v>B リンパ球の非クラススイッチ型メモリー IgG+/B リンパ球の非クラススイッチ型メモリー。 B リンパ球の記憶切り替えなし IgG+/B リンパ球の記憶切り替えなし。 BLym Mem NSw IgG+/BLym Mem NSw; BLym Mem NSw IgG+/BLymMNSw</v>
      </c>
      <c r="H838" s="3" t="str">
        <f ca="1">IFERROR(__xludf.DUMMYFUNCTION("googletranslate(E838,""en"",""ja"")"),"生物学的検体中の総非クラススイッチ記憶 B リンパ球に対する IgG+ 非クラススイッチ記憶 B リンパ球の相対測定値 (比率またはパーセンテージ)。")</f>
        <v>生物学的検体中の総非クラススイッチ記憶 B リンパ球に対する IgG+ 非クラススイッチ記憶 B リンパ球の相対測定値 (比率またはパーセンテージ)。</v>
      </c>
      <c r="I838" s="3" t="str">
        <f ca="1">IFERROR(__xludf.DUMMYFUNCTION("googletranslate(F838,""en"",""ja"")"),"非クラススイッチIgG陽性メモリーBリンパ球と非クラススイッチメモリーBリンパ球の比率測定")</f>
        <v>非クラススイッチIgG陽性メモリーBリンパ球と非クラススイッチメモリーBリンパ球の比率測定</v>
      </c>
    </row>
    <row r="839" spans="1:9" ht="120">
      <c r="A839" s="3" t="s">
        <v>103</v>
      </c>
      <c r="B839" s="3" t="s">
        <v>3577</v>
      </c>
      <c r="C839" s="3" t="s">
        <v>3578</v>
      </c>
      <c r="D839" s="3" t="s">
        <v>3579</v>
      </c>
      <c r="E839" s="3" t="s">
        <v>3580</v>
      </c>
      <c r="F839" s="3" t="s">
        <v>3581</v>
      </c>
      <c r="G839" s="3" t="str">
        <f ca="1">IFERROR(__xludf.DUMMYFUNCTION("googletranslate(D839,""en"",""ja"")"),"B リンパ球の非クラススイッチ型メモリー IgM+/B リンパ球の非クラススイッチ型メモリー。 B リンパ球の記憶切り替えなし IgM+/B リンパ球の記憶切り替えなし。 BLym Mem NSw IgM+/BLym Mem NSw; BLym Mem NSw IgM+/BLymMNSw")</f>
        <v>B リンパ球の非クラススイッチ型メモリー IgM+/B リンパ球の非クラススイッチ型メモリー。 B リンパ球の記憶切り替えなし IgM+/B リンパ球の記憶切り替えなし。 BLym Mem NSw IgM+/BLym Mem NSw; BLym Mem NSw IgM+/BLymMNSw</v>
      </c>
      <c r="H839" s="3" t="str">
        <f ca="1">IFERROR(__xludf.DUMMYFUNCTION("googletranslate(E839,""en"",""ja"")"),"生物学的検体中の総非クラススイッチ記憶 B リンパ球に対する IgM+ 非クラススイッチ記憶 B リンパ球の相対測定値 (比率またはパーセンテージ)。")</f>
        <v>生物学的検体中の総非クラススイッチ記憶 B リンパ球に対する IgM+ 非クラススイッチ記憶 B リンパ球の相対測定値 (比率またはパーセンテージ)。</v>
      </c>
      <c r="I839" s="3" t="str">
        <f ca="1">IFERROR(__xludf.DUMMYFUNCTION("googletranslate(F839,""en"",""ja"")"),"非クラススイッチIgM陽性メモリーBリンパ球対非クラススイッチメモリーBリンパ球比測定")</f>
        <v>非クラススイッチIgM陽性メモリーBリンパ球対非クラススイッチメモリーBリンパ球比測定</v>
      </c>
    </row>
    <row r="840" spans="1:9" ht="105">
      <c r="A840" s="3" t="s">
        <v>103</v>
      </c>
      <c r="B840" s="3" t="s">
        <v>3582</v>
      </c>
      <c r="C840" s="3" t="s">
        <v>3583</v>
      </c>
      <c r="D840" s="3" t="s">
        <v>3584</v>
      </c>
      <c r="E840" s="3" t="s">
        <v>3585</v>
      </c>
      <c r="F840" s="3" t="s">
        <v>3586</v>
      </c>
      <c r="G840" s="3" t="str">
        <f ca="1">IFERROR(__xludf.DUMMYFUNCTION("googletranslate(D840,""en"",""ja"")"),"モノラル非クラシックサブ/モノラル中間。単球非古典的部分集団/単球中間型。単球非古典的部分集団/単球中間型")</f>
        <v>モノラル非クラシックサブ/モノラル中間。単球非古典的部分集団/単球中間型。単球非古典的部分集団/単球中間型</v>
      </c>
      <c r="H840" s="3" t="str">
        <f ca="1">IFERROR(__xludf.DUMMYFUNCTION("googletranslate(E840,""en"",""ja"")"),"生物学的標本中の中間単球に対する非古典的単球の部分集団の相対的な測定値 (比率またはパーセンテージ)。")</f>
        <v>生物学的標本中の中間単球に対する非古典的単球の部分集団の相対的な測定値 (比率またはパーセンテージ)。</v>
      </c>
      <c r="I840" s="3" t="str">
        <f ca="1">IFERROR(__xludf.DUMMYFUNCTION("googletranslate(F840,""en"",""ja"")"),"非古典的単球部分集団対中間単球比の測定")</f>
        <v>非古典的単球部分集団対中間単球比の測定</v>
      </c>
    </row>
    <row r="841" spans="1:9" ht="60">
      <c r="A841" s="3" t="s">
        <v>103</v>
      </c>
      <c r="B841" s="3" t="s">
        <v>3587</v>
      </c>
      <c r="C841" s="3" t="s">
        <v>3588</v>
      </c>
      <c r="D841" s="3" t="s">
        <v>3589</v>
      </c>
      <c r="E841" s="3" t="s">
        <v>3590</v>
      </c>
      <c r="F841" s="3" t="s">
        <v>3591</v>
      </c>
      <c r="G841" s="3" t="str">
        <f ca="1">IFERROR(__xludf.DUMMYFUNCTION("googletranslate(D841,""en"",""ja"")"),"形質細胞/Bリンパ球のメモリースイッチ。形質細胞/BLym Mem Sw;形質細胞/BLymMSw")</f>
        <v>形質細胞/Bリンパ球のメモリースイッチ。形質細胞/BLym Mem Sw;形質細胞/BLymMSw</v>
      </c>
      <c r="H841" s="3" t="str">
        <f ca="1">IFERROR(__xludf.DUMMYFUNCTION("googletranslate(E841,""en"",""ja"")"),"生物学的標本中のクラススイッチ記憶 B リンパ球に対する形質細胞の相対測定値 (比率またはパーセンテージ)。")</f>
        <v>生物学的標本中のクラススイッチ記憶 B リンパ球に対する形質細胞の相対測定値 (比率またはパーセンテージ)。</v>
      </c>
      <c r="I841" s="3" t="str">
        <f ca="1">IFERROR(__xludf.DUMMYFUNCTION("googletranslate(F841,""en"",""ja"")"),"形質細胞とクラススイッチ記憶Bリンパ球の比率の測定")</f>
        <v>形質細胞とクラススイッチ記憶Bリンパ球の比率の測定</v>
      </c>
    </row>
    <row r="842" spans="1:9" ht="30">
      <c r="A842" s="3" t="s">
        <v>67</v>
      </c>
      <c r="B842" s="3" t="s">
        <v>3592</v>
      </c>
      <c r="C842" s="3" t="s">
        <v>3593</v>
      </c>
      <c r="D842" s="3" t="s">
        <v>3594</v>
      </c>
      <c r="E842" s="3" t="s">
        <v>3595</v>
      </c>
      <c r="F842" s="3" t="s">
        <v>3596</v>
      </c>
      <c r="G842" s="3" t="str">
        <f ca="1">IFERROR(__xludf.DUMMYFUNCTION("googletranslate(D842,""en"",""ja"")"),"HCoV-229E 核酸;ヒトコロナウイルス 229E 核酸")</f>
        <v>HCoV-229E 核酸;ヒトコロナウイルス 229E 核酸</v>
      </c>
      <c r="H842" s="3" t="str">
        <f ca="1">IFERROR(__xludf.DUMMYFUNCTION("googletranslate(E842,""en"",""ja"")"),"生物学的検体中のヒトコロナウイルス 229E 核酸の測定。")</f>
        <v>生物学的検体中のヒトコロナウイルス 229E 核酸の測定。</v>
      </c>
      <c r="I842" s="3" t="str">
        <f ca="1">IFERROR(__xludf.DUMMYFUNCTION("googletranslate(F842,""en"",""ja"")"),"ヒトコロナウイルス 229E 核酸測定")</f>
        <v>ヒトコロナウイルス 229E 核酸測定</v>
      </c>
    </row>
    <row r="843" spans="1:9" ht="30">
      <c r="A843" s="3" t="s">
        <v>67</v>
      </c>
      <c r="B843" s="3" t="s">
        <v>3597</v>
      </c>
      <c r="C843" s="3" t="s">
        <v>3598</v>
      </c>
      <c r="D843" s="3" t="s">
        <v>3599</v>
      </c>
      <c r="E843" s="3" t="s">
        <v>3600</v>
      </c>
      <c r="F843" s="3" t="s">
        <v>3601</v>
      </c>
      <c r="G843" s="3" t="str">
        <f ca="1">IFERROR(__xludf.DUMMYFUNCTION("googletranslate(D843,""en"",""ja"")"),"HCoV-229E RNA;ヒトコロナウイルス 229E RNA")</f>
        <v>HCoV-229E RNA;ヒトコロナウイルス 229E RNA</v>
      </c>
      <c r="H843" s="3" t="str">
        <f ca="1">IFERROR(__xludf.DUMMYFUNCTION("googletranslate(E843,""en"",""ja"")"),"生物学的検体中のヒトコロナウイルス 229E RNA の測定。")</f>
        <v>生物学的検体中のヒトコロナウイルス 229E RNA の測定。</v>
      </c>
      <c r="I843" s="3" t="str">
        <f ca="1">IFERROR(__xludf.DUMMYFUNCTION("googletranslate(F843,""en"",""ja"")"),"HCoV-229E RNA測定")</f>
        <v>HCoV-229E RNA測定</v>
      </c>
    </row>
    <row r="844" spans="1:9" ht="30">
      <c r="A844" s="3" t="s">
        <v>6</v>
      </c>
      <c r="B844" s="3" t="s">
        <v>3602</v>
      </c>
      <c r="C844" s="3" t="s">
        <v>3603</v>
      </c>
      <c r="D844" s="3" t="s">
        <v>3603</v>
      </c>
      <c r="E844" s="3" t="s">
        <v>3604</v>
      </c>
      <c r="F844" s="3" t="s">
        <v>3605</v>
      </c>
      <c r="G844" s="3" t="str">
        <f ca="1">IFERROR(__xludf.DUMMYFUNCTION("googletranslate(D844,""en"",""ja"")"),"補体C2、遊離")</f>
        <v>補体C2、遊離</v>
      </c>
      <c r="H844" s="3" t="str">
        <f ca="1">IFERROR(__xludf.DUMMYFUNCTION("googletranslate(E844,""en"",""ja"")"),"生物学的標本中の遊離補体 C2 の測定。")</f>
        <v>生物学的標本中の遊離補体 C2 の測定。</v>
      </c>
      <c r="I844" s="3" t="str">
        <f ca="1">IFERROR(__xludf.DUMMYFUNCTION("googletranslate(F844,""en"",""ja"")"),"遊離補体C2測定")</f>
        <v>遊離補体C2測定</v>
      </c>
    </row>
    <row r="845" spans="1:9" ht="45">
      <c r="A845" s="3" t="s">
        <v>6</v>
      </c>
      <c r="B845" s="3" t="s">
        <v>3606</v>
      </c>
      <c r="C845" s="3" t="s">
        <v>3607</v>
      </c>
      <c r="D845" s="3" t="s">
        <v>3607</v>
      </c>
      <c r="E845" s="3" t="s">
        <v>3608</v>
      </c>
      <c r="F845" s="3" t="s">
        <v>3609</v>
      </c>
      <c r="G845" s="3" t="str">
        <f ca="1">IFERROR(__xludf.DUMMYFUNCTION("googletranslate(D845,""en"",""ja"")"),"補体 C2、遊離/補体 C2")</f>
        <v>補体 C2、遊離/補体 C2</v>
      </c>
      <c r="H845" s="3" t="str">
        <f ca="1">IFERROR(__xludf.DUMMYFUNCTION("googletranslate(E845,""en"",""ja"")"),"生物学的標本中の総補体 C2 に対する遊離補体 C2 の相対測定値 (比率またはパーセンテージ)。")</f>
        <v>生物学的標本中の総補体 C2 に対する遊離補体 C2 の相対測定値 (比率またはパーセンテージ)。</v>
      </c>
      <c r="I845" s="3" t="str">
        <f ca="1">IFERROR(__xludf.DUMMYFUNCTION("googletranslate(F845,""en"",""ja"")"),"遊離補体C2対補体C2比測定")</f>
        <v>遊離補体C2対補体C2比測定</v>
      </c>
    </row>
    <row r="846" spans="1:9" ht="30">
      <c r="A846" s="3" t="s">
        <v>6</v>
      </c>
      <c r="B846" s="3" t="s">
        <v>3610</v>
      </c>
      <c r="C846" s="3" t="s">
        <v>3611</v>
      </c>
      <c r="D846" s="3" t="s">
        <v>3611</v>
      </c>
      <c r="E846" s="3" t="s">
        <v>3612</v>
      </c>
      <c r="F846" s="3" t="s">
        <v>3613</v>
      </c>
      <c r="G846" s="3" t="str">
        <f ca="1">IFERROR(__xludf.DUMMYFUNCTION("googletranslate(D846,""en"",""ja"")"),"補体C3")</f>
        <v>補体C3</v>
      </c>
      <c r="H846" s="3" t="str">
        <f ca="1">IFERROR(__xludf.DUMMYFUNCTION("googletranslate(E846,""en"",""ja"")"),"生物学的標本中の補体 C3 の測定。")</f>
        <v>生物学的標本中の補体 C3 の測定。</v>
      </c>
      <c r="I846" s="3" t="str">
        <f ca="1">IFERROR(__xludf.DUMMYFUNCTION("googletranslate(F846,""en"",""ja"")"),"補体C3の測定")</f>
        <v>補体C3の測定</v>
      </c>
    </row>
    <row r="847" spans="1:9" ht="30">
      <c r="A847" s="3" t="s">
        <v>6</v>
      </c>
      <c r="B847" s="3" t="s">
        <v>3614</v>
      </c>
      <c r="C847" s="3" t="s">
        <v>3615</v>
      </c>
      <c r="D847" s="3" t="s">
        <v>3615</v>
      </c>
      <c r="E847" s="3" t="s">
        <v>3616</v>
      </c>
      <c r="F847" s="3" t="s">
        <v>3617</v>
      </c>
      <c r="G847" s="3" t="str">
        <f ca="1">IFERROR(__xludf.DUMMYFUNCTION("googletranslate(D847,""en"",""ja"")"),"補体C3a")</f>
        <v>補体C3a</v>
      </c>
      <c r="H847" s="3" t="str">
        <f ca="1">IFERROR(__xludf.DUMMYFUNCTION("googletranslate(E847,""en"",""ja"")"),"生物学的標本中の補体 C3a の測定。")</f>
        <v>生物学的標本中の補体 C3a の測定。</v>
      </c>
      <c r="I847" s="3" t="str">
        <f ca="1">IFERROR(__xludf.DUMMYFUNCTION("googletranslate(F847,""en"",""ja"")"),"補体C3aの測定")</f>
        <v>補体C3aの測定</v>
      </c>
    </row>
    <row r="848" spans="1:9" ht="30">
      <c r="A848" s="3" t="s">
        <v>6</v>
      </c>
      <c r="B848" s="3" t="s">
        <v>3618</v>
      </c>
      <c r="C848" s="3" t="s">
        <v>3619</v>
      </c>
      <c r="D848" s="3" t="s">
        <v>3620</v>
      </c>
      <c r="E848" s="3" t="s">
        <v>3621</v>
      </c>
      <c r="F848" s="3" t="s">
        <v>3622</v>
      </c>
      <c r="G848" s="3" t="str">
        <f ca="1">IFERROR(__xludf.DUMMYFUNCTION("googletranslate(D848,""en"",""ja"")"),"アシル化刺激タンパク質; ASP;補体C3aの設計")</f>
        <v>アシル化刺激タンパク質; ASP;補体C3aの設計</v>
      </c>
      <c r="H848" s="3" t="str">
        <f ca="1">IFERROR(__xludf.DUMMYFUNCTION("googletranslate(E848,""en"",""ja"")"),"生物学的標本における補体 C3a DesArg の測定。")</f>
        <v>生物学的標本における補体 C3a DesArg の測定。</v>
      </c>
      <c r="I848" s="3" t="str">
        <f ca="1">IFERROR(__xludf.DUMMYFUNCTION("googletranslate(F848,""en"",""ja"")"),"補体C3a DesArg測定")</f>
        <v>補体C3a DesArg測定</v>
      </c>
    </row>
    <row r="849" spans="1:9" ht="30">
      <c r="A849" s="3" t="s">
        <v>6</v>
      </c>
      <c r="B849" s="3" t="s">
        <v>3623</v>
      </c>
      <c r="C849" s="3" t="s">
        <v>3624</v>
      </c>
      <c r="D849" s="3" t="s">
        <v>3624</v>
      </c>
      <c r="E849" s="3" t="s">
        <v>3625</v>
      </c>
      <c r="F849" s="3" t="s">
        <v>3626</v>
      </c>
      <c r="G849" s="3" t="str">
        <f ca="1">IFERROR(__xludf.DUMMYFUNCTION("googletranslate(D849,""en"",""ja"")"),"補体C3b")</f>
        <v>補体C3b</v>
      </c>
      <c r="H849" s="3" t="str">
        <f ca="1">IFERROR(__xludf.DUMMYFUNCTION("googletranslate(E849,""en"",""ja"")"),"生物学的標本中の補体 C3b の測定。")</f>
        <v>生物学的標本中の補体 C3b の測定。</v>
      </c>
      <c r="I849" s="3" t="str">
        <f ca="1">IFERROR(__xludf.DUMMYFUNCTION("googletranslate(F849,""en"",""ja"")"),"補体C3b測定")</f>
        <v>補体C3b測定</v>
      </c>
    </row>
    <row r="850" spans="1:9" ht="30">
      <c r="A850" s="3" t="s">
        <v>6</v>
      </c>
      <c r="B850" s="3" t="s">
        <v>3627</v>
      </c>
      <c r="C850" s="3" t="s">
        <v>3628</v>
      </c>
      <c r="D850" s="3" t="s">
        <v>3628</v>
      </c>
      <c r="E850" s="3" t="s">
        <v>3629</v>
      </c>
      <c r="F850" s="3" t="s">
        <v>3630</v>
      </c>
      <c r="G850" s="3" t="str">
        <f ca="1">IFERROR(__xludf.DUMMYFUNCTION("googletranslate(D850,""en"",""ja"")"),"補体C3c")</f>
        <v>補体C3c</v>
      </c>
      <c r="H850" s="3" t="str">
        <f ca="1">IFERROR(__xludf.DUMMYFUNCTION("googletranslate(E850,""en"",""ja"")"),"生物学的標本中の補体 C3c の測定。")</f>
        <v>生物学的標本中の補体 C3c の測定。</v>
      </c>
      <c r="I850" s="3" t="str">
        <f ca="1">IFERROR(__xludf.DUMMYFUNCTION("googletranslate(F850,""en"",""ja"")"),"補体C3c測定")</f>
        <v>補体C3c測定</v>
      </c>
    </row>
    <row r="851" spans="1:9" ht="30">
      <c r="A851" s="3" t="s">
        <v>6</v>
      </c>
      <c r="B851" s="3" t="s">
        <v>3631</v>
      </c>
      <c r="C851" s="3" t="s">
        <v>3632</v>
      </c>
      <c r="D851" s="3" t="s">
        <v>3632</v>
      </c>
      <c r="E851" s="3" t="s">
        <v>3633</v>
      </c>
      <c r="F851" s="3" t="s">
        <v>3634</v>
      </c>
      <c r="G851" s="3" t="str">
        <f ca="1">IFERROR(__xludf.DUMMYFUNCTION("googletranslate(D851,""en"",""ja"")"),"コラーゲンIIIネオペプチドC3M")</f>
        <v>コラーゲンIIIネオペプチドC3M</v>
      </c>
      <c r="H851" s="3" t="str">
        <f ca="1">IFERROR(__xludf.DUMMYFUNCTION("googletranslate(E851,""en"",""ja"")"),"生体標本中のコラーゲン III ネオペプチド C3M の測定。")</f>
        <v>生体標本中のコラーゲン III ネオペプチド C3M の測定。</v>
      </c>
      <c r="I851" s="3" t="str">
        <f ca="1">IFERROR(__xludf.DUMMYFUNCTION("googletranslate(F851,""en"",""ja"")"),"コラーゲンIIIネオペプチドC3M測定")</f>
        <v>コラーゲンIIIネオペプチドC3M測定</v>
      </c>
    </row>
    <row r="852" spans="1:9" ht="30">
      <c r="A852" s="3" t="s">
        <v>6</v>
      </c>
      <c r="B852" s="3" t="s">
        <v>3635</v>
      </c>
      <c r="C852" s="3" t="s">
        <v>3636</v>
      </c>
      <c r="D852" s="3" t="s">
        <v>3636</v>
      </c>
      <c r="E852" s="3" t="s">
        <v>3637</v>
      </c>
      <c r="F852" s="3" t="s">
        <v>3638</v>
      </c>
      <c r="G852" s="3" t="str">
        <f ca="1">IFERROR(__xludf.DUMMYFUNCTION("googletranslate(D852,""en"",""ja"")"),"補体C4")</f>
        <v>補体C4</v>
      </c>
      <c r="H852" s="3" t="str">
        <f ca="1">IFERROR(__xludf.DUMMYFUNCTION("googletranslate(E852,""en"",""ja"")"),"生物学的標本中の補体 C4 の測定。")</f>
        <v>生物学的標本中の補体 C4 の測定。</v>
      </c>
      <c r="I852" s="3" t="str">
        <f ca="1">IFERROR(__xludf.DUMMYFUNCTION("googletranslate(F852,""en"",""ja"")"),"補体C4の測定")</f>
        <v>補体C4の測定</v>
      </c>
    </row>
    <row r="853" spans="1:9" ht="30">
      <c r="A853" s="3" t="s">
        <v>6</v>
      </c>
      <c r="B853" s="3" t="s">
        <v>3639</v>
      </c>
      <c r="C853" s="3" t="s">
        <v>3640</v>
      </c>
      <c r="D853" s="3" t="s">
        <v>3640</v>
      </c>
      <c r="E853" s="3" t="s">
        <v>3641</v>
      </c>
      <c r="F853" s="3" t="s">
        <v>3642</v>
      </c>
      <c r="G853" s="3" t="str">
        <f ca="1">IFERROR(__xludf.DUMMYFUNCTION("googletranslate(D853,""en"",""ja"")"),"補体C4a")</f>
        <v>補体C4a</v>
      </c>
      <c r="H853" s="3" t="str">
        <f ca="1">IFERROR(__xludf.DUMMYFUNCTION("googletranslate(E853,""en"",""ja"")"),"生物学的標本中の補体 C4a の測定。")</f>
        <v>生物学的標本中の補体 C4a の測定。</v>
      </c>
      <c r="I853" s="3" t="str">
        <f ca="1">IFERROR(__xludf.DUMMYFUNCTION("googletranslate(F853,""en"",""ja"")"),"補体C4aの測定")</f>
        <v>補体C4aの測定</v>
      </c>
    </row>
    <row r="854" spans="1:9" ht="30">
      <c r="A854" s="3" t="s">
        <v>6</v>
      </c>
      <c r="B854" s="3" t="s">
        <v>3643</v>
      </c>
      <c r="C854" s="3" t="s">
        <v>3644</v>
      </c>
      <c r="D854" s="3" t="s">
        <v>3644</v>
      </c>
      <c r="E854" s="3" t="s">
        <v>3645</v>
      </c>
      <c r="F854" s="3" t="s">
        <v>3646</v>
      </c>
      <c r="G854" s="3" t="str">
        <f ca="1">IFERROR(__xludf.DUMMYFUNCTION("googletranslate(D854,""en"",""ja"")"),"補体C4d")</f>
        <v>補体C4d</v>
      </c>
      <c r="H854" s="3" t="str">
        <f ca="1">IFERROR(__xludf.DUMMYFUNCTION("googletranslate(E854,""en"",""ja"")"),"生物学的標本中の補体 C4d の測定。")</f>
        <v>生物学的標本中の補体 C4d の測定。</v>
      </c>
      <c r="I854" s="3" t="str">
        <f ca="1">IFERROR(__xludf.DUMMYFUNCTION("googletranslate(F854,""en"",""ja"")"),"補体C4d測定")</f>
        <v>補体C4d測定</v>
      </c>
    </row>
    <row r="855" spans="1:9" ht="30">
      <c r="A855" s="3" t="s">
        <v>6</v>
      </c>
      <c r="B855" s="3" t="s">
        <v>3647</v>
      </c>
      <c r="C855" s="3" t="s">
        <v>3648</v>
      </c>
      <c r="D855" s="3" t="s">
        <v>3648</v>
      </c>
      <c r="E855" s="3" t="s">
        <v>3649</v>
      </c>
      <c r="F855" s="3" t="s">
        <v>3650</v>
      </c>
      <c r="G855" s="3" t="str">
        <f ca="1">IFERROR(__xludf.DUMMYFUNCTION("googletranslate(D855,""en"",""ja"")"),"補体C5")</f>
        <v>補体C5</v>
      </c>
      <c r="H855" s="3" t="str">
        <f ca="1">IFERROR(__xludf.DUMMYFUNCTION("googletranslate(E855,""en"",""ja"")"),"生物学的標本中の総補体 C5 の測定。")</f>
        <v>生物学的標本中の総補体 C5 の測定。</v>
      </c>
      <c r="I855" s="3" t="str">
        <f ca="1">IFERROR(__xludf.DUMMYFUNCTION("googletranslate(F855,""en"",""ja"")"),"補体C5の測定")</f>
        <v>補体C5の測定</v>
      </c>
    </row>
    <row r="856" spans="1:9" ht="30">
      <c r="A856" s="3" t="s">
        <v>6</v>
      </c>
      <c r="B856" s="3" t="s">
        <v>3651</v>
      </c>
      <c r="C856" s="3" t="s">
        <v>3652</v>
      </c>
      <c r="D856" s="3" t="s">
        <v>3652</v>
      </c>
      <c r="E856" s="3" t="s">
        <v>3653</v>
      </c>
      <c r="F856" s="3" t="s">
        <v>3654</v>
      </c>
      <c r="G856" s="3" t="str">
        <f ca="1">IFERROR(__xludf.DUMMYFUNCTION("googletranslate(D856,""en"",""ja"")"),"補体C5a")</f>
        <v>補体C5a</v>
      </c>
      <c r="H856" s="3" t="str">
        <f ca="1">IFERROR(__xludf.DUMMYFUNCTION("googletranslate(E856,""en"",""ja"")"),"生物学的標本中の補体 C5a の測定。")</f>
        <v>生物学的標本中の補体 C5a の測定。</v>
      </c>
      <c r="I856" s="3" t="str">
        <f ca="1">IFERROR(__xludf.DUMMYFUNCTION("googletranslate(F856,""en"",""ja"")"),"補体C5aの測定")</f>
        <v>補体C5aの測定</v>
      </c>
    </row>
    <row r="857" spans="1:9" ht="30">
      <c r="A857" s="3" t="s">
        <v>6</v>
      </c>
      <c r="B857" s="3" t="s">
        <v>3655</v>
      </c>
      <c r="C857" s="3" t="s">
        <v>3656</v>
      </c>
      <c r="D857" s="3" t="s">
        <v>3656</v>
      </c>
      <c r="E857" s="3" t="s">
        <v>3657</v>
      </c>
      <c r="F857" s="3" t="s">
        <v>3658</v>
      </c>
      <c r="G857" s="3" t="str">
        <f ca="1">IFERROR(__xludf.DUMMYFUNCTION("googletranslate(D857,""en"",""ja"")"),"補体 C5b-9")</f>
        <v>補体 C5b-9</v>
      </c>
      <c r="H857" s="3" t="str">
        <f ca="1">IFERROR(__xludf.DUMMYFUNCTION("googletranslate(E857,""en"",""ja"")"),"生物学的標本中の補体 C5b-9 の測定。")</f>
        <v>生物学的標本中の補体 C5b-9 の測定。</v>
      </c>
      <c r="I857" s="3" t="str">
        <f ca="1">IFERROR(__xludf.DUMMYFUNCTION("googletranslate(F857,""en"",""ja"")"),"補体C5b-9の測定")</f>
        <v>補体C5b-9の測定</v>
      </c>
    </row>
    <row r="858" spans="1:9" ht="60">
      <c r="A858" s="3" t="s">
        <v>6</v>
      </c>
      <c r="B858" s="3" t="s">
        <v>3659</v>
      </c>
      <c r="C858" s="3" t="s">
        <v>3660</v>
      </c>
      <c r="D858" s="3" t="s">
        <v>3661</v>
      </c>
      <c r="E858" s="3" t="s">
        <v>3662</v>
      </c>
      <c r="F858" s="3" t="s">
        <v>3663</v>
      </c>
      <c r="G858" s="3" t="str">
        <f ca="1">IFERROR(__xludf.DUMMYFUNCTION("googletranslate(D858,""en"",""ja"")"),"sC5b-9;スマック;可溶性補体 C5b-9;可溶性MAC;可溶性膜攻撃複合体; TCC;末端補体複合体")</f>
        <v>sC5b-9;スマック;可溶性補体 C5b-9;可溶性MAC;可溶性膜攻撃複合体; TCC;末端補体複合体</v>
      </c>
      <c r="H858" s="3" t="str">
        <f ca="1">IFERROR(__xludf.DUMMYFUNCTION("googletranslate(E858,""en"",""ja"")"),"生物学的標本中の可溶性補体 C5b-9 の測定。")</f>
        <v>生物学的標本中の可溶性補体 C5b-9 の測定。</v>
      </c>
      <c r="I858" s="3" t="str">
        <f ca="1">IFERROR(__xludf.DUMMYFUNCTION("googletranslate(F858,""en"",""ja"")"),"可溶性補体 C5b-9 の測定")</f>
        <v>可溶性補体 C5b-9 の測定</v>
      </c>
    </row>
    <row r="859" spans="1:9" ht="30">
      <c r="A859" s="3" t="s">
        <v>6</v>
      </c>
      <c r="B859" s="3" t="s">
        <v>3664</v>
      </c>
      <c r="C859" s="3" t="s">
        <v>3665</v>
      </c>
      <c r="D859" s="3" t="s">
        <v>3665</v>
      </c>
      <c r="E859" s="3" t="s">
        <v>3666</v>
      </c>
      <c r="F859" s="3" t="s">
        <v>3667</v>
      </c>
      <c r="G859" s="3" t="str">
        <f ca="1">IFERROR(__xludf.DUMMYFUNCTION("googletranslate(D859,""en"",""ja"")"),"補体C5、無料")</f>
        <v>補体C5、無料</v>
      </c>
      <c r="H859" s="3" t="str">
        <f ca="1">IFERROR(__xludf.DUMMYFUNCTION("googletranslate(E859,""en"",""ja"")"),"生物学的標本中の遊離補体 C5 の測定。")</f>
        <v>生物学的標本中の遊離補体 C5 の測定。</v>
      </c>
      <c r="I859" s="3" t="str">
        <f ca="1">IFERROR(__xludf.DUMMYFUNCTION("googletranslate(F859,""en"",""ja"")"),"遊離補体C5測定")</f>
        <v>遊離補体C5測定</v>
      </c>
    </row>
    <row r="860" spans="1:9">
      <c r="A860" s="3" t="s">
        <v>6</v>
      </c>
      <c r="B860" s="3" t="s">
        <v>3668</v>
      </c>
      <c r="C860" s="3" t="s">
        <v>3669</v>
      </c>
      <c r="D860" s="3" t="s">
        <v>3669</v>
      </c>
      <c r="E860" s="3" t="s">
        <v>3670</v>
      </c>
      <c r="F860" s="3" t="s">
        <v>3671</v>
      </c>
      <c r="G860" s="3" t="str">
        <f ca="1">IFERROR(__xludf.DUMMYFUNCTION("googletranslate(D860,""en"",""ja"")"),"カルシウム")</f>
        <v>カルシウム</v>
      </c>
      <c r="H860" s="3" t="str">
        <f ca="1">IFERROR(__xludf.DUMMYFUNCTION("googletranslate(E860,""en"",""ja"")"),"生物学的標本中のカルシウムの測定。")</f>
        <v>生物学的標本中のカルシウムの測定。</v>
      </c>
      <c r="I860" s="3" t="str">
        <f ca="1">IFERROR(__xludf.DUMMYFUNCTION("googletranslate(F860,""en"",""ja"")"),"カルシウム測定")</f>
        <v>カルシウム測定</v>
      </c>
    </row>
    <row r="861" spans="1:9" ht="60">
      <c r="A861" s="3" t="s">
        <v>6</v>
      </c>
      <c r="B861" s="3" t="s">
        <v>3672</v>
      </c>
      <c r="C861" s="3" t="s">
        <v>3673</v>
      </c>
      <c r="D861" s="3" t="s">
        <v>3674</v>
      </c>
      <c r="E861" s="3" t="s">
        <v>3675</v>
      </c>
      <c r="F861" s="3" t="s">
        <v>3676</v>
      </c>
      <c r="G861" s="3" t="str">
        <f ca="1">IFERROR(__xludf.DUMMYFUNCTION("googletranslate(D861,""en"",""ja"")"),"CA125; CA125AG;がん抗原 125;炭水化物抗原 125; MUC16;ムチン-16;ムチン-16、細胞表面関連")</f>
        <v>CA125; CA125AG;がん抗原 125;炭水化物抗原 125; MUC16;ムチン-16;ムチン-16、細胞表面関連</v>
      </c>
      <c r="H861" s="3" t="str">
        <f ca="1">IFERROR(__xludf.DUMMYFUNCTION("googletranslate(E861,""en"",""ja"")"),"生物学的標本中のがん抗原 125 の測定。")</f>
        <v>生物学的標本中のがん抗原 125 の測定。</v>
      </c>
      <c r="I861" s="3" t="str">
        <f ca="1">IFERROR(__xludf.DUMMYFUNCTION("googletranslate(F861,""en"",""ja"")"),"CA-125 測定")</f>
        <v>CA-125 測定</v>
      </c>
    </row>
    <row r="862" spans="1:9" ht="30">
      <c r="A862" s="3" t="s">
        <v>6</v>
      </c>
      <c r="B862" s="3" t="s">
        <v>3677</v>
      </c>
      <c r="C862" s="3" t="s">
        <v>3678</v>
      </c>
      <c r="D862" s="3" t="s">
        <v>3679</v>
      </c>
      <c r="E862" s="3" t="s">
        <v>3680</v>
      </c>
      <c r="F862" s="3" t="s">
        <v>3681</v>
      </c>
      <c r="G862" s="3" t="str">
        <f ca="1">IFERROR(__xludf.DUMMYFUNCTION("googletranslate(D862,""en"",""ja"")"),"がん抗原 15-3;炭水化物抗原 15-3")</f>
        <v>がん抗原 15-3;炭水化物抗原 15-3</v>
      </c>
      <c r="H862" s="3" t="str">
        <f ca="1">IFERROR(__xludf.DUMMYFUNCTION("googletranslate(E862,""en"",""ja"")"),"生物学的標本中のがん抗原 15-3 の測定。")</f>
        <v>生物学的標本中のがん抗原 15-3 の測定。</v>
      </c>
      <c r="I862" s="3" t="str">
        <f ca="1">IFERROR(__xludf.DUMMYFUNCTION("googletranslate(F862,""en"",""ja"")"),"がん抗原15-3の測定")</f>
        <v>がん抗原15-3の測定</v>
      </c>
    </row>
    <row r="863" spans="1:9" ht="30">
      <c r="A863" s="3" t="s">
        <v>6</v>
      </c>
      <c r="B863" s="3" t="s">
        <v>3682</v>
      </c>
      <c r="C863" s="3" t="s">
        <v>3683</v>
      </c>
      <c r="D863" s="3" t="s">
        <v>3684</v>
      </c>
      <c r="E863" s="3" t="s">
        <v>3685</v>
      </c>
      <c r="F863" s="3" t="s">
        <v>3686</v>
      </c>
      <c r="G863" s="3" t="str">
        <f ca="1">IFERROR(__xludf.DUMMYFUNCTION("googletranslate(D863,""en"",""ja"")"),"がん抗原 19-9;炭水化物抗原 19-9")</f>
        <v>がん抗原 19-9;炭水化物抗原 19-9</v>
      </c>
      <c r="H863" s="3" t="str">
        <f ca="1">IFERROR(__xludf.DUMMYFUNCTION("googletranslate(E863,""en"",""ja"")"),"生物学的標本中のがん抗原 19-9 の測定。")</f>
        <v>生物学的標本中のがん抗原 19-9 の測定。</v>
      </c>
      <c r="I863" s="3" t="str">
        <f ca="1">IFERROR(__xludf.DUMMYFUNCTION("googletranslate(F863,""en"",""ja"")"),"がん抗原19-9測定")</f>
        <v>がん抗原19-9測定</v>
      </c>
    </row>
    <row r="864" spans="1:9" ht="30">
      <c r="A864" s="3" t="s">
        <v>6</v>
      </c>
      <c r="B864" s="3" t="s">
        <v>3687</v>
      </c>
      <c r="C864" s="3" t="s">
        <v>3688</v>
      </c>
      <c r="D864" s="3" t="s">
        <v>3688</v>
      </c>
      <c r="E864" s="3" t="s">
        <v>3689</v>
      </c>
      <c r="F864" s="3" t="s">
        <v>3690</v>
      </c>
      <c r="G864" s="3" t="str">
        <f ca="1">IFERROR(__xludf.DUMMYFUNCTION("googletranslate(D864,""en"",""ja"")"),"がん抗原 1")</f>
        <v>がん抗原 1</v>
      </c>
      <c r="H864" s="3" t="str">
        <f ca="1">IFERROR(__xludf.DUMMYFUNCTION("googletranslate(E864,""en"",""ja"")"),"生体試料中のがん抗原 1 の測定。")</f>
        <v>生体試料中のがん抗原 1 の測定。</v>
      </c>
      <c r="I864" s="3" t="str">
        <f ca="1">IFERROR(__xludf.DUMMYFUNCTION("googletranslate(F864,""en"",""ja"")"),"がん抗原 1 の測定")</f>
        <v>がん抗原 1 の測定</v>
      </c>
    </row>
    <row r="865" spans="1:9" ht="30">
      <c r="A865" s="3" t="s">
        <v>6</v>
      </c>
      <c r="B865" s="3" t="s">
        <v>3691</v>
      </c>
      <c r="C865" s="3" t="s">
        <v>3692</v>
      </c>
      <c r="D865" s="3" t="s">
        <v>3693</v>
      </c>
      <c r="E865" s="3" t="s">
        <v>3694</v>
      </c>
      <c r="F865" s="3" t="s">
        <v>3695</v>
      </c>
      <c r="G865" s="3" t="str">
        <f ca="1">IFERROR(__xludf.DUMMYFUNCTION("googletranslate(D865,""en"",""ja"")"),"がん抗原 242;炭水化物抗原 242")</f>
        <v>がん抗原 242;炭水化物抗原 242</v>
      </c>
      <c r="H865" s="3" t="str">
        <f ca="1">IFERROR(__xludf.DUMMYFUNCTION("googletranslate(E865,""en"",""ja"")"),"生物学的標本中のがん抗原 242 の測定。")</f>
        <v>生物学的標本中のがん抗原 242 の測定。</v>
      </c>
      <c r="I865" s="3" t="str">
        <f ca="1">IFERROR(__xludf.DUMMYFUNCTION("googletranslate(F865,""en"",""ja"")"),"がん抗原242の測定")</f>
        <v>がん抗原242の測定</v>
      </c>
    </row>
    <row r="866" spans="1:9" ht="30">
      <c r="A866" s="3" t="s">
        <v>6</v>
      </c>
      <c r="B866" s="3" t="s">
        <v>3696</v>
      </c>
      <c r="C866" s="3" t="s">
        <v>3697</v>
      </c>
      <c r="D866" s="3" t="s">
        <v>3697</v>
      </c>
      <c r="E866" s="3" t="s">
        <v>3698</v>
      </c>
      <c r="F866" s="3" t="s">
        <v>3699</v>
      </c>
      <c r="G866" s="3" t="str">
        <f ca="1">IFERROR(__xludf.DUMMYFUNCTION("googletranslate(D866,""en"",""ja"")"),"がん抗原 27-29")</f>
        <v>がん抗原 27-29</v>
      </c>
      <c r="H866" s="3" t="str">
        <f ca="1">IFERROR(__xludf.DUMMYFUNCTION("googletranslate(E866,""en"",""ja"")"),"生物学的標本中のがん抗原 27-29 の測定。")</f>
        <v>生物学的標本中のがん抗原 27-29 の測定。</v>
      </c>
      <c r="I866" s="3" t="str">
        <f ca="1">IFERROR(__xludf.DUMMYFUNCTION("googletranslate(F866,""en"",""ja"")"),"がん抗原27-29の測定")</f>
        <v>がん抗原27-29の測定</v>
      </c>
    </row>
    <row r="867" spans="1:9" ht="30">
      <c r="A867" s="3" t="s">
        <v>6</v>
      </c>
      <c r="B867" s="3" t="s">
        <v>3700</v>
      </c>
      <c r="C867" s="3" t="s">
        <v>3701</v>
      </c>
      <c r="D867" s="3" t="s">
        <v>3702</v>
      </c>
      <c r="E867" s="3" t="s">
        <v>3703</v>
      </c>
      <c r="F867" s="3" t="s">
        <v>3704</v>
      </c>
      <c r="G867" s="3" t="str">
        <f ca="1">IFERROR(__xludf.DUMMYFUNCTION("googletranslate(D867,""en"",""ja"")"),"CA50;がん抗原 50;炭水化物抗原 50")</f>
        <v>CA50;がん抗原 50;炭水化物抗原 50</v>
      </c>
      <c r="H867" s="3" t="str">
        <f ca="1">IFERROR(__xludf.DUMMYFUNCTION("googletranslate(E867,""en"",""ja"")"),"生物学的標本中のがん抗原 50 の測定。")</f>
        <v>生物学的標本中のがん抗原 50 の測定。</v>
      </c>
      <c r="I867" s="3" t="str">
        <f ca="1">IFERROR(__xludf.DUMMYFUNCTION("googletranslate(F867,""en"",""ja"")"),"がん抗原50の測定")</f>
        <v>がん抗原50の測定</v>
      </c>
    </row>
    <row r="868" spans="1:9" ht="30">
      <c r="A868" s="3" t="s">
        <v>6</v>
      </c>
      <c r="B868" s="3" t="s">
        <v>3705</v>
      </c>
      <c r="C868" s="3" t="s">
        <v>3706</v>
      </c>
      <c r="D868" s="3" t="s">
        <v>3707</v>
      </c>
      <c r="E868" s="3" t="s">
        <v>3708</v>
      </c>
      <c r="F868" s="3" t="s">
        <v>3709</v>
      </c>
      <c r="G868" s="3" t="str">
        <f ca="1">IFERROR(__xludf.DUMMYFUNCTION("googletranslate(D868,""en"",""ja"")"),"CA 72-4;がん抗原 72-4;炭水化物抗原 72-4")</f>
        <v>CA 72-4;がん抗原 72-4;炭水化物抗原 72-4</v>
      </c>
      <c r="H868" s="3" t="str">
        <f ca="1">IFERROR(__xludf.DUMMYFUNCTION("googletranslate(E868,""en"",""ja"")"),"生物学的標本中のがん抗原 72-4 の測定。")</f>
        <v>生物学的標本中のがん抗原 72-4 の測定。</v>
      </c>
      <c r="I868" s="3" t="str">
        <f ca="1">IFERROR(__xludf.DUMMYFUNCTION("googletranslate(F868,""en"",""ja"")"),"がん抗原72-4の測定")</f>
        <v>がん抗原72-4の測定</v>
      </c>
    </row>
    <row r="869" spans="1:9" ht="30">
      <c r="A869" s="3" t="s">
        <v>142</v>
      </c>
      <c r="B869" s="3" t="s">
        <v>3710</v>
      </c>
      <c r="C869" s="3" t="s">
        <v>3711</v>
      </c>
      <c r="D869" s="3" t="s">
        <v>3711</v>
      </c>
      <c r="E869" s="3" t="s">
        <v>3712</v>
      </c>
      <c r="F869" s="3" t="s">
        <v>3711</v>
      </c>
      <c r="G869" s="3" t="str">
        <f ca="1">IFERROR(__xludf.DUMMYFUNCTION("googletranslate(D869,""en"",""ja"")"),"先天異常の指標")</f>
        <v>先天異常の指標</v>
      </c>
      <c r="H869" s="3" t="str">
        <f ca="1">IFERROR(__xludf.DUMMYFUNCTION("googletranslate(E869,""en"",""ja"")"),"出生時または新生児期に何らかの異常が存在したかどうかを示す指標。")</f>
        <v>出生時または新生児期に何らかの異常が存在したかどうかを示す指標。</v>
      </c>
      <c r="I869" s="3" t="str">
        <f ca="1">IFERROR(__xludf.DUMMYFUNCTION("googletranslate(F869,""en"",""ja"")"),"先天異常の指標")</f>
        <v>先天異常の指標</v>
      </c>
    </row>
    <row r="870" spans="1:9" ht="45">
      <c r="A870" s="3" t="s">
        <v>6</v>
      </c>
      <c r="B870" s="3" t="s">
        <v>3713</v>
      </c>
      <c r="C870" s="3" t="s">
        <v>3714</v>
      </c>
      <c r="D870" s="3" t="s">
        <v>3714</v>
      </c>
      <c r="E870" s="3" t="s">
        <v>3715</v>
      </c>
      <c r="F870" s="3" t="s">
        <v>3716</v>
      </c>
      <c r="G870" s="3" t="str">
        <f ca="1">IFERROR(__xludf.DUMMYFUNCTION("googletranslate(D870,""en"",""ja"")"),"カボットリング")</f>
        <v>カボットリング</v>
      </c>
      <c r="H870" s="3" t="str">
        <f ca="1">IFERROR(__xludf.DUMMYFUNCTION("googletranslate(E870,""en"",""ja"")"),"生物学的標本中のカボット リング (赤紫色の染色、糸状、リングまたは赤血球の 8 の字型のフィラメント) の測定。")</f>
        <v>生物学的標本中のカボット リング (赤紫色の染色、糸状、リングまたは赤血球の 8 の字型のフィラメント) の測定。</v>
      </c>
      <c r="I870" s="3" t="str">
        <f ca="1">IFERROR(__xludf.DUMMYFUNCTION("googletranslate(F870,""en"",""ja"")"),"カボットのリング数")</f>
        <v>カボットのリング数</v>
      </c>
    </row>
    <row r="871" spans="1:9" ht="45">
      <c r="A871" s="3" t="s">
        <v>6</v>
      </c>
      <c r="B871" s="3" t="s">
        <v>3717</v>
      </c>
      <c r="C871" s="3" t="s">
        <v>3718</v>
      </c>
      <c r="D871" s="3" t="s">
        <v>3718</v>
      </c>
      <c r="E871" s="3" t="s">
        <v>3719</v>
      </c>
      <c r="F871" s="3" t="s">
        <v>3720</v>
      </c>
      <c r="G871" s="3" t="str">
        <f ca="1">IFERROR(__xludf.DUMMYFUNCTION("googletranslate(D871,""en"",""ja"")"),"カルシウムクリアランス")</f>
        <v>カルシウムクリアランス</v>
      </c>
      <c r="H871" s="3" t="str">
        <f ca="1">IFERROR(__xludf.DUMMYFUNCTION("googletranslate(E871,""en"",""ja"")"),"指定された時間単位 (例: 1 分) の尿の排泄によってカルシウムが除去される血清または血漿の量の測定値。")</f>
        <v>指定された時間単位 (例: 1 分) の尿の排泄によってカルシウムが除去される血清または血漿の量の測定値。</v>
      </c>
      <c r="I871" s="3" t="str">
        <f ca="1">IFERROR(__xludf.DUMMYFUNCTION("googletranslate(F871,""en"",""ja"")"),"カルシウムクリアランス測定")</f>
        <v>カルシウムクリアランス測定</v>
      </c>
    </row>
    <row r="872" spans="1:9" ht="30">
      <c r="A872" s="3" t="s">
        <v>6</v>
      </c>
      <c r="B872" s="3" t="s">
        <v>3721</v>
      </c>
      <c r="C872" s="3" t="s">
        <v>3722</v>
      </c>
      <c r="D872" s="3" t="s">
        <v>3722</v>
      </c>
      <c r="E872" s="3" t="s">
        <v>3723</v>
      </c>
      <c r="F872" s="3" t="s">
        <v>3724</v>
      </c>
      <c r="G872" s="3" t="str">
        <f ca="1">IFERROR(__xludf.DUMMYFUNCTION("googletranslate(D872,""en"",""ja"")"),"カルシウム補正")</f>
        <v>カルシウム補正</v>
      </c>
      <c r="H872" s="3" t="str">
        <f ca="1">IFERROR(__xludf.DUMMYFUNCTION("googletranslate(E872,""en"",""ja"")"),"生体標本中の不特定のタンパク質を使用して補正されたカルシウムの測定。")</f>
        <v>生体標本中の不特定のタンパク質を使用して補正されたカルシウムの測定。</v>
      </c>
      <c r="I872" s="3" t="str">
        <f ca="1">IFERROR(__xludf.DUMMYFUNCTION("googletranslate(F872,""en"",""ja"")"),"カルシウム補正測定")</f>
        <v>カルシウム補正測定</v>
      </c>
    </row>
    <row r="873" spans="1:9" ht="30">
      <c r="A873" s="3" t="s">
        <v>6</v>
      </c>
      <c r="B873" s="3" t="s">
        <v>3725</v>
      </c>
      <c r="C873" s="3" t="s">
        <v>3726</v>
      </c>
      <c r="D873" s="3" t="s">
        <v>3726</v>
      </c>
      <c r="E873" s="3" t="s">
        <v>3727</v>
      </c>
      <c r="F873" s="3" t="s">
        <v>3728</v>
      </c>
      <c r="G873" s="3" t="str">
        <f ca="1">IFERROR(__xludf.DUMMYFUNCTION("googletranslate(D873,""en"",""ja"")"),"アルブミンを補正したカルシウム")</f>
        <v>アルブミンを補正したカルシウム</v>
      </c>
      <c r="H873" s="3" t="str">
        <f ca="1">IFERROR(__xludf.DUMMYFUNCTION("googletranslate(E873,""en"",""ja"")"),"生物学的標本中のアルブミンについて補正されたカルシウムの測定。")</f>
        <v>生物学的標本中のアルブミンについて補正されたカルシウムの測定。</v>
      </c>
      <c r="I873" s="3" t="str">
        <f ca="1">IFERROR(__xludf.DUMMYFUNCTION("googletranslate(F873,""en"",""ja"")"),"アルブミン補正カルシウム測定")</f>
        <v>アルブミン補正カルシウム測定</v>
      </c>
    </row>
    <row r="874" spans="1:9" ht="45">
      <c r="A874" s="3" t="s">
        <v>6</v>
      </c>
      <c r="B874" s="3" t="s">
        <v>3729</v>
      </c>
      <c r="C874" s="3" t="s">
        <v>3730</v>
      </c>
      <c r="D874" s="3" t="s">
        <v>3730</v>
      </c>
      <c r="E874" s="3" t="s">
        <v>3731</v>
      </c>
      <c r="F874" s="3" t="s">
        <v>3732</v>
      </c>
      <c r="G874" s="3" t="str">
        <f ca="1">IFERROR(__xludf.DUMMYFUNCTION("googletranslate(D874,""en"",""ja"")"),"カルシウム/クレアチニン")</f>
        <v>カルシウム/クレアチニン</v>
      </c>
      <c r="H874" s="3" t="str">
        <f ca="1">IFERROR(__xludf.DUMMYFUNCTION("googletranslate(E874,""en"",""ja"")"),"生物学的標本中のクレアチニンに対するカルシウムの相対的な測定値 (比率またはパーセンテージ)。")</f>
        <v>生物学的標本中のクレアチニンに対するカルシウムの相対的な測定値 (比率またはパーセンテージ)。</v>
      </c>
      <c r="I874" s="3" t="str">
        <f ca="1">IFERROR(__xludf.DUMMYFUNCTION("googletranslate(F874,""en"",""ja"")"),"カルシウムとクレアチニンの比率の測定")</f>
        <v>カルシウムとクレアチニンの比率の測定</v>
      </c>
    </row>
    <row r="875" spans="1:9" ht="30">
      <c r="A875" s="3" t="s">
        <v>6</v>
      </c>
      <c r="B875" s="3" t="s">
        <v>3733</v>
      </c>
      <c r="C875" s="3" t="s">
        <v>3734</v>
      </c>
      <c r="D875" s="3" t="s">
        <v>3734</v>
      </c>
      <c r="E875" s="3" t="s">
        <v>3735</v>
      </c>
      <c r="F875" s="3" t="s">
        <v>3736</v>
      </c>
      <c r="G875" s="3" t="str">
        <f ca="1">IFERROR(__xludf.DUMMYFUNCTION("googletranslate(D875,""en"",""ja"")"),"総タンパク質に対して補正されたカルシウム")</f>
        <v>総タンパク質に対して補正されたカルシウム</v>
      </c>
      <c r="H875" s="3" t="str">
        <f ca="1">IFERROR(__xludf.DUMMYFUNCTION("googletranslate(E875,""en"",""ja"")"),"生体標本中の総タンパク質について補正されたカルシウムの測定値。")</f>
        <v>生体標本中の総タンパク質について補正されたカルシウムの測定値。</v>
      </c>
      <c r="I875" s="3" t="str">
        <f ca="1">IFERROR(__xludf.DUMMYFUNCTION("googletranslate(F875,""en"",""ja"")"),"総タンパク質測定用に補正されたカルシウム")</f>
        <v>総タンパク質測定用に補正されたカルシウム</v>
      </c>
    </row>
    <row r="876" spans="1:9">
      <c r="A876" s="3" t="s">
        <v>51</v>
      </c>
      <c r="B876" s="3" t="s">
        <v>3737</v>
      </c>
      <c r="C876" s="3" t="s">
        <v>3738</v>
      </c>
      <c r="D876" s="3" t="s">
        <v>3738</v>
      </c>
      <c r="E876" s="3" t="s">
        <v>3739</v>
      </c>
      <c r="F876" s="3" t="s">
        <v>3740</v>
      </c>
      <c r="G876" s="3" t="str">
        <f ca="1">IFERROR(__xludf.DUMMYFUNCTION("googletranslate(D876,""en"",""ja"")"),"カドミウム")</f>
        <v>カドミウム</v>
      </c>
      <c r="H876" s="3" t="str">
        <f ca="1">IFERROR(__xludf.DUMMYFUNCTION("googletranslate(E876,""en"",""ja"")"),"試料中のカドミウムの測定。")</f>
        <v>試料中のカドミウムの測定。</v>
      </c>
      <c r="I876" s="3" t="str">
        <f ca="1">IFERROR(__xludf.DUMMYFUNCTION("googletranslate(F876,""en"",""ja"")"),"カドミウム測定")</f>
        <v>カドミウム測定</v>
      </c>
    </row>
    <row r="877" spans="1:9">
      <c r="A877" s="3" t="s">
        <v>6</v>
      </c>
      <c r="B877" s="3" t="s">
        <v>3737</v>
      </c>
      <c r="C877" s="3" t="s">
        <v>3738</v>
      </c>
      <c r="D877" s="3" t="s">
        <v>3738</v>
      </c>
      <c r="E877" s="3" t="s">
        <v>3739</v>
      </c>
      <c r="F877" s="3" t="s">
        <v>3740</v>
      </c>
      <c r="G877" s="3" t="str">
        <f ca="1">IFERROR(__xludf.DUMMYFUNCTION("googletranslate(D877,""en"",""ja"")"),"カドミウム")</f>
        <v>カドミウム</v>
      </c>
      <c r="H877" s="3" t="str">
        <f ca="1">IFERROR(__xludf.DUMMYFUNCTION("googletranslate(E877,""en"",""ja"")"),"試料中のカドミウムの測定。")</f>
        <v>試料中のカドミウムの測定。</v>
      </c>
      <c r="I877" s="3" t="str">
        <f ca="1">IFERROR(__xludf.DUMMYFUNCTION("googletranslate(F877,""en"",""ja"")"),"カドミウム測定")</f>
        <v>カドミウム測定</v>
      </c>
    </row>
    <row r="878" spans="1:9" ht="105">
      <c r="A878" s="3" t="s">
        <v>6</v>
      </c>
      <c r="B878" s="3" t="s">
        <v>3741</v>
      </c>
      <c r="C878" s="3" t="s">
        <v>3742</v>
      </c>
      <c r="D878" s="3" t="s">
        <v>3743</v>
      </c>
      <c r="E878" s="3" t="s">
        <v>3744</v>
      </c>
      <c r="F878" s="3" t="s">
        <v>3745</v>
      </c>
      <c r="G878" s="3" t="str">
        <f ca="1">IFERROR(__xludf.DUMMYFUNCTION("googletranslate(D878,""en"",""ja"")"),"ADP-リボシルシクラーゼ 1; ADP-リボシルシクラーゼ/環状ADP-リボースヒドロラーゼ1; ADPRC1; cADPrヒドロラーゼ1;環状ADPリボースヒドロラーゼ;環状ADPリボースヒドロラーゼ1;可溶性CD38")</f>
        <v>ADP-リボシルシクラーゼ 1; ADP-リボシルシクラーゼ/環状ADP-リボースヒドロラーゼ1; ADPRC1; cADPrヒドロラーゼ1;環状ADPリボースヒドロラーゼ;環状ADPリボースヒドロラーゼ1;可溶性CD38</v>
      </c>
      <c r="H878" s="3" t="str">
        <f ca="1">IFERROR(__xludf.DUMMYFUNCTION("googletranslate(E878,""en"",""ja"")"),"生物学的標本中のサイクリック ADP リボース ヒドロラーゼ 1 タンパク質の測定。")</f>
        <v>生物学的標本中のサイクリック ADP リボース ヒドロラーゼ 1 タンパク質の測定。</v>
      </c>
      <c r="I878" s="3" t="str">
        <f ca="1">IFERROR(__xludf.DUMMYFUNCTION("googletranslate(F878,""en"",""ja"")"),"サイクリックADPリボースヒドロラーゼ1の測定")</f>
        <v>サイクリックADPリボースヒドロラーゼ1の測定</v>
      </c>
    </row>
    <row r="879" spans="1:9" ht="105">
      <c r="A879" s="3" t="s">
        <v>51</v>
      </c>
      <c r="B879" s="3" t="s">
        <v>3746</v>
      </c>
      <c r="C879" s="3" t="s">
        <v>3747</v>
      </c>
      <c r="D879" s="3" t="s">
        <v>3748</v>
      </c>
      <c r="E879" s="3" t="s">
        <v>3749</v>
      </c>
      <c r="F879" s="3" t="s">
        <v>3750</v>
      </c>
      <c r="G879" s="3" t="str">
        <f ca="1">IFERROR(__xludf.DUMMYFUNCTION("googletranslate(D879,""en"",""ja"")"),"2-カルバモイルメチルメルカプツール酸; 2-カルバモイルエチルメルカプツル酸; 2CaEMA;アクリルアミドメルカプツール酸;アクリルアミドミクチュレート; N-アセチル-S-カルバモイルエチル-L-システイン")</f>
        <v>2-カルバモイルメチルメルカプツール酸; 2-カルバモイルエチルメルカプツル酸; 2CaEMA;アクリルアミドメルカプツール酸;アクリルアミドミクチュレート; N-アセチル-S-カルバモイルエチル-L-システイン</v>
      </c>
      <c r="H879" s="3" t="str">
        <f ca="1">IFERROR(__xludf.DUMMYFUNCTION("googletranslate(E879,""en"",""ja"")"),"試料中の 2-カルバモイルエチルメルカプツール酸の測定。")</f>
        <v>試料中の 2-カルバモイルエチルメルカプツール酸の測定。</v>
      </c>
      <c r="I879" s="3" t="str">
        <f ca="1">IFERROR(__xludf.DUMMYFUNCTION("googletranslate(F879,""en"",""ja"")"),"2-カルバモイルエチルメルカプツル酸の測定")</f>
        <v>2-カルバモイルエチルメルカプツル酸の測定</v>
      </c>
    </row>
    <row r="880" spans="1:9" ht="45">
      <c r="A880" s="3" t="s">
        <v>6</v>
      </c>
      <c r="B880" s="3" t="s">
        <v>3751</v>
      </c>
      <c r="C880" s="3" t="s">
        <v>3752</v>
      </c>
      <c r="D880" s="3" t="s">
        <v>3752</v>
      </c>
      <c r="E880" s="3" t="s">
        <v>3753</v>
      </c>
      <c r="F880" s="3" t="s">
        <v>3752</v>
      </c>
      <c r="G880" s="3" t="str">
        <f ca="1">IFERROR(__xludf.DUMMYFUNCTION("googletranslate(D880,""en"",""ja"")"),"カルシウム排泄率")</f>
        <v>カルシウム排泄率</v>
      </c>
      <c r="H880" s="3" t="str">
        <f ca="1">IFERROR(__xludf.DUMMYFUNCTION("googletranslate(E880,""en"",""ja"")"),"定義された期間（たとえば、1 時間）にわたって生物学的標本中に排泄されるカルシウムの量の測定。")</f>
        <v>定義された期間（たとえば、1 時間）にわたって生物学的標本中に排泄されるカルシウムの量の測定。</v>
      </c>
      <c r="I880" s="3" t="str">
        <f ca="1">IFERROR(__xludf.DUMMYFUNCTION("googletranslate(F880,""en"",""ja"")"),"カルシウム排泄率")</f>
        <v>カルシウム排泄率</v>
      </c>
    </row>
    <row r="881" spans="1:9">
      <c r="A881" s="3" t="s">
        <v>51</v>
      </c>
      <c r="B881" s="3" t="s">
        <v>3754</v>
      </c>
      <c r="C881" s="3" t="s">
        <v>3755</v>
      </c>
      <c r="D881" s="3" t="s">
        <v>3756</v>
      </c>
      <c r="E881" s="3" t="s">
        <v>3757</v>
      </c>
      <c r="F881" s="3" t="s">
        <v>3758</v>
      </c>
      <c r="G881" s="3" t="str">
        <f ca="1">IFERROR(__xludf.DUMMYFUNCTION("googletranslate(D881,""en"",""ja"")"),"カフェイン;カフェ酸")</f>
        <v>カフェイン;カフェ酸</v>
      </c>
      <c r="H881" s="3" t="str">
        <f ca="1">IFERROR(__xludf.DUMMYFUNCTION("googletranslate(E881,""en"",""ja"")"),"検体中のカフェ酸の測定。")</f>
        <v>検体中のカフェ酸の測定。</v>
      </c>
      <c r="I881" s="3" t="str">
        <f ca="1">IFERROR(__xludf.DUMMYFUNCTION("googletranslate(F881,""en"",""ja"")"),"カフェイン酸の測定")</f>
        <v>カフェイン酸の測定</v>
      </c>
    </row>
    <row r="882" spans="1:9">
      <c r="A882" s="3" t="s">
        <v>6</v>
      </c>
      <c r="B882" s="3" t="s">
        <v>3759</v>
      </c>
      <c r="C882" s="3" t="s">
        <v>3760</v>
      </c>
      <c r="D882" s="3" t="s">
        <v>3760</v>
      </c>
      <c r="E882" s="3" t="s">
        <v>3761</v>
      </c>
      <c r="F882" s="3" t="s">
        <v>3762</v>
      </c>
      <c r="G882" s="3" t="str">
        <f ca="1">IFERROR(__xludf.DUMMYFUNCTION("googletranslate(D882,""en"",""ja"")"),"カフェイン")</f>
        <v>カフェイン</v>
      </c>
      <c r="H882" s="3" t="str">
        <f ca="1">IFERROR(__xludf.DUMMYFUNCTION("googletranslate(E882,""en"",""ja"")"),"生物学的標本中のカフェインの測定。")</f>
        <v>生物学的標本中のカフェインの測定。</v>
      </c>
      <c r="I882" s="3" t="str">
        <f ca="1">IFERROR(__xludf.DUMMYFUNCTION("googletranslate(F882,""en"",""ja"")"),"カフェイン測定")</f>
        <v>カフェイン測定</v>
      </c>
    </row>
    <row r="883" spans="1:9" ht="30">
      <c r="A883" s="3" t="s">
        <v>6</v>
      </c>
      <c r="B883" s="3" t="s">
        <v>3763</v>
      </c>
      <c r="C883" s="3" t="s">
        <v>3764</v>
      </c>
      <c r="D883" s="3" t="s">
        <v>3764</v>
      </c>
      <c r="E883" s="3" t="s">
        <v>3765</v>
      </c>
      <c r="F883" s="3" t="s">
        <v>3766</v>
      </c>
      <c r="G883" s="3" t="str">
        <f ca="1">IFERROR(__xludf.DUMMYFUNCTION("googletranslate(D883,""en"",""ja"")"),"カルシウム、イオン化")</f>
        <v>カルシウム、イオン化</v>
      </c>
      <c r="H883" s="3" t="str">
        <f ca="1">IFERROR(__xludf.DUMMYFUNCTION("googletranslate(E883,""en"",""ja"")"),"生物学的標本中のイオン化カルシウムの測定。")</f>
        <v>生物学的標本中のイオン化カルシウムの測定。</v>
      </c>
      <c r="I883" s="3" t="str">
        <f ca="1">IFERROR(__xludf.DUMMYFUNCTION("googletranslate(F883,""en"",""ja"")"),"イオン化カルシウムの測定")</f>
        <v>イオン化カルシウムの測定</v>
      </c>
    </row>
    <row r="884" spans="1:9" ht="30">
      <c r="A884" s="3" t="s">
        <v>6</v>
      </c>
      <c r="B884" s="3" t="s">
        <v>3767</v>
      </c>
      <c r="C884" s="3" t="s">
        <v>3768</v>
      </c>
      <c r="D884" s="3" t="s">
        <v>3768</v>
      </c>
      <c r="E884" s="3" t="s">
        <v>3769</v>
      </c>
      <c r="F884" s="3" t="s">
        <v>3770</v>
      </c>
      <c r="G884" s="3" t="str">
        <f ca="1">IFERROR(__xludf.DUMMYFUNCTION("googletranslate(D884,""en"",""ja"")"),"カルシウム、イオン化、pH調整済み")</f>
        <v>カルシウム、イオン化、pH調整済み</v>
      </c>
      <c r="H884" s="3" t="str">
        <f ca="1">IFERROR(__xludf.DUMMYFUNCTION("googletranslate(E884,""en"",""ja"")"),"生体試料中の pH 調整されたイオン化カルシウムの測定。")</f>
        <v>生体試料中の pH 調整されたイオン化カルシウムの測定。</v>
      </c>
      <c r="I884" s="3" t="str">
        <f ca="1">IFERROR(__xludf.DUMMYFUNCTION("googletranslate(F884,""en"",""ja"")"),"イオン化pH調整カルシウム測定")</f>
        <v>イオン化pH調整カルシウム測定</v>
      </c>
    </row>
    <row r="885" spans="1:9" ht="30">
      <c r="A885" s="3" t="s">
        <v>67</v>
      </c>
      <c r="B885" s="3" t="s">
        <v>3771</v>
      </c>
      <c r="C885" s="3" t="s">
        <v>3772</v>
      </c>
      <c r="D885" s="3" t="s">
        <v>3773</v>
      </c>
      <c r="E885" s="3" t="s">
        <v>3774</v>
      </c>
      <c r="F885" s="3" t="s">
        <v>3775</v>
      </c>
      <c r="G885" s="3" t="str">
        <f ca="1">IFERROR(__xludf.DUMMYFUNCTION("googletranslate(D885,""en"",""ja"")"),"カンジダ・アルビカンス;カンジダ・ステラトイデア")</f>
        <v>カンジダ・アルビカンス;カンジダ・ステラトイデア</v>
      </c>
      <c r="H885" s="3" t="str">
        <f ca="1">IFERROR(__xludf.DUMMYFUNCTION("googletranslate(E885,""en"",""ja"")"),"生物学的標本中のカンジダ・アルビカンスの測定。")</f>
        <v>生物学的標本中のカンジダ・アルビカンスの測定。</v>
      </c>
      <c r="I885" s="3" t="str">
        <f ca="1">IFERROR(__xludf.DUMMYFUNCTION("googletranslate(F885,""en"",""ja"")"),"カンジダ・アルビカンス測定")</f>
        <v>カンジダ・アルビカンス測定</v>
      </c>
    </row>
    <row r="886" spans="1:9">
      <c r="A886" s="3" t="s">
        <v>6</v>
      </c>
      <c r="B886" s="3" t="s">
        <v>3776</v>
      </c>
      <c r="C886" s="3" t="s">
        <v>3777</v>
      </c>
      <c r="D886" s="3" t="s">
        <v>3777</v>
      </c>
      <c r="E886" s="3" t="s">
        <v>3778</v>
      </c>
      <c r="F886" s="3" t="s">
        <v>3779</v>
      </c>
      <c r="G886" s="3" t="str">
        <f ca="1">IFERROR(__xludf.DUMMYFUNCTION("googletranslate(D886,""en"",""ja"")"),"カルビンディン")</f>
        <v>カルビンディン</v>
      </c>
      <c r="H886" s="3" t="str">
        <f ca="1">IFERROR(__xludf.DUMMYFUNCTION("googletranslate(E886,""en"",""ja"")"),"生物学的標本中の総カルビンジンの測定。")</f>
        <v>生物学的標本中の総カルビンジンの測定。</v>
      </c>
      <c r="I886" s="3" t="str">
        <f ca="1">IFERROR(__xludf.DUMMYFUNCTION("googletranslate(F886,""en"",""ja"")"),"カルビンジンの測定")</f>
        <v>カルビンジンの測定</v>
      </c>
    </row>
    <row r="887" spans="1:9">
      <c r="A887" s="3" t="s">
        <v>185</v>
      </c>
      <c r="B887" s="3" t="s">
        <v>3780</v>
      </c>
      <c r="C887" s="3" t="s">
        <v>3781</v>
      </c>
      <c r="D887" s="3" t="s">
        <v>3781</v>
      </c>
      <c r="E887" s="3" t="s">
        <v>3782</v>
      </c>
      <c r="F887" s="3" t="s">
        <v>3781</v>
      </c>
      <c r="G887" s="3" t="str">
        <f ca="1">IFERROR(__xludf.DUMMYFUNCTION("googletranslate(D887,""en"",""ja"")"),"消費カロリー")</f>
        <v>消費カロリー</v>
      </c>
      <c r="H887" s="3" t="str">
        <f ca="1">IFERROR(__xludf.DUMMYFUNCTION("googletranslate(E887,""en"",""ja"")"),"消費されたカロリー数の測定値。")</f>
        <v>消費されたカロリー数の測定値。</v>
      </c>
      <c r="I887" s="3" t="str">
        <f ca="1">IFERROR(__xludf.DUMMYFUNCTION("googletranslate(F887,""en"",""ja"")"),"消費カロリー")</f>
        <v>消費カロリー</v>
      </c>
    </row>
    <row r="888" spans="1:9">
      <c r="A888" s="3" t="s">
        <v>210</v>
      </c>
      <c r="B888" s="3" t="s">
        <v>3783</v>
      </c>
      <c r="C888" s="3" t="s">
        <v>3784</v>
      </c>
      <c r="D888" s="3" t="s">
        <v>3784</v>
      </c>
      <c r="E888" s="3" t="s">
        <v>3785</v>
      </c>
      <c r="F888" s="3" t="s">
        <v>3784</v>
      </c>
      <c r="G888" s="3" t="str">
        <f ca="1">IFERROR(__xludf.DUMMYFUNCTION("googletranslate(D888,""en"",""ja"")"),"石灰化インジケーター")</f>
        <v>石灰化インジケーター</v>
      </c>
      <c r="H888" s="3" t="str">
        <f ca="1">IFERROR(__xludf.DUMMYFUNCTION("googletranslate(E888,""en"",""ja"")"),"石灰化が存在するかどうかの指標。")</f>
        <v>石灰化が存在するかどうかの指標。</v>
      </c>
      <c r="I888" s="3" t="str">
        <f ca="1">IFERROR(__xludf.DUMMYFUNCTION("googletranslate(F888,""en"",""ja"")"),"石灰化インジケーター")</f>
        <v>石灰化インジケーター</v>
      </c>
    </row>
    <row r="889" spans="1:9" ht="30">
      <c r="A889" s="3" t="s">
        <v>67</v>
      </c>
      <c r="B889" s="3" t="s">
        <v>3786</v>
      </c>
      <c r="C889" s="3" t="s">
        <v>3787</v>
      </c>
      <c r="D889" s="3" t="s">
        <v>3787</v>
      </c>
      <c r="E889" s="3" t="s">
        <v>3788</v>
      </c>
      <c r="F889" s="3" t="s">
        <v>3789</v>
      </c>
      <c r="G889" s="3" t="str">
        <f ca="1">IFERROR(__xludf.DUMMYFUNCTION("googletranslate(D889,""en"",""ja"")"),"カンジダ・アルビカンスのDNA")</f>
        <v>カンジダ・アルビカンスのDNA</v>
      </c>
      <c r="H889" s="3" t="str">
        <f ca="1">IFERROR(__xludf.DUMMYFUNCTION("googletranslate(E889,""en"",""ja"")"),"生物学的標本中のカンジダ アルビカンス DNA の測定。")</f>
        <v>生物学的標本中のカンジダ アルビカンス DNA の測定。</v>
      </c>
      <c r="I889" s="3" t="str">
        <f ca="1">IFERROR(__xludf.DUMMYFUNCTION("googletranslate(F889,""en"",""ja"")"),"カンジダ・アルビカンスDNA測定")</f>
        <v>カンジダ・アルビカンスDNA測定</v>
      </c>
    </row>
    <row r="890" spans="1:9" ht="30">
      <c r="A890" s="3" t="s">
        <v>118</v>
      </c>
      <c r="B890" s="3" t="s">
        <v>3790</v>
      </c>
      <c r="C890" s="3" t="s">
        <v>3791</v>
      </c>
      <c r="D890" s="3" t="s">
        <v>3791</v>
      </c>
      <c r="E890" s="3" t="s">
        <v>3792</v>
      </c>
      <c r="F890" s="3" t="s">
        <v>3791</v>
      </c>
      <c r="G890" s="3" t="str">
        <f ca="1">IFERROR(__xludf.DUMMYFUNCTION("googletranslate(D890,""en"",""ja"")"),"ふくらはぎ周囲")</f>
        <v>ふくらはぎ周囲</v>
      </c>
      <c r="H890" s="3" t="str">
        <f ca="1">IFERROR(__xludf.DUMMYFUNCTION("googletranslate(E890,""en"",""ja"")"),"下腿のふくらはぎの最も広い部分の周囲の測定値。")</f>
        <v>下腿のふくらはぎの最も広い部分の周囲の測定値。</v>
      </c>
      <c r="I890" s="3" t="str">
        <f ca="1">IFERROR(__xludf.DUMMYFUNCTION("googletranslate(F890,""en"",""ja"")"),"ふくらはぎ周囲")</f>
        <v>ふくらはぎ周囲</v>
      </c>
    </row>
    <row r="891" spans="1:9">
      <c r="A891" s="3" t="s">
        <v>6</v>
      </c>
      <c r="B891" s="3" t="s">
        <v>3793</v>
      </c>
      <c r="C891" s="3" t="s">
        <v>3794</v>
      </c>
      <c r="D891" s="3" t="s">
        <v>3794</v>
      </c>
      <c r="E891" s="3" t="s">
        <v>3795</v>
      </c>
      <c r="F891" s="3" t="s">
        <v>3796</v>
      </c>
      <c r="G891" s="3" t="str">
        <f ca="1">IFERROR(__xludf.DUMMYFUNCTION("googletranslate(D891,""en"",""ja"")"),"カルプロテクチン")</f>
        <v>カルプロテクチン</v>
      </c>
      <c r="H891" s="3" t="str">
        <f ca="1">IFERROR(__xludf.DUMMYFUNCTION("googletranslate(E891,""en"",""ja"")"),"生物学的標本中のカルプロテクチンの測定。")</f>
        <v>生物学的標本中のカルプロテクチンの測定。</v>
      </c>
      <c r="I891" s="3" t="str">
        <f ca="1">IFERROR(__xludf.DUMMYFUNCTION("googletranslate(F891,""en"",""ja"")"),"カルプロテクチンの測定")</f>
        <v>カルプロテクチンの測定</v>
      </c>
    </row>
    <row r="892" spans="1:9" ht="30">
      <c r="A892" s="3" t="s">
        <v>6</v>
      </c>
      <c r="B892" s="3" t="s">
        <v>3797</v>
      </c>
      <c r="C892" s="3" t="s">
        <v>3798</v>
      </c>
      <c r="D892" s="3" t="s">
        <v>3798</v>
      </c>
      <c r="E892" s="3" t="s">
        <v>3799</v>
      </c>
      <c r="F892" s="3" t="s">
        <v>3800</v>
      </c>
      <c r="G892" s="3" t="str">
        <f ca="1">IFERROR(__xludf.DUMMYFUNCTION("googletranslate(D892,""en"",""ja"")"),"環状アデノシン 3,5-一リン酸")</f>
        <v>環状アデノシン 3,5-一リン酸</v>
      </c>
      <c r="H892" s="3" t="str">
        <f ca="1">IFERROR(__xludf.DUMMYFUNCTION("googletranslate(E892,""en"",""ja"")"),"生物学的標本中の環状アデノシン 3,5-一リン酸の測定。")</f>
        <v>生物学的標本中の環状アデノシン 3,5-一リン酸の測定。</v>
      </c>
      <c r="I892" s="3" t="str">
        <f ca="1">IFERROR(__xludf.DUMMYFUNCTION("googletranslate(F892,""en"",""ja"")"),"環状アデノシン 3,5-一リン酸の測定")</f>
        <v>環状アデノシン 3,5-一リン酸の測定</v>
      </c>
    </row>
    <row r="893" spans="1:9" ht="75">
      <c r="A893" s="3" t="s">
        <v>6</v>
      </c>
      <c r="B893" s="3" t="s">
        <v>3801</v>
      </c>
      <c r="C893" s="3" t="s">
        <v>3802</v>
      </c>
      <c r="D893" s="3" t="s">
        <v>3803</v>
      </c>
      <c r="E893" s="3" t="s">
        <v>3804</v>
      </c>
      <c r="F893" s="3" t="s">
        <v>3805</v>
      </c>
      <c r="G893" s="3" t="str">
        <f ca="1">IFERROR(__xludf.DUMMYFUNCTION("googletranslate(D893,""en"",""ja"")"),"環状アデノシン 3,5-一リン酸/クレアチニン;環状アデノシン一リン酸/生成物;環状アデノシン一リン酸/クレアチニン")</f>
        <v>環状アデノシン 3,5-一リン酸/クレアチニン;環状アデノシン一リン酸/生成物;環状アデノシン一リン酸/クレアチニン</v>
      </c>
      <c r="H893" s="3" t="str">
        <f ca="1">IFERROR(__xludf.DUMMYFUNCTION("googletranslate(E893,""en"",""ja"")"),"生物学的標本中のクレアチニンに対する環状アデノシン 3,5-一リン酸の相対測定値 (比)。")</f>
        <v>生物学的標本中のクレアチニンに対する環状アデノシン 3,5-一リン酸の相対測定値 (比)。</v>
      </c>
      <c r="I893" s="3" t="str">
        <f ca="1">IFERROR(__xludf.DUMMYFUNCTION("googletranslate(F893,""en"",""ja"")"),"環状アデノシン 3,5 一リン酸とクレアチニンの比率の測定")</f>
        <v>環状アデノシン 3,5 一リン酸とクレアチニンの比率の測定</v>
      </c>
    </row>
    <row r="894" spans="1:9" ht="30">
      <c r="A894" s="3" t="s">
        <v>67</v>
      </c>
      <c r="B894" s="3" t="s">
        <v>3806</v>
      </c>
      <c r="C894" s="3" t="s">
        <v>3807</v>
      </c>
      <c r="D894" s="3" t="s">
        <v>3807</v>
      </c>
      <c r="E894" s="3" t="s">
        <v>3808</v>
      </c>
      <c r="F894" s="3" t="s">
        <v>3809</v>
      </c>
      <c r="G894" s="3" t="str">
        <f ca="1">IFERROR(__xludf.DUMMYFUNCTION("googletranslate(D894,""en"",""ja"")"),"カンピロバクター DNA")</f>
        <v>カンピロバクター DNA</v>
      </c>
      <c r="H894" s="3" t="str">
        <f ca="1">IFERROR(__xludf.DUMMYFUNCTION("googletranslate(E894,""en"",""ja"")"),"生物学的標本中のカンピロバクター属のメンバーからの DNA の測定。")</f>
        <v>生物学的標本中のカンピロバクター属のメンバーからの DNA の測定。</v>
      </c>
      <c r="I894" s="3" t="str">
        <f ca="1">IFERROR(__xludf.DUMMYFUNCTION("googletranslate(F894,""en"",""ja"")"),"カンピロバクター DNA 測定")</f>
        <v>カンピロバクター DNA 測定</v>
      </c>
    </row>
    <row r="895" spans="1:9" ht="45">
      <c r="A895" s="3" t="s">
        <v>67</v>
      </c>
      <c r="B895" s="3" t="s">
        <v>3810</v>
      </c>
      <c r="C895" s="3" t="s">
        <v>3811</v>
      </c>
      <c r="D895" s="3" t="s">
        <v>3811</v>
      </c>
      <c r="E895" s="3" t="s">
        <v>3812</v>
      </c>
      <c r="F895" s="3" t="s">
        <v>3813</v>
      </c>
      <c r="G895" s="3" t="str">
        <f ca="1">IFERROR(__xludf.DUMMYFUNCTION("googletranslate(D895,""en"",""ja"")"),"カンピロバクター")</f>
        <v>カンピロバクター</v>
      </c>
      <c r="H895" s="3" t="str">
        <f ca="1">IFERROR(__xludf.DUMMYFUNCTION("googletranslate(E895,""en"",""ja"")"),"生物学的標本において、種レベルには割り当てられていないが、カンピロバクター属レベルに割り当てられている生物の測定値。")</f>
        <v>生物学的標本において、種レベルには割り当てられていないが、カンピロバクター属レベルに割り当てられている生物の測定値。</v>
      </c>
      <c r="I895" s="3" t="str">
        <f ca="1">IFERROR(__xludf.DUMMYFUNCTION("googletranslate(F895,""en"",""ja"")"),"カンピロバクターの測定")</f>
        <v>カンピロバクターの測定</v>
      </c>
    </row>
    <row r="896" spans="1:9" ht="30">
      <c r="A896" s="3" t="s">
        <v>6</v>
      </c>
      <c r="B896" s="3" t="s">
        <v>3814</v>
      </c>
      <c r="C896" s="3" t="s">
        <v>3815</v>
      </c>
      <c r="D896" s="3" t="s">
        <v>3815</v>
      </c>
      <c r="E896" s="3" t="s">
        <v>3816</v>
      </c>
      <c r="F896" s="3" t="s">
        <v>3817</v>
      </c>
      <c r="G896" s="3" t="str">
        <f ca="1">IFERROR(__xludf.DUMMYFUNCTION("googletranslate(D896,""en"",""ja"")"),"窒素吸収係数")</f>
        <v>窒素吸収係数</v>
      </c>
      <c r="H896" s="3" t="str">
        <f ca="1">IFERROR(__xludf.DUMMYFUNCTION("googletranslate(E896,""en"",""ja"")"),"生物標本の窒素吸収係数の測定。")</f>
        <v>生物標本の窒素吸収係数の測定。</v>
      </c>
      <c r="I896" s="3" t="str">
        <f ca="1">IFERROR(__xludf.DUMMYFUNCTION("googletranslate(F896,""en"",""ja"")"),"窒素吸収係数測定")</f>
        <v>窒素吸収係数測定</v>
      </c>
    </row>
    <row r="897" spans="1:9" ht="30">
      <c r="A897" s="3" t="s">
        <v>67</v>
      </c>
      <c r="B897" s="3" t="s">
        <v>3818</v>
      </c>
      <c r="C897" s="3" t="s">
        <v>3819</v>
      </c>
      <c r="D897" s="3" t="s">
        <v>3819</v>
      </c>
      <c r="E897" s="3" t="s">
        <v>3820</v>
      </c>
      <c r="F897" s="3" t="s">
        <v>3821</v>
      </c>
      <c r="G897" s="3" t="str">
        <f ca="1">IFERROR(__xludf.DUMMYFUNCTION("googletranslate(D897,""en"",""ja"")"),"カンジダ抗原")</f>
        <v>カンジダ抗原</v>
      </c>
      <c r="H897" s="3" t="str">
        <f ca="1">IFERROR(__xludf.DUMMYFUNCTION("googletranslate(E897,""en"",""ja"")"),"生物学的標本中のカンジダ属の任意のメンバーからの抗原の測定。")</f>
        <v>生物学的標本中のカンジダ属の任意のメンバーからの抗原の測定。</v>
      </c>
      <c r="I897" s="3" t="str">
        <f ca="1">IFERROR(__xludf.DUMMYFUNCTION("googletranslate(F897,""en"",""ja"")"),"カンジダ抗原測定")</f>
        <v>カンジダ抗原測定</v>
      </c>
    </row>
    <row r="898" spans="1:9" ht="45">
      <c r="A898" s="3" t="s">
        <v>67</v>
      </c>
      <c r="B898" s="3" t="s">
        <v>3822</v>
      </c>
      <c r="C898" s="3" t="s">
        <v>3823</v>
      </c>
      <c r="D898" s="3" t="s">
        <v>3823</v>
      </c>
      <c r="E898" s="3" t="s">
        <v>3824</v>
      </c>
      <c r="F898" s="3" t="s">
        <v>3825</v>
      </c>
      <c r="G898" s="3" t="str">
        <f ca="1">IFERROR(__xludf.DUMMYFUNCTION("googletranslate(D898,""en"",""ja"")"),"カンジダ")</f>
        <v>カンジダ</v>
      </c>
      <c r="H898" s="3" t="str">
        <f ca="1">IFERROR(__xludf.DUMMYFUNCTION("googletranslate(E898,""en"",""ja"")"),"生物学的標本において、種レベルには割り当てられていないが、カンジダ属レベルに割り当てられている生物の測定値。")</f>
        <v>生物学的標本において、種レベルには割り当てられていないが、カンジダ属レベルに割り当てられている生物の測定値。</v>
      </c>
      <c r="I898" s="3" t="str">
        <f ca="1">IFERROR(__xludf.DUMMYFUNCTION("googletranslate(F898,""en"",""ja"")"),"カンジダの測定")</f>
        <v>カンジダの測定</v>
      </c>
    </row>
    <row r="899" spans="1:9" ht="30">
      <c r="A899" s="3" t="s">
        <v>6</v>
      </c>
      <c r="B899" s="3" t="s">
        <v>3826</v>
      </c>
      <c r="C899" s="3" t="s">
        <v>3827</v>
      </c>
      <c r="D899" s="3" t="s">
        <v>3827</v>
      </c>
      <c r="E899" s="3" t="s">
        <v>3828</v>
      </c>
      <c r="F899" s="3" t="s">
        <v>3829</v>
      </c>
      <c r="G899" s="3" t="str">
        <f ca="1">IFERROR(__xludf.DUMMYFUNCTION("googletranslate(D899,""en"",""ja"")"),"カンナビノイド")</f>
        <v>カンナビノイド</v>
      </c>
      <c r="H899" s="3" t="str">
        <f ca="1">IFERROR(__xludf.DUMMYFUNCTION("googletranslate(E899,""en"",""ja"")"),"生物学的標本中に存在するカンナビノイドクラスの薬物の測定。")</f>
        <v>生物学的標本中に存在するカンナビノイドクラスの薬物の測定。</v>
      </c>
      <c r="I899" s="3" t="str">
        <f ca="1">IFERROR(__xludf.DUMMYFUNCTION("googletranslate(F899,""en"",""ja"")"),"カンナビノイド薬物クラスの測定")</f>
        <v>カンナビノイド薬物クラスの測定</v>
      </c>
    </row>
    <row r="900" spans="1:9" ht="45">
      <c r="A900" s="3" t="s">
        <v>6</v>
      </c>
      <c r="B900" s="3" t="s">
        <v>3830</v>
      </c>
      <c r="C900" s="3" t="s">
        <v>3831</v>
      </c>
      <c r="D900" s="3" t="s">
        <v>3832</v>
      </c>
      <c r="E900" s="3" t="s">
        <v>3833</v>
      </c>
      <c r="F900" s="3" t="s">
        <v>3834</v>
      </c>
      <c r="G900" s="3" t="str">
        <f ca="1">IFERROR(__xludf.DUMMYFUNCTION("googletranslate(D900,""en"",""ja"")"),"カンナビノイド代謝物;大麻の代謝物;マリファナの代謝物")</f>
        <v>カンナビノイド代謝物;大麻の代謝物;マリファナの代謝物</v>
      </c>
      <c r="H900" s="3" t="str">
        <f ca="1">IFERROR(__xludf.DUMMYFUNCTION("googletranslate(E900,""en"",""ja"")"),"生物学的標本中に存在するカンナビノイド薬物クラスの代謝産物の測定。")</f>
        <v>生物学的標本中に存在するカンナビノイド薬物クラスの代謝産物の測定。</v>
      </c>
      <c r="I900" s="3" t="str">
        <f ca="1">IFERROR(__xludf.DUMMYFUNCTION("googletranslate(F900,""en"",""ja"")"),"カンナビノイド代謝物の測定")</f>
        <v>カンナビノイド代謝物の測定</v>
      </c>
    </row>
    <row r="901" spans="1:9" ht="30">
      <c r="A901" s="3" t="s">
        <v>6</v>
      </c>
      <c r="B901" s="3" t="s">
        <v>3835</v>
      </c>
      <c r="C901" s="3" t="s">
        <v>3836</v>
      </c>
      <c r="D901" s="3" t="s">
        <v>3836</v>
      </c>
      <c r="E901" s="3" t="s">
        <v>3837</v>
      </c>
      <c r="F901" s="3" t="s">
        <v>3838</v>
      </c>
      <c r="G901" s="3" t="str">
        <f ca="1">IFERROR(__xludf.DUMMYFUNCTION("googletranslate(D901,""en"",""ja"")"),"カンナビノイド、合成")</f>
        <v>カンナビノイド、合成</v>
      </c>
      <c r="H901" s="3" t="str">
        <f ca="1">IFERROR(__xludf.DUMMYFUNCTION("googletranslate(E901,""en"",""ja"")"),"生物学的標本中に存在する合成カンナビノイドクラスの薬物の測定。")</f>
        <v>生物学的標本中に存在する合成カンナビノイドクラスの薬物の測定。</v>
      </c>
      <c r="I901" s="3" t="str">
        <f ca="1">IFERROR(__xludf.DUMMYFUNCTION("googletranslate(F901,""en"",""ja"")"),"合成カンナビノイドの測定")</f>
        <v>合成カンナビノイドの測定</v>
      </c>
    </row>
    <row r="902" spans="1:9" ht="60">
      <c r="A902" s="3" t="s">
        <v>81</v>
      </c>
      <c r="B902" s="3" t="s">
        <v>3839</v>
      </c>
      <c r="C902" s="3" t="s">
        <v>3840</v>
      </c>
      <c r="D902" s="3" t="s">
        <v>3840</v>
      </c>
      <c r="E902" s="3" t="s">
        <v>3841</v>
      </c>
      <c r="F902" s="3" t="s">
        <v>3842</v>
      </c>
      <c r="G902" s="3" t="str">
        <f ca="1">IFERROR(__xludf.DUMMYFUNCTION("googletranslate(D902,""en"",""ja"")"),"冠動脈リフローなしインジケーター")</f>
        <v>冠動脈リフローなしインジケーター</v>
      </c>
      <c r="H902" s="3" t="str">
        <f ca="1">IFERROR(__xludf.DUMMYFUNCTION("googletranslate(E902,""en"",""ja"")"),"元の PCI 病変部位に解離、血栓、けいれん、または高度の残存狭窄がない場合に、冠血流の新たな急性減少 (TIMI グレード 0 ～ 1) があるかどうかに関する指標。")</f>
        <v>元の PCI 病変部位に解離、血栓、けいれん、または高度の残存狭窄がない場合に、冠血流の新たな急性減少 (TIMI グレード 0 ～ 1) があるかどうかに関する指標。</v>
      </c>
      <c r="I902" s="3" t="str">
        <f ca="1">IFERROR(__xludf.DUMMYFUNCTION("googletranslate(F902,""en"",""ja"")"),"PCI サイトでの冠状動脈リフローなしインジケーター")</f>
        <v>PCI サイトでの冠状動脈リフローなしインジケーター</v>
      </c>
    </row>
    <row r="903" spans="1:9" ht="45">
      <c r="A903" s="3" t="s">
        <v>6</v>
      </c>
      <c r="B903" s="3" t="s">
        <v>3843</v>
      </c>
      <c r="C903" s="3" t="s">
        <v>3844</v>
      </c>
      <c r="D903" s="3" t="s">
        <v>3844</v>
      </c>
      <c r="E903" s="3" t="s">
        <v>3845</v>
      </c>
      <c r="F903" s="3" t="s">
        <v>3844</v>
      </c>
      <c r="G903" s="3" t="str">
        <f ca="1">IFERROR(__xludf.DUMMYFUNCTION("googletranslate(D903,""en"",""ja"")"),"シュウ酸カルシウム排泄率")</f>
        <v>シュウ酸カルシウム排泄率</v>
      </c>
      <c r="H903" s="3" t="str">
        <f ca="1">IFERROR(__xludf.DUMMYFUNCTION("googletranslate(E903,""en"",""ja"")"),"規定の時間 (例: 1 時間) にわたって生物学的標本中に排泄されるシュウ酸カルシウムの量の測定。")</f>
        <v>規定の時間 (例: 1 時間) にわたって生物学的標本中に排泄されるシュウ酸カルシウムの量の測定。</v>
      </c>
      <c r="I903" s="3" t="str">
        <f ca="1">IFERROR(__xludf.DUMMYFUNCTION("googletranslate(F903,""en"",""ja"")"),"シュウ酸カルシウム排泄率")</f>
        <v>シュウ酸カルシウム排泄率</v>
      </c>
    </row>
    <row r="904" spans="1:9" ht="30">
      <c r="A904" s="3" t="s">
        <v>6</v>
      </c>
      <c r="B904" s="3" t="s">
        <v>3846</v>
      </c>
      <c r="C904" s="3" t="s">
        <v>3847</v>
      </c>
      <c r="D904" s="3" t="s">
        <v>3848</v>
      </c>
      <c r="E904" s="3" t="s">
        <v>3849</v>
      </c>
      <c r="F904" s="3" t="s">
        <v>3850</v>
      </c>
      <c r="G904" s="3" t="str">
        <f ca="1">IFERROR(__xludf.DUMMYFUNCTION("googletranslate(D904,""en"",""ja"")"),"カルシウム/リン酸塩;カルシウム・リン")</f>
        <v>カルシウム/リン酸塩;カルシウム・リン</v>
      </c>
      <c r="H904" s="3" t="str">
        <f ca="1">IFERROR(__xludf.DUMMYFUNCTION("googletranslate(E904,""en"",""ja"")"),"生物標本中のカルシウムとリンの相対測定値 (比)。")</f>
        <v>生物標本中のカルシウムとリンの相対測定値 (比)。</v>
      </c>
      <c r="I904" s="3" t="str">
        <f ca="1">IFERROR(__xludf.DUMMYFUNCTION("googletranslate(F904,""en"",""ja"")"),"カルシウムとリンの比率の測定")</f>
        <v>カルシウムとリンの比率の測定</v>
      </c>
    </row>
    <row r="905" spans="1:9" ht="30">
      <c r="A905" s="3" t="s">
        <v>6</v>
      </c>
      <c r="B905" s="3" t="s">
        <v>3851</v>
      </c>
      <c r="C905" s="3" t="s">
        <v>3852</v>
      </c>
      <c r="D905" s="3" t="s">
        <v>3852</v>
      </c>
      <c r="E905" s="3" t="s">
        <v>3853</v>
      </c>
      <c r="F905" s="3" t="s">
        <v>3854</v>
      </c>
      <c r="G905" s="3" t="str">
        <f ca="1">IFERROR(__xludf.DUMMYFUNCTION("googletranslate(D905,""en"",""ja"")"),"カルシウム・リン製品")</f>
        <v>カルシウム・リン製品</v>
      </c>
      <c r="H905" s="3" t="str">
        <f ca="1">IFERROR(__xludf.DUMMYFUNCTION("googletranslate(E905,""en"",""ja"")"),"生物学的標本におけるカルシウムとリン酸塩の測定結果の積の測定値。")</f>
        <v>生物学的標本におけるカルシウムとリン酸塩の測定結果の積の測定値。</v>
      </c>
      <c r="I905" s="3" t="str">
        <f ca="1">IFERROR(__xludf.DUMMYFUNCTION("googletranslate(F905,""en"",""ja"")"),"カルシウムおよびリン製品の測定")</f>
        <v>カルシウムおよびリン製品の測定</v>
      </c>
    </row>
    <row r="906" spans="1:9" ht="30">
      <c r="A906" s="3" t="s">
        <v>6</v>
      </c>
      <c r="B906" s="3" t="s">
        <v>3855</v>
      </c>
      <c r="C906" s="3" t="s">
        <v>3856</v>
      </c>
      <c r="D906" s="3" t="s">
        <v>3856</v>
      </c>
      <c r="E906" s="3" t="s">
        <v>3857</v>
      </c>
      <c r="F906" s="3" t="s">
        <v>3858</v>
      </c>
      <c r="G906" s="3" t="str">
        <f ca="1">IFERROR(__xludf.DUMMYFUNCTION("googletranslate(D906,""en"",""ja"")"),"カルボキシヘモグロビン")</f>
        <v>カルボキシヘモグロビン</v>
      </c>
      <c r="H906" s="3" t="str">
        <f ca="1">IFERROR(__xludf.DUMMYFUNCTION("googletranslate(E906,""en"",""ja"")"),"生物学的標本中のカルボキシヘモグロビン、つまり一酸化炭素に結合したヘモグロビンの測定。")</f>
        <v>生物学的標本中のカルボキシヘモグロビン、つまり一酸化炭素に結合したヘモグロビンの測定。</v>
      </c>
      <c r="I906" s="3" t="str">
        <f ca="1">IFERROR(__xludf.DUMMYFUNCTION("googletranslate(F906,""en"",""ja"")"),"一酸化炭素ヘモグロビンの測定")</f>
        <v>一酸化炭素ヘモグロビンの測定</v>
      </c>
    </row>
    <row r="907" spans="1:9" ht="30">
      <c r="A907" s="3" t="s">
        <v>81</v>
      </c>
      <c r="B907" s="3" t="s">
        <v>3859</v>
      </c>
      <c r="C907" s="3" t="s">
        <v>3860</v>
      </c>
      <c r="D907" s="3" t="s">
        <v>3860</v>
      </c>
      <c r="E907" s="3" t="s">
        <v>3861</v>
      </c>
      <c r="F907" s="3" t="s">
        <v>3860</v>
      </c>
      <c r="G907" s="3" t="str">
        <f ca="1">IFERROR(__xludf.DUMMYFUNCTION("googletranslate(D907,""en"",""ja"")"),"心臓指数")</f>
        <v>心臓指数</v>
      </c>
      <c r="H907" s="3" t="str">
        <f ca="1">IFERROR(__xludf.DUMMYFUNCTION("googletranslate(E907,""en"",""ja"")"),"個人の心拍出量を個人の体表面積で割った測定値 (CI= CO/BSA)。")</f>
        <v>個人の心拍出量を個人の体表面積で割った測定値 (CI= CO/BSA)。</v>
      </c>
      <c r="I907" s="3" t="str">
        <f ca="1">IFERROR(__xludf.DUMMYFUNCTION("googletranslate(F907,""en"",""ja"")"),"心臓指数")</f>
        <v>心臓指数</v>
      </c>
    </row>
    <row r="908" spans="1:9" ht="45">
      <c r="A908" s="3" t="s">
        <v>81</v>
      </c>
      <c r="B908" s="3" t="s">
        <v>3862</v>
      </c>
      <c r="C908" s="3" t="s">
        <v>3863</v>
      </c>
      <c r="D908" s="3" t="s">
        <v>3863</v>
      </c>
      <c r="E908" s="3" t="s">
        <v>3864</v>
      </c>
      <c r="F908" s="3" t="s">
        <v>3863</v>
      </c>
      <c r="G908" s="3" t="str">
        <f ca="1">IFERROR(__xludf.DUMMYFUNCTION("googletranslate(D908,""en"",""ja"")"),"心拍出量")</f>
        <v>心拍出量</v>
      </c>
      <c r="H908" s="3" t="str">
        <f ca="1">IFERROR(__xludf.DUMMYFUNCTION("googletranslate(E908,""en"",""ja"")"),"一定時間（通常は 1 分間）に心臓によって送り出される血液の総量。心拍数と一回拍出量の積（CO= HR x SV）として計算されます。")</f>
        <v>一定時間（通常は 1 分間）に心臓によって送り出される血液の総量。心拍数と一回拍出量の積（CO= HR x SV）として計算されます。</v>
      </c>
      <c r="I908" s="3" t="str">
        <f ca="1">IFERROR(__xludf.DUMMYFUNCTION("googletranslate(F908,""en"",""ja"")"),"心拍出量")</f>
        <v>心拍出量</v>
      </c>
    </row>
    <row r="909" spans="1:9">
      <c r="A909" s="3" t="s">
        <v>6</v>
      </c>
      <c r="B909" s="3" t="s">
        <v>3865</v>
      </c>
      <c r="C909" s="3" t="s">
        <v>3866</v>
      </c>
      <c r="D909" s="3" t="s">
        <v>3866</v>
      </c>
      <c r="E909" s="3" t="s">
        <v>3867</v>
      </c>
      <c r="F909" s="3" t="s">
        <v>3868</v>
      </c>
      <c r="G909" s="3" t="str">
        <f ca="1">IFERROR(__xludf.DUMMYFUNCTION("googletranslate(D909,""en"",""ja"")"),"カリプラジン")</f>
        <v>カリプラジン</v>
      </c>
      <c r="H909" s="3" t="str">
        <f ca="1">IFERROR(__xludf.DUMMYFUNCTION("googletranslate(E909,""en"",""ja"")"),"生物学的標本中のカリプラジンの測定。")</f>
        <v>生物学的標本中のカリプラジンの測定。</v>
      </c>
      <c r="I909" s="3" t="str">
        <f ca="1">IFERROR(__xludf.DUMMYFUNCTION("googletranslate(F909,""en"",""ja"")"),"カリプラジンの測定")</f>
        <v>カリプラジンの測定</v>
      </c>
    </row>
    <row r="910" spans="1:9">
      <c r="A910" s="3" t="s">
        <v>6</v>
      </c>
      <c r="B910" s="3" t="s">
        <v>3869</v>
      </c>
      <c r="C910" s="3" t="s">
        <v>3870</v>
      </c>
      <c r="D910" s="3" t="s">
        <v>3870</v>
      </c>
      <c r="E910" s="3" t="s">
        <v>3871</v>
      </c>
      <c r="F910" s="3" t="s">
        <v>3872</v>
      </c>
      <c r="G910" s="3" t="str">
        <f ca="1">IFERROR(__xludf.DUMMYFUNCTION("googletranslate(D910,""en"",""ja"")"),"カルニチン")</f>
        <v>カルニチン</v>
      </c>
      <c r="H910" s="3" t="str">
        <f ca="1">IFERROR(__xludf.DUMMYFUNCTION("googletranslate(E910,""en"",""ja"")"),"生物学的標本中の総カルニチンの測定。")</f>
        <v>生物学的標本中の総カルニチンの測定。</v>
      </c>
      <c r="I910" s="3" t="str">
        <f ca="1">IFERROR(__xludf.DUMMYFUNCTION("googletranslate(F910,""en"",""ja"")"),"総カルニチン測定")</f>
        <v>総カルニチン測定</v>
      </c>
    </row>
    <row r="911" spans="1:9" ht="30">
      <c r="A911" s="3" t="s">
        <v>6</v>
      </c>
      <c r="B911" s="3" t="s">
        <v>3873</v>
      </c>
      <c r="C911" s="3" t="s">
        <v>3874</v>
      </c>
      <c r="D911" s="3" t="s">
        <v>3874</v>
      </c>
      <c r="E911" s="3" t="s">
        <v>3875</v>
      </c>
      <c r="F911" s="3" t="s">
        <v>3876</v>
      </c>
      <c r="G911" s="3" t="str">
        <f ca="1">IFERROR(__xludf.DUMMYFUNCTION("googletranslate(D911,""en"",""ja"")"),"カルニチンアセチルトランスフェラーゼ")</f>
        <v>カルニチンアセチルトランスフェラーゼ</v>
      </c>
      <c r="H911" s="3" t="str">
        <f ca="1">IFERROR(__xludf.DUMMYFUNCTION("googletranslate(E911,""en"",""ja"")"),"生物学的標本中のカルニチンアセチルトランスフェラーゼの測定。")</f>
        <v>生物学的標本中のカルニチンアセチルトランスフェラーゼの測定。</v>
      </c>
      <c r="I911" s="3" t="str">
        <f ca="1">IFERROR(__xludf.DUMMYFUNCTION("googletranslate(F911,""en"",""ja"")"),"カルニチンアセチルトランスフェラーゼの測定")</f>
        <v>カルニチンアセチルトランスフェラーゼの測定</v>
      </c>
    </row>
    <row r="912" spans="1:9">
      <c r="A912" s="3" t="s">
        <v>6</v>
      </c>
      <c r="B912" s="3" t="s">
        <v>3877</v>
      </c>
      <c r="C912" s="3" t="s">
        <v>3878</v>
      </c>
      <c r="D912" s="3" t="s">
        <v>3878</v>
      </c>
      <c r="E912" s="3" t="s">
        <v>3879</v>
      </c>
      <c r="F912" s="3" t="s">
        <v>3880</v>
      </c>
      <c r="G912" s="3" t="str">
        <f ca="1">IFERROR(__xludf.DUMMYFUNCTION("googletranslate(D912,""en"",""ja"")"),"カルニチン、無料")</f>
        <v>カルニチン、無料</v>
      </c>
      <c r="H912" s="3" t="str">
        <f ca="1">IFERROR(__xludf.DUMMYFUNCTION("googletranslate(E912,""en"",""ja"")"),"生物学的標本中の遊離カルニチンの測定。")</f>
        <v>生物学的標本中の遊離カルニチンの測定。</v>
      </c>
      <c r="I912" s="3" t="str">
        <f ca="1">IFERROR(__xludf.DUMMYFUNCTION("googletranslate(F912,""en"",""ja"")"),"無料のカルニチン測定")</f>
        <v>無料のカルニチン測定</v>
      </c>
    </row>
    <row r="913" spans="1:9" ht="45">
      <c r="A913" s="3" t="s">
        <v>6</v>
      </c>
      <c r="B913" s="3" t="s">
        <v>3881</v>
      </c>
      <c r="C913" s="3" t="s">
        <v>3882</v>
      </c>
      <c r="D913" s="3" t="s">
        <v>3882</v>
      </c>
      <c r="E913" s="3" t="s">
        <v>3883</v>
      </c>
      <c r="F913" s="3" t="s">
        <v>3882</v>
      </c>
      <c r="G913" s="3" t="str">
        <f ca="1">IFERROR(__xludf.DUMMYFUNCTION("googletranslate(D913,""en"",""ja"")"),"カルニチン排泄率")</f>
        <v>カルニチン排泄率</v>
      </c>
      <c r="H913" s="3" t="str">
        <f ca="1">IFERROR(__xludf.DUMMYFUNCTION("googletranslate(E913,""en"",""ja"")"),"規定の時間 (例: 1 時間) にわたって生物学的標本中に排泄されるカルニチンの量の測定。")</f>
        <v>規定の時間 (例: 1 時間) にわたって生物学的標本中に排泄されるカルニチンの量の測定。</v>
      </c>
      <c r="I913" s="3" t="str">
        <f ca="1">IFERROR(__xludf.DUMMYFUNCTION("googletranslate(F913,""en"",""ja"")"),"カルニチン排泄率")</f>
        <v>カルニチン排泄率</v>
      </c>
    </row>
    <row r="914" spans="1:9" ht="60">
      <c r="A914" s="3" t="s">
        <v>6</v>
      </c>
      <c r="B914" s="3" t="s">
        <v>3884</v>
      </c>
      <c r="C914" s="3" t="s">
        <v>3885</v>
      </c>
      <c r="D914" s="3" t="s">
        <v>3886</v>
      </c>
      <c r="E914" s="3" t="s">
        <v>3887</v>
      </c>
      <c r="F914" s="3" t="s">
        <v>3888</v>
      </c>
      <c r="G914" s="3" t="str">
        <f ca="1">IFERROR(__xludf.DUMMYFUNCTION("googletranslate(D914,""en"",""ja"")"),"カート;コカイン アンフェタミン-Reg 転写物プロット;コカインおよびアンフェタミン調節転写タンパク質")</f>
        <v>カート;コカイン アンフェタミン-Reg 転写物プロット;コカインおよびアンフェタミン調節転写タンパク質</v>
      </c>
      <c r="H914" s="3" t="str">
        <f ca="1">IFERROR(__xludf.DUMMYFUNCTION("googletranslate(E914,""en"",""ja"")"),"生物学的標本中のコカインおよびアンフェタミン調節転写タンパク質の測定。")</f>
        <v>生物学的標本中のコカインおよびアンフェタミン調節転写タンパク質の測定。</v>
      </c>
      <c r="I914" s="3" t="str">
        <f ca="1">IFERROR(__xludf.DUMMYFUNCTION("googletranslate(F914,""en"",""ja"")"),"コカインアンフェタミン調節転写タンパク質の測定")</f>
        <v>コカインアンフェタミン調節転写タンパク質の測定</v>
      </c>
    </row>
    <row r="915" spans="1:9">
      <c r="A915" s="3" t="s">
        <v>6</v>
      </c>
      <c r="B915" s="3" t="s">
        <v>3889</v>
      </c>
      <c r="C915" s="3" t="s">
        <v>3890</v>
      </c>
      <c r="D915" s="3" t="s">
        <v>3890</v>
      </c>
      <c r="E915" s="3" t="s">
        <v>3891</v>
      </c>
      <c r="F915" s="3" t="s">
        <v>3892</v>
      </c>
      <c r="G915" s="3" t="str">
        <f ca="1">IFERROR(__xludf.DUMMYFUNCTION("googletranslate(D915,""en"",""ja"")"),"カゼイン")</f>
        <v>カゼイン</v>
      </c>
      <c r="H915" s="3" t="str">
        <f ca="1">IFERROR(__xludf.DUMMYFUNCTION("googletranslate(E915,""en"",""ja"")"),"生物学的標本中のカゼインの測定。")</f>
        <v>生物学的標本中のカゼインの測定。</v>
      </c>
      <c r="I915" s="3" t="str">
        <f ca="1">IFERROR(__xludf.DUMMYFUNCTION("googletranslate(F915,""en"",""ja"")"),"カゼイン測定")</f>
        <v>カゼイン測定</v>
      </c>
    </row>
    <row r="916" spans="1:9" ht="30">
      <c r="A916" s="3" t="s">
        <v>6</v>
      </c>
      <c r="B916" s="3" t="s">
        <v>3893</v>
      </c>
      <c r="C916" s="3" t="s">
        <v>3894</v>
      </c>
      <c r="D916" s="3" t="s">
        <v>3895</v>
      </c>
      <c r="E916" s="3" t="s">
        <v>3896</v>
      </c>
      <c r="F916" s="3" t="s">
        <v>3897</v>
      </c>
      <c r="G916" s="3" t="str">
        <f ca="1">IFERROR(__xludf.DUMMYFUNCTION("googletranslate(D916,""en"",""ja"")"),"キャスト;キャスト不在インジケーター")</f>
        <v>キャスト;キャスト不在インジケーター</v>
      </c>
      <c r="H916" s="3" t="str">
        <f ca="1">IFERROR(__xludf.DUMMYFUNCTION("googletranslate(E916,""en"",""ja"")"),"生物学的標本でキャストが検索されたが見つからなかったことを示します。")</f>
        <v>生物学的標本でキャストが検索されたが見つからなかったことを示します。</v>
      </c>
      <c r="I916" s="3" t="str">
        <f ca="1">IFERROR(__xludf.DUMMYFUNCTION("googletranslate(F916,""en"",""ja"")"),"キャスト不在インジケーター")</f>
        <v>キャスト不在インジケーター</v>
      </c>
    </row>
    <row r="917" spans="1:9" ht="30">
      <c r="A917" s="3" t="s">
        <v>6</v>
      </c>
      <c r="B917" s="3" t="s">
        <v>3898</v>
      </c>
      <c r="C917" s="3" t="s">
        <v>3899</v>
      </c>
      <c r="D917" s="3" t="s">
        <v>3899</v>
      </c>
      <c r="E917" s="3" t="s">
        <v>3900</v>
      </c>
      <c r="F917" s="3" t="s">
        <v>3901</v>
      </c>
      <c r="G917" s="3" t="str">
        <f ca="1">IFERROR(__xludf.DUMMYFUNCTION("googletranslate(D917,""en"",""ja"")"),"硫酸カルシウム")</f>
        <v>硫酸カルシウム</v>
      </c>
      <c r="H917" s="3" t="str">
        <f ca="1">IFERROR(__xludf.DUMMYFUNCTION("googletranslate(E917,""en"",""ja"")"),"生物学的標本中の硫酸カルシウムの測定。")</f>
        <v>生物学的標本中の硫酸カルシウムの測定。</v>
      </c>
      <c r="I917" s="3" t="str">
        <f ca="1">IFERROR(__xludf.DUMMYFUNCTION("googletranslate(F917,""en"",""ja"")"),"硫酸カルシウムの測定")</f>
        <v>硫酸カルシウムの測定</v>
      </c>
    </row>
    <row r="918" spans="1:9">
      <c r="A918" s="3" t="s">
        <v>51</v>
      </c>
      <c r="B918" s="3" t="s">
        <v>3902</v>
      </c>
      <c r="C918" s="3" t="s">
        <v>3903</v>
      </c>
      <c r="D918" s="3" t="s">
        <v>3903</v>
      </c>
      <c r="E918" s="3" t="s">
        <v>3904</v>
      </c>
      <c r="F918" s="3" t="s">
        <v>3905</v>
      </c>
      <c r="G918" s="3" t="str">
        <f ca="1">IFERROR(__xludf.DUMMYFUNCTION("googletranslate(D918,""en"",""ja"")"),"カテコール")</f>
        <v>カテコール</v>
      </c>
      <c r="H918" s="3" t="str">
        <f ca="1">IFERROR(__xludf.DUMMYFUNCTION("googletranslate(E918,""en"",""ja"")"),"標本中のカテコールの測定。")</f>
        <v>標本中のカテコールの測定。</v>
      </c>
      <c r="I918" s="3" t="str">
        <f ca="1">IFERROR(__xludf.DUMMYFUNCTION("googletranslate(F918,""en"",""ja"")"),"カテコール測定")</f>
        <v>カテコール測定</v>
      </c>
    </row>
    <row r="919" spans="1:9">
      <c r="A919" s="3" t="s">
        <v>6</v>
      </c>
      <c r="B919" s="3" t="s">
        <v>3906</v>
      </c>
      <c r="C919" s="3" t="s">
        <v>3907</v>
      </c>
      <c r="D919" s="3" t="s">
        <v>3907</v>
      </c>
      <c r="E919" s="3" t="s">
        <v>3908</v>
      </c>
      <c r="F919" s="3" t="s">
        <v>3909</v>
      </c>
      <c r="G919" s="3" t="str">
        <f ca="1">IFERROR(__xludf.DUMMYFUNCTION("googletranslate(D919,""en"",""ja"")"),"カティノン")</f>
        <v>カティノン</v>
      </c>
      <c r="H919" s="3" t="str">
        <f ca="1">IFERROR(__xludf.DUMMYFUNCTION("googletranslate(E919,""en"",""ja"")"),"生物学的標本中のカチノンの測定。")</f>
        <v>生物学的標本中のカチノンの測定。</v>
      </c>
      <c r="I919" s="3" t="str">
        <f ca="1">IFERROR(__xludf.DUMMYFUNCTION("googletranslate(F919,""en"",""ja"")"),"カチノンの測定")</f>
        <v>カチノンの測定</v>
      </c>
    </row>
    <row r="920" spans="1:9" ht="30">
      <c r="A920" s="3" t="s">
        <v>185</v>
      </c>
      <c r="B920" s="3" t="s">
        <v>3910</v>
      </c>
      <c r="C920" s="3" t="s">
        <v>3911</v>
      </c>
      <c r="D920" s="3" t="s">
        <v>3911</v>
      </c>
      <c r="E920" s="3" t="s">
        <v>3912</v>
      </c>
      <c r="F920" s="3" t="s">
        <v>3913</v>
      </c>
      <c r="G920" s="3" t="str">
        <f ca="1">IFERROR(__xludf.DUMMYFUNCTION("googletranslate(D920,""en"",""ja"")"),"冠動脈血栓形成法の識別")</f>
        <v>冠動脈血栓形成法の識別</v>
      </c>
      <c r="H920" s="3" t="str">
        <f ca="1">IFERROR(__xludf.DUMMYFUNCTION("googletranslate(E920,""en"",""ja"")"),"冠動脈血栓症イベントを判定または診断する方法。")</f>
        <v>冠動脈血栓症イベントを判定または診断する方法。</v>
      </c>
      <c r="I920" s="3" t="str">
        <f ca="1">IFERROR(__xludf.DUMMYFUNCTION("googletranslate(F920,""en"",""ja"")"),"冠動脈血栓症の識別方法")</f>
        <v>冠動脈血栓症の識別方法</v>
      </c>
    </row>
    <row r="921" spans="1:9">
      <c r="A921" s="3" t="s">
        <v>6</v>
      </c>
      <c r="B921" s="3" t="s">
        <v>3914</v>
      </c>
      <c r="C921" s="3" t="s">
        <v>3915</v>
      </c>
      <c r="D921" s="3" t="s">
        <v>3915</v>
      </c>
      <c r="E921" s="3" t="s">
        <v>3916</v>
      </c>
      <c r="F921" s="3" t="s">
        <v>3917</v>
      </c>
      <c r="G921" s="3" t="str">
        <f ca="1">IFERROR(__xludf.DUMMYFUNCTION("googletranslate(D921,""en"",""ja"")"),"ベータカテニン")</f>
        <v>ベータカテニン</v>
      </c>
      <c r="H921" s="3" t="str">
        <f ca="1">IFERROR(__xludf.DUMMYFUNCTION("googletranslate(E921,""en"",""ja"")"),"生物学的標本中のベータカテニンの測定。")</f>
        <v>生物学的標本中のベータカテニンの測定。</v>
      </c>
      <c r="I921" s="3" t="str">
        <f ca="1">IFERROR(__xludf.DUMMYFUNCTION("googletranslate(F921,""en"",""ja"")"),"ベータカテニンの測定")</f>
        <v>ベータカテニンの測定</v>
      </c>
    </row>
    <row r="922" spans="1:9" ht="30">
      <c r="A922" s="3" t="s">
        <v>1255</v>
      </c>
      <c r="B922" s="3" t="s">
        <v>3918</v>
      </c>
      <c r="C922" s="3" t="s">
        <v>3919</v>
      </c>
      <c r="D922" s="3" t="s">
        <v>3919</v>
      </c>
      <c r="E922" s="3" t="s">
        <v>3920</v>
      </c>
      <c r="F922" s="3" t="s">
        <v>3921</v>
      </c>
      <c r="G922" s="3" t="str">
        <f ca="1">IFERROR(__xludf.DUMMYFUNCTION("googletranslate(D922,""en"",""ja"")"),"連続音声録音インジケーター")</f>
        <v>連続音声録音インジケーター</v>
      </c>
      <c r="H922" s="3" t="str">
        <f ca="1">IFERROR(__xludf.DUMMYFUNCTION("googletranslate(E922,""en"",""ja"")"),"評価中に継続的な音声録音が行われるかどうかを示します。")</f>
        <v>評価中に継続的な音声録音が行われるかどうかを示します。</v>
      </c>
      <c r="I922" s="3" t="str">
        <f ca="1">IFERROR(__xludf.DUMMYFUNCTION("googletranslate(F922,""en"",""ja"")"),"連続音声録音完了インジケーター")</f>
        <v>連続音声録音完了インジケーター</v>
      </c>
    </row>
    <row r="923" spans="1:9" ht="45">
      <c r="A923" s="3" t="s">
        <v>6</v>
      </c>
      <c r="B923" s="3" t="s">
        <v>3922</v>
      </c>
      <c r="C923" s="3" t="s">
        <v>3923</v>
      </c>
      <c r="D923" s="3" t="s">
        <v>3924</v>
      </c>
      <c r="E923" s="3" t="s">
        <v>3925</v>
      </c>
      <c r="F923" s="3" t="s">
        <v>3926</v>
      </c>
      <c r="G923" s="3" t="str">
        <f ca="1">IFERROR(__xludf.DUMMYFUNCTION("googletranslate(D923,""en"",""ja"")"),"Ba 補体因子 B の断片。 Ba 因子 B の断片。補体Ba")</f>
        <v>Ba 補体因子 B の断片。 Ba 因子 B の断片。補体Ba</v>
      </c>
      <c r="H923" s="3" t="str">
        <f ca="1">IFERROR(__xludf.DUMMYFUNCTION("googletranslate(E923,""en"",""ja"")"),"生物学的標本中の補体因子 B の Ba フラグメントの測定。")</f>
        <v>生物学的標本中の補体因子 B の Ba フラグメントの測定。</v>
      </c>
      <c r="I923" s="3" t="str">
        <f ca="1">IFERROR(__xludf.DUMMYFUNCTION("googletranslate(F923,""en"",""ja"")"),"補体Ba測定")</f>
        <v>補体Ba測定</v>
      </c>
    </row>
    <row r="924" spans="1:9" ht="30">
      <c r="A924" s="3" t="s">
        <v>6</v>
      </c>
      <c r="B924" s="3" t="s">
        <v>3927</v>
      </c>
      <c r="C924" s="3" t="s">
        <v>3928</v>
      </c>
      <c r="D924" s="3" t="s">
        <v>3929</v>
      </c>
      <c r="E924" s="3" t="s">
        <v>3930</v>
      </c>
      <c r="F924" s="3" t="s">
        <v>3931</v>
      </c>
      <c r="G924" s="3" t="str">
        <f ca="1">IFERROR(__xludf.DUMMYFUNCTION("googletranslate(D924,""en"",""ja"")"),"CA9;カイクス;炭酸脱水酵素 9")</f>
        <v>CA9;カイクス;炭酸脱水酵素 9</v>
      </c>
      <c r="H924" s="3" t="str">
        <f ca="1">IFERROR(__xludf.DUMMYFUNCTION("googletranslate(E924,""en"",""ja"")"),"生体試料中の炭酸脱水酵素 9 の測定。")</f>
        <v>生体試料中の炭酸脱水酵素 9 の測定。</v>
      </c>
      <c r="I924" s="3" t="str">
        <f ca="1">IFERROR(__xludf.DUMMYFUNCTION("googletranslate(F924,""en"",""ja"")"),"炭酸脱水酵素9の測定")</f>
        <v>炭酸脱水酵素9の測定</v>
      </c>
    </row>
    <row r="925" spans="1:9" ht="45">
      <c r="A925" s="3" t="s">
        <v>6</v>
      </c>
      <c r="B925" s="3" t="s">
        <v>3932</v>
      </c>
      <c r="C925" s="3" t="s">
        <v>3933</v>
      </c>
      <c r="D925" s="3" t="s">
        <v>3934</v>
      </c>
      <c r="E925" s="3" t="s">
        <v>3935</v>
      </c>
      <c r="F925" s="3" t="s">
        <v>3936</v>
      </c>
      <c r="G925" s="3" t="str">
        <f ca="1">IFERROR(__xludf.DUMMYFUNCTION("googletranslate(D925,""en"",""ja"")"),"Bb 補体因子 B の断片。 Bb 因子 B の断片。補体Bb")</f>
        <v>Bb 補体因子 B の断片。 Bb 因子 B の断片。補体Bb</v>
      </c>
      <c r="H925" s="3" t="str">
        <f ca="1">IFERROR(__xludf.DUMMYFUNCTION("googletranslate(E925,""en"",""ja"")"),"生物学的標本中の補体因子 B の Bb フラグメントの測定。")</f>
        <v>生物学的標本中の補体因子 B の Bb フラグメントの測定。</v>
      </c>
      <c r="I925" s="3" t="str">
        <f ca="1">IFERROR(__xludf.DUMMYFUNCTION("googletranslate(F925,""en"",""ja"")"),"補体Bb測定")</f>
        <v>補体Bb測定</v>
      </c>
    </row>
    <row r="926" spans="1:9" ht="30">
      <c r="A926" s="3" t="s">
        <v>1255</v>
      </c>
      <c r="B926" s="3" t="s">
        <v>3937</v>
      </c>
      <c r="C926" s="3" t="s">
        <v>3938</v>
      </c>
      <c r="D926" s="3" t="s">
        <v>3938</v>
      </c>
      <c r="E926" s="3" t="s">
        <v>3939</v>
      </c>
      <c r="F926" s="3" t="s">
        <v>3940</v>
      </c>
      <c r="G926" s="3" t="str">
        <f ca="1">IFERROR(__xludf.DUMMYFUNCTION("googletranslate(D926,""en"",""ja"")"),"炭水化物とインスリンの比率の設定")</f>
        <v>炭水化物とインスリンの比率の設定</v>
      </c>
      <c r="H926" s="3" t="str">
        <f ca="1">IFERROR(__xludf.DUMMYFUNCTION("googletranslate(E926,""en"",""ja"")"),"投与される製品中の炭水化物とインスリンの比率を指定するデバイスの設定。")</f>
        <v>投与される製品中の炭水化物とインスリンの比率を指定するデバイスの設定。</v>
      </c>
      <c r="I926" s="3" t="str">
        <f ca="1">IFERROR(__xludf.DUMMYFUNCTION("googletranslate(F926,""en"",""ja"")"),"炭水化物とインスリンの比率のデバイス設定")</f>
        <v>炭水化物とインスリンの比率のデバイス設定</v>
      </c>
    </row>
    <row r="927" spans="1:9" ht="45">
      <c r="A927" s="3" t="s">
        <v>51</v>
      </c>
      <c r="B927" s="3" t="s">
        <v>3941</v>
      </c>
      <c r="C927" s="3" t="s">
        <v>3942</v>
      </c>
      <c r="D927" s="3" t="s">
        <v>3942</v>
      </c>
      <c r="E927" s="3" t="s">
        <v>3943</v>
      </c>
      <c r="F927" s="3" t="s">
        <v>3942</v>
      </c>
      <c r="G927" s="3" t="str">
        <f ca="1">IFERROR(__xludf.DUMMYFUNCTION("googletranslate(D927,""en"",""ja"")"),"紙巻きタバコ原紙の浸透性")</f>
        <v>紙巻きタバコ原紙の浸透性</v>
      </c>
      <c r="H927" s="3" t="str">
        <f ca="1">IFERROR(__xludf.DUMMYFUNCTION("googletranslate(E927,""en"",""ja"")"),"紙巻きタバコを包むために使用される紙製品を通過する液体、気体、または特定の化学物質の通過の容易さ。")</f>
        <v>紙巻きタバコを包むために使用される紙製品を通過する液体、気体、または特定の化学物質の通過の容易さ。</v>
      </c>
      <c r="I927" s="3" t="str">
        <f ca="1">IFERROR(__xludf.DUMMYFUNCTION("googletranslate(F927,""en"",""ja"")"),"紙巻きタバコ原紙の浸透性")</f>
        <v>紙巻きタバコ原紙の浸透性</v>
      </c>
    </row>
    <row r="928" spans="1:9" ht="30">
      <c r="A928" s="3" t="s">
        <v>51</v>
      </c>
      <c r="B928" s="3" t="s">
        <v>3944</v>
      </c>
      <c r="C928" s="3" t="s">
        <v>3945</v>
      </c>
      <c r="D928" s="3" t="s">
        <v>3945</v>
      </c>
      <c r="E928" s="3" t="s">
        <v>3946</v>
      </c>
      <c r="F928" s="3" t="s">
        <v>3945</v>
      </c>
      <c r="G928" s="3" t="str">
        <f ca="1">IFERROR(__xludf.DUMMYFUNCTION("googletranslate(D928,""en"",""ja"")"),"紙巻きタバコ原紙の空隙率")</f>
        <v>紙巻きタバコ原紙の空隙率</v>
      </c>
      <c r="H928" s="3" t="str">
        <f ca="1">IFERROR(__xludf.DUMMYFUNCTION("googletranslate(E928,""en"",""ja"")"),"タバコを包むために使用される紙製品の空きスペースの量。")</f>
        <v>タバコを包むために使用される紙製品の空きスペースの量。</v>
      </c>
      <c r="I928" s="3" t="str">
        <f ca="1">IFERROR(__xludf.DUMMYFUNCTION("googletranslate(F928,""en"",""ja"")"),"紙巻きタバコ原紙の空隙率")</f>
        <v>紙巻きタバコ原紙の空隙率</v>
      </c>
    </row>
    <row r="929" spans="1:9" ht="30">
      <c r="A929" s="3" t="s">
        <v>67</v>
      </c>
      <c r="B929" s="3" t="s">
        <v>3947</v>
      </c>
      <c r="C929" s="3" t="s">
        <v>3948</v>
      </c>
      <c r="D929" s="3" t="s">
        <v>3948</v>
      </c>
      <c r="E929" s="3" t="s">
        <v>3949</v>
      </c>
      <c r="F929" s="3" t="s">
        <v>3950</v>
      </c>
      <c r="G929" s="3" t="str">
        <f ca="1">IFERROR(__xludf.DUMMYFUNCTION("googletranslate(D929,""en"",""ja"")"),"シトロバクター・ブラキー")</f>
        <v>シトロバクター・ブラキー</v>
      </c>
      <c r="H929" s="3" t="str">
        <f ca="1">IFERROR(__xludf.DUMMYFUNCTION("googletranslate(E929,""en"",""ja"")"),"生物学的標本中の Citrobacter braakii の測定。")</f>
        <v>生物学的標本中の Citrobacter braakii の測定。</v>
      </c>
      <c r="I929" s="3" t="str">
        <f ca="1">IFERROR(__xludf.DUMMYFUNCTION("googletranslate(F929,""en"",""ja"")"),"シトロバクター ブラキイの測定")</f>
        <v>シトロバクター ブラキイの測定</v>
      </c>
    </row>
    <row r="930" spans="1:9" ht="30">
      <c r="A930" s="3" t="s">
        <v>6</v>
      </c>
      <c r="B930" s="3" t="s">
        <v>3951</v>
      </c>
      <c r="C930" s="3" t="s">
        <v>3952</v>
      </c>
      <c r="D930" s="3" t="s">
        <v>3952</v>
      </c>
      <c r="E930" s="3" t="s">
        <v>3953</v>
      </c>
      <c r="F930" s="3" t="s">
        <v>3954</v>
      </c>
      <c r="G930" s="3" t="str">
        <f ca="1">IFERROR(__xludf.DUMMYFUNCTION("googletranslate(D930,""en"",""ja"")"),"シスタチオニン ベータ シンターゼ")</f>
        <v>シスタチオニン ベータ シンターゼ</v>
      </c>
      <c r="H930" s="3" t="str">
        <f ca="1">IFERROR(__xludf.DUMMYFUNCTION("googletranslate(E930,""en"",""ja"")"),"生物学的標本中のシスタチオニン ベータ シンターゼの測定。")</f>
        <v>生物学的標本中のシスタチオニン ベータ シンターゼの測定。</v>
      </c>
      <c r="I930" s="3" t="str">
        <f ca="1">IFERROR(__xludf.DUMMYFUNCTION("googletranslate(F930,""en"",""ja"")"),"シスタチオニン ベータ シンターゼの測定")</f>
        <v>シスタチオニン ベータ シンターゼの測定</v>
      </c>
    </row>
    <row r="931" spans="1:9" ht="30">
      <c r="A931" s="3" t="s">
        <v>67</v>
      </c>
      <c r="B931" s="3" t="s">
        <v>3955</v>
      </c>
      <c r="C931" s="3" t="s">
        <v>3956</v>
      </c>
      <c r="D931" s="3" t="s">
        <v>3956</v>
      </c>
      <c r="E931" s="3" t="s">
        <v>3957</v>
      </c>
      <c r="F931" s="3" t="s">
        <v>3958</v>
      </c>
      <c r="G931" s="3" t="str">
        <f ca="1">IFERROR(__xludf.DUMMYFUNCTION("googletranslate(D931,""en"",""ja"")"),"シクロスポラ・カエタネンシスの DNA")</f>
        <v>シクロスポラ・カエタネンシスの DNA</v>
      </c>
      <c r="H931" s="3" t="str">
        <f ca="1">IFERROR(__xludf.DUMMYFUNCTION("googletranslate(E931,""en"",""ja"")"),"生物学的標本中の Cyclospora cayetanensis DNA の測定。")</f>
        <v>生物学的標本中の Cyclospora cayetanensis DNA の測定。</v>
      </c>
      <c r="I931" s="3" t="str">
        <f ca="1">IFERROR(__xludf.DUMMYFUNCTION("googletranslate(F931,""en"",""ja"")"),"Cyclospora cayetanensis DNA 測定")</f>
        <v>Cyclospora cayetanensis DNA 測定</v>
      </c>
    </row>
    <row r="932" spans="1:9" ht="30">
      <c r="A932" s="3" t="s">
        <v>103</v>
      </c>
      <c r="B932" s="3" t="s">
        <v>3959</v>
      </c>
      <c r="C932" s="3" t="s">
        <v>3960</v>
      </c>
      <c r="D932" s="3" t="s">
        <v>3961</v>
      </c>
      <c r="E932" s="3" t="s">
        <v>3962</v>
      </c>
      <c r="F932" s="3" t="s">
        <v>3963</v>
      </c>
      <c r="G932" s="3" t="str">
        <f ca="1">IFERROR(__xludf.DUMMYFUNCTION("googletranslate(D932,""en"",""ja"")"),"cCD223 の発現;細胞質CD223発現")</f>
        <v>cCD223 の発現;細胞質CD223発現</v>
      </c>
      <c r="H932" s="3" t="str">
        <f ca="1">IFERROR(__xludf.DUMMYFUNCTION("googletranslate(E932,""en"",""ja"")"),"生物学的標本における細胞質 CD223 発現の測定。")</f>
        <v>生物学的標本における細胞質 CD223 発現の測定。</v>
      </c>
      <c r="I932" s="3" t="str">
        <f ca="1">IFERROR(__xludf.DUMMYFUNCTION("googletranslate(F932,""en"",""ja"")"),"細胞質CD223発現測定")</f>
        <v>細胞質CD223発現測定</v>
      </c>
    </row>
    <row r="933" spans="1:9" ht="30">
      <c r="A933" s="3" t="s">
        <v>6</v>
      </c>
      <c r="B933" s="3" t="s">
        <v>3964</v>
      </c>
      <c r="C933" s="3" t="s">
        <v>3965</v>
      </c>
      <c r="D933" s="3" t="s">
        <v>3966</v>
      </c>
      <c r="E933" s="3" t="s">
        <v>3967</v>
      </c>
      <c r="F933" s="3" t="s">
        <v>3968</v>
      </c>
      <c r="G933" s="3" t="str">
        <f ca="1">IFERROR(__xludf.DUMMYFUNCTION("googletranslate(D933,""en"",""ja"")"),"コレシストキニン;パンクレオザイミン")</f>
        <v>コレシストキニン;パンクレオザイミン</v>
      </c>
      <c r="H933" s="3" t="str">
        <f ca="1">IFERROR(__xludf.DUMMYFUNCTION("googletranslate(E933,""en"",""ja"")"),"生物学的標本中のコレシストキニン ホルモンの測定。")</f>
        <v>生物学的標本中のコレシストキニン ホルモンの測定。</v>
      </c>
      <c r="I933" s="3" t="str">
        <f ca="1">IFERROR(__xludf.DUMMYFUNCTION("googletranslate(F933,""en"",""ja"")"),"コレシストキニン測定")</f>
        <v>コレシストキニン測定</v>
      </c>
    </row>
    <row r="934" spans="1:9" ht="60">
      <c r="A934" s="3" t="s">
        <v>6</v>
      </c>
      <c r="B934" s="3" t="s">
        <v>3969</v>
      </c>
      <c r="C934" s="3" t="s">
        <v>3970</v>
      </c>
      <c r="D934" s="3" t="s">
        <v>3971</v>
      </c>
      <c r="E934" s="3" t="s">
        <v>3972</v>
      </c>
      <c r="F934" s="3" t="s">
        <v>3973</v>
      </c>
      <c r="G934" s="3" t="str">
        <f ca="1">IFERROR(__xludf.DUMMYFUNCTION("googletranslate(D934,""en"",""ja"")"),"ケモカイン (C-C モチーフ) リガンド 1; I-309; SCYA1;小さな誘導性サイトカイン A1; Tリンパ球分泌タンパク質 I-309")</f>
        <v>ケモカイン (C-C モチーフ) リガンド 1; I-309; SCYA1;小さな誘導性サイトカイン A1; Tリンパ球分泌タンパク質 I-309</v>
      </c>
      <c r="H934" s="3" t="str">
        <f ca="1">IFERROR(__xludf.DUMMYFUNCTION("googletranslate(E934,""en"",""ja"")"),"生物学的標本における CCL1、ケモカイン (C-C モチーフ) リガンド 1 の測定。")</f>
        <v>生物学的標本における CCL1、ケモカイン (C-C モチーフ) リガンド 1 の測定。</v>
      </c>
      <c r="I934" s="3" t="str">
        <f ca="1">IFERROR(__xludf.DUMMYFUNCTION("googletranslate(F934,""en"",""ja"")"),"ケモカイン (C-C モチーフ) リガンド 1 の測定")</f>
        <v>ケモカイン (C-C モチーフ) リガンド 1 の測定</v>
      </c>
    </row>
    <row r="935" spans="1:9" ht="45">
      <c r="A935" s="3" t="s">
        <v>6</v>
      </c>
      <c r="B935" s="3" t="s">
        <v>3974</v>
      </c>
      <c r="C935" s="3" t="s">
        <v>3975</v>
      </c>
      <c r="D935" s="3" t="s">
        <v>3976</v>
      </c>
      <c r="E935" s="3" t="s">
        <v>3977</v>
      </c>
      <c r="F935" s="3" t="s">
        <v>3978</v>
      </c>
      <c r="G935" s="3" t="str">
        <f ca="1">IFERROR(__xludf.DUMMYFUNCTION("googletranslate(D935,""en"",""ja"")"),"ケモカイン (C-C モチーフ) リガンド 12;単球走化性タンパク質 5")</f>
        <v>ケモカイン (C-C モチーフ) リガンド 12;単球走化性タンパク質 5</v>
      </c>
      <c r="H935" s="3" t="str">
        <f ca="1">IFERROR(__xludf.DUMMYFUNCTION("googletranslate(E935,""en"",""ja"")"),"生物学的標本における CCL12、ケモカイン (C-C モチーフ) リガンド 12 の測定。")</f>
        <v>生物学的標本における CCL12、ケモカイン (C-C モチーフ) リガンド 12 の測定。</v>
      </c>
      <c r="I935" s="3" t="str">
        <f ca="1">IFERROR(__xludf.DUMMYFUNCTION("googletranslate(F935,""en"",""ja"")"),"ケモカイン (C-C モチーフ) リガンド 12 の測定")</f>
        <v>ケモカイン (C-C モチーフ) リガンド 12 の測定</v>
      </c>
    </row>
    <row r="936" spans="1:9" ht="60">
      <c r="A936" s="3" t="s">
        <v>6</v>
      </c>
      <c r="B936" s="3" t="s">
        <v>3979</v>
      </c>
      <c r="C936" s="3" t="s">
        <v>3980</v>
      </c>
      <c r="D936" s="3" t="s">
        <v>3981</v>
      </c>
      <c r="E936" s="3" t="s">
        <v>3982</v>
      </c>
      <c r="F936" s="3" t="s">
        <v>3983</v>
      </c>
      <c r="G936" s="3" t="str">
        <f ca="1">IFERROR(__xludf.DUMMYFUNCTION("googletranslate(D936,""en"",""ja"")"),"C-C モチーフケモカインリガンド 13;ケモカイン (C-C モチーフ) リガンド 13; CKb10; MCP-4; NCC1; SCYA13; SCYL1")</f>
        <v>C-C モチーフケモカインリガンド 13;ケモカイン (C-C モチーフ) リガンド 13; CKb10; MCP-4; NCC1; SCYA13; SCYL1</v>
      </c>
      <c r="H936" s="3" t="str">
        <f ca="1">IFERROR(__xludf.DUMMYFUNCTION("googletranslate(E936,""en"",""ja"")"),"生物学的標本における CCL13、ケモカイン (C-C モチーフ) リガンド 13 の測定。")</f>
        <v>生物学的標本における CCL13、ケモカイン (C-C モチーフ) リガンド 13 の測定。</v>
      </c>
      <c r="I936" s="3" t="str">
        <f ca="1">IFERROR(__xludf.DUMMYFUNCTION("googletranslate(F936,""en"",""ja"")"),"ケモカイン (C-C モチーフ) リガンド 13 の測定")</f>
        <v>ケモカイン (C-C モチーフ) リガンド 13 の測定</v>
      </c>
    </row>
    <row r="937" spans="1:9" ht="60">
      <c r="A937" s="3" t="s">
        <v>6</v>
      </c>
      <c r="B937" s="3" t="s">
        <v>3984</v>
      </c>
      <c r="C937" s="3" t="s">
        <v>3985</v>
      </c>
      <c r="D937" s="3" t="s">
        <v>3986</v>
      </c>
      <c r="E937" s="3" t="s">
        <v>3987</v>
      </c>
      <c r="F937" s="3" t="s">
        <v>3988</v>
      </c>
      <c r="G937" s="3" t="str">
        <f ca="1">IFERROR(__xludf.DUMMYFUNCTION("googletranslate(D937,""en"",""ja"")"),"ケモカイン (C-C モチーフ) リガンド 15;ロイコタクチン 1;マクロファージ炎症性タンパク質-5; MIP-1デ​​ルタ; MIP1D; MIP5")</f>
        <v>ケモカイン (C-C モチーフ) リガンド 15;ロイコタクチン 1;マクロファージ炎症性タンパク質-5; MIP-1デ​​ルタ; MIP1D; MIP5</v>
      </c>
      <c r="H937" s="3" t="str">
        <f ca="1">IFERROR(__xludf.DUMMYFUNCTION("googletranslate(E937,""en"",""ja"")"),"生物学的標本における CCL15、ケモカイン (C-C モチーフ) リガンド 15 の測定。")</f>
        <v>生物学的標本における CCL15、ケモカイン (C-C モチーフ) リガンド 15 の測定。</v>
      </c>
      <c r="I937" s="3" t="str">
        <f ca="1">IFERROR(__xludf.DUMMYFUNCTION("googletranslate(F937,""en"",""ja"")"),"ケモカイン (C-C モチーフ) リガンド 15 の測定")</f>
        <v>ケモカイン (C-C モチーフ) リガンド 15 の測定</v>
      </c>
    </row>
    <row r="938" spans="1:9" ht="60">
      <c r="A938" s="3" t="s">
        <v>6</v>
      </c>
      <c r="B938" s="3" t="s">
        <v>3989</v>
      </c>
      <c r="C938" s="3" t="s">
        <v>3990</v>
      </c>
      <c r="D938" s="3" t="s">
        <v>3991</v>
      </c>
      <c r="E938" s="3" t="s">
        <v>3992</v>
      </c>
      <c r="F938" s="3" t="s">
        <v>3993</v>
      </c>
      <c r="G938" s="3" t="str">
        <f ca="1">IFERROR(__xludf.DUMMYFUNCTION("googletranslate(D938,""en"",""ja"")"),"ケモカイン (C-C モチーフ) リガンド 16;ケモカイン CC-4; CKb12; HCC-4;アイリンク; LCC-1;レック; LMC;山-1; NCC4; SCYA16; SCYL4")</f>
        <v>ケモカイン (C-C モチーフ) リガンド 16;ケモカイン CC-4; CKb12; HCC-4;アイリンク; LCC-1;レック; LMC;山-1; NCC4; SCYA16; SCYL4</v>
      </c>
      <c r="H938" s="3" t="str">
        <f ca="1">IFERROR(__xludf.DUMMYFUNCTION("googletranslate(E938,""en"",""ja"")"),"生物学的標本における CCL16、ケモカイン (C-C モチーフ) リガンド 16 の測定。")</f>
        <v>生物学的標本における CCL16、ケモカイン (C-C モチーフ) リガンド 16 の測定。</v>
      </c>
      <c r="I938" s="3" t="str">
        <f ca="1">IFERROR(__xludf.DUMMYFUNCTION("googletranslate(F938,""en"",""ja"")"),"ケモカイン (C-C モチーフ) リガンド 16 の測定")</f>
        <v>ケモカイン (C-C モチーフ) リガンド 16 の測定</v>
      </c>
    </row>
    <row r="939" spans="1:9" ht="60">
      <c r="A939" s="3" t="s">
        <v>6</v>
      </c>
      <c r="B939" s="3" t="s">
        <v>3994</v>
      </c>
      <c r="C939" s="3" t="s">
        <v>3995</v>
      </c>
      <c r="D939" s="3" t="s">
        <v>3996</v>
      </c>
      <c r="E939" s="3" t="s">
        <v>3997</v>
      </c>
      <c r="F939" s="3" t="s">
        <v>3998</v>
      </c>
      <c r="G939" s="3" t="str">
        <f ca="1">IFERROR(__xludf.DUMMYFUNCTION("googletranslate(D939,""en"",""ja"")"),"ABCD-2;ケモカイン (C-C モチーフ) リガンド 17; SCYA17; TARC;胸腺および活性化調節ケモカイン")</f>
        <v>ABCD-2;ケモカイン (C-C モチーフ) リガンド 17; SCYA17; TARC;胸腺および活性化調節ケモカイン</v>
      </c>
      <c r="H939" s="3" t="str">
        <f ca="1">IFERROR(__xludf.DUMMYFUNCTION("googletranslate(E939,""en"",""ja"")"),"生物学的標本における CCL17、ケモカイン (C-C モチーフ) リガンド 17 の測定。")</f>
        <v>生物学的標本における CCL17、ケモカイン (C-C モチーフ) リガンド 17 の測定。</v>
      </c>
      <c r="I939" s="3" t="str">
        <f ca="1">IFERROR(__xludf.DUMMYFUNCTION("googletranslate(F939,""en"",""ja"")"),"ケモカイン (C-C モチーフ) リガンド 17 の測定")</f>
        <v>ケモカイン (C-C モチーフ) リガンド 17 の測定</v>
      </c>
    </row>
    <row r="940" spans="1:9" ht="90">
      <c r="A940" s="3" t="s">
        <v>6</v>
      </c>
      <c r="B940" s="3" t="s">
        <v>3999</v>
      </c>
      <c r="C940" s="3" t="s">
        <v>4000</v>
      </c>
      <c r="D940" s="3" t="s">
        <v>4001</v>
      </c>
      <c r="E940" s="3" t="s">
        <v>4002</v>
      </c>
      <c r="F940" s="3" t="s">
        <v>4003</v>
      </c>
      <c r="G940" s="3" t="str">
        <f ca="1">IFERROR(__xludf.DUMMYFUNCTION("googletranslate(D940,""en"",""ja"")"),"AMAC-1; AMAC1;ケモカイン (C-C モチーフ) リガンド 18; CKB7; DC-CK1; DCCK1;マクロファージ炎症性タンパク質-4; MIP4; PARC;肺および活性化調節ケモカイン。 SCYA18")</f>
        <v>AMAC-1; AMAC1;ケモカイン (C-C モチーフ) リガンド 18; CKB7; DC-CK1; DCCK1;マクロファージ炎症性タンパク質-4; MIP4; PARC;肺および活性化調節ケモカイン。 SCYA18</v>
      </c>
      <c r="H940" s="3" t="str">
        <f ca="1">IFERROR(__xludf.DUMMYFUNCTION("googletranslate(E940,""en"",""ja"")"),"生物学的標本における CCL18、ケモカイン (C-C モチーフ) リガンド 18 の測定。")</f>
        <v>生物学的標本における CCL18、ケモカイン (C-C モチーフ) リガンド 18 の測定。</v>
      </c>
      <c r="I940" s="3" t="str">
        <f ca="1">IFERROR(__xludf.DUMMYFUNCTION("googletranslate(F940,""en"",""ja"")"),"ケモカイン (C-C モチーフ) リガンド 18 の測定")</f>
        <v>ケモカイン (C-C モチーフ) リガンド 18 の測定</v>
      </c>
    </row>
    <row r="941" spans="1:9" ht="45">
      <c r="A941" s="3" t="s">
        <v>6</v>
      </c>
      <c r="B941" s="3" t="s">
        <v>4004</v>
      </c>
      <c r="C941" s="3" t="s">
        <v>4005</v>
      </c>
      <c r="D941" s="3" t="s">
        <v>4006</v>
      </c>
      <c r="E941" s="3" t="s">
        <v>4007</v>
      </c>
      <c r="F941" s="3" t="s">
        <v>4008</v>
      </c>
      <c r="G941" s="3" t="str">
        <f ca="1">IFERROR(__xludf.DUMMYFUNCTION("googletranslate(D941,""en"",""ja"")"),"ケモカイン (C-C モチーフ) リガンド 19;マクロファージ炎症性タンパク質 3 ベータ; MIP3B")</f>
        <v>ケモカイン (C-C モチーフ) リガンド 19;マクロファージ炎症性タンパク質 3 ベータ; MIP3B</v>
      </c>
      <c r="H941" s="3" t="str">
        <f ca="1">IFERROR(__xludf.DUMMYFUNCTION("googletranslate(E941,""en"",""ja"")"),"生物学的標本における CCL19、ケモカイン (C-C モチーフ) リガンド 19 の測定。")</f>
        <v>生物学的標本における CCL19、ケモカイン (C-C モチーフ) リガンド 19 の測定。</v>
      </c>
      <c r="I941" s="3" t="str">
        <f ca="1">IFERROR(__xludf.DUMMYFUNCTION("googletranslate(F941,""en"",""ja"")"),"ケモカイン (C-C モチーフ) リガンド 19 の測定")</f>
        <v>ケモカイン (C-C モチーフ) リガンド 19 の測定</v>
      </c>
    </row>
    <row r="942" spans="1:9" ht="75">
      <c r="A942" s="3" t="s">
        <v>6</v>
      </c>
      <c r="B942" s="3" t="s">
        <v>4009</v>
      </c>
      <c r="C942" s="3" t="s">
        <v>4010</v>
      </c>
      <c r="D942" s="3" t="s">
        <v>4011</v>
      </c>
      <c r="E942" s="3" t="s">
        <v>4012</v>
      </c>
      <c r="F942" s="3" t="s">
        <v>4013</v>
      </c>
      <c r="G942" s="3" t="str">
        <f ca="1">IFERROR(__xludf.DUMMYFUNCTION("googletranslate(D942,""en"",""ja"")"),"CCL20;ケモカイン (C-C モチーフ) リガンド 20;ラーク;肝臓活性化調節ケモカイン。マクロファージ炎症性タンパク質-3 アルファ; MIP3A")</f>
        <v>CCL20;ケモカイン (C-C モチーフ) リガンド 20;ラーク;肝臓活性化調節ケモカイン。マクロファージ炎症性タンパク質-3 アルファ; MIP3A</v>
      </c>
      <c r="H942" s="3" t="str">
        <f ca="1">IFERROR(__xludf.DUMMYFUNCTION("googletranslate(E942,""en"",""ja"")"),"生物学的標本中のケモカイン (C-C モチーフ) リガンド 20 の測定。")</f>
        <v>生物学的標本中のケモカイン (C-C モチーフ) リガンド 20 の測定。</v>
      </c>
      <c r="I942" s="3" t="str">
        <f ca="1">IFERROR(__xludf.DUMMYFUNCTION("googletranslate(F942,""en"",""ja"")"),"ケモカイン (C-C モチーフ) リガンド 20 の測定")</f>
        <v>ケモカイン (C-C モチーフ) リガンド 20 の測定</v>
      </c>
    </row>
    <row r="943" spans="1:9" ht="45">
      <c r="A943" s="3" t="s">
        <v>6</v>
      </c>
      <c r="B943" s="3" t="s">
        <v>4014</v>
      </c>
      <c r="C943" s="3" t="s">
        <v>4015</v>
      </c>
      <c r="D943" s="3" t="s">
        <v>4016</v>
      </c>
      <c r="E943" s="3" t="s">
        <v>4017</v>
      </c>
      <c r="F943" s="3" t="s">
        <v>4018</v>
      </c>
      <c r="G943" s="3" t="str">
        <f ca="1">IFERROR(__xludf.DUMMYFUNCTION("googletranslate(D943,""en"",""ja"")"),"6カイン。ケモカイン (C-C モチーフ) リガンド 21;二次リンパ組織ケモカイン")</f>
        <v>6カイン。ケモカイン (C-C モチーフ) リガンド 21;二次リンパ組織ケモカイン</v>
      </c>
      <c r="H943" s="3" t="str">
        <f ca="1">IFERROR(__xludf.DUMMYFUNCTION("googletranslate(E943,""en"",""ja"")"),"生物学的標本における CCL21、ケモカイン (C-C モチーフ) リガンド 21 の測定。")</f>
        <v>生物学的標本における CCL21、ケモカイン (C-C モチーフ) リガンド 21 の測定。</v>
      </c>
      <c r="I943" s="3" t="str">
        <f ca="1">IFERROR(__xludf.DUMMYFUNCTION("googletranslate(F943,""en"",""ja"")"),"ケモカイン (C-C モチーフ) リガンド 21 の測定")</f>
        <v>ケモカイン (C-C モチーフ) リガンド 21 の測定</v>
      </c>
    </row>
    <row r="944" spans="1:9" ht="60">
      <c r="A944" s="3" t="s">
        <v>6</v>
      </c>
      <c r="B944" s="3" t="s">
        <v>4019</v>
      </c>
      <c r="C944" s="3" t="s">
        <v>4020</v>
      </c>
      <c r="D944" s="3" t="s">
        <v>4021</v>
      </c>
      <c r="E944" s="3" t="s">
        <v>4022</v>
      </c>
      <c r="F944" s="3" t="s">
        <v>4023</v>
      </c>
      <c r="G944" s="3" t="str">
        <f ca="1">IFERROR(__xludf.DUMMYFUNCTION("googletranslate(D944,""en"",""ja"")"),"ケモカイン (C-C モチーフ) リガンド 23; CK-ベータ-8; Ckb-8-1; CKb8; Hmrp-2a; MIP3; MPIF-1; SCYA23")</f>
        <v>ケモカイン (C-C モチーフ) リガンド 23; CK-ベータ-8; Ckb-8-1; CKb8; Hmrp-2a; MIP3; MPIF-1; SCYA23</v>
      </c>
      <c r="H944" s="3" t="str">
        <f ca="1">IFERROR(__xludf.DUMMYFUNCTION("googletranslate(E944,""en"",""ja"")"),"生物学的標本における CCL23、ケモカイン (C-C モチーフ) リガンド 23 の測定。")</f>
        <v>生物学的標本における CCL23、ケモカイン (C-C モチーフ) リガンド 23 の測定。</v>
      </c>
      <c r="I944" s="3" t="str">
        <f ca="1">IFERROR(__xludf.DUMMYFUNCTION("googletranslate(F944,""en"",""ja"")"),"ケモカイン (C-C モチーフ) リガンド 23 の測定")</f>
        <v>ケモカイン (C-C モチーフ) リガンド 23 の測定</v>
      </c>
    </row>
    <row r="945" spans="1:9" ht="30">
      <c r="A945" s="3" t="s">
        <v>6</v>
      </c>
      <c r="B945" s="3" t="s">
        <v>4024</v>
      </c>
      <c r="C945" s="3" t="s">
        <v>4025</v>
      </c>
      <c r="D945" s="3" t="s">
        <v>4026</v>
      </c>
      <c r="E945" s="3" t="s">
        <v>4027</v>
      </c>
      <c r="F945" s="3" t="s">
        <v>4028</v>
      </c>
      <c r="G945" s="3" t="str">
        <f ca="1">IFERROR(__xludf.DUMMYFUNCTION("googletranslate(D945,""en"",""ja"")"),"ケモカイン (C-C モチーフ) リガンド 25; Ckb15; SCYA25;テック")</f>
        <v>ケモカイン (C-C モチーフ) リガンド 25; Ckb15; SCYA25;テック</v>
      </c>
      <c r="H945" s="3" t="str">
        <f ca="1">IFERROR(__xludf.DUMMYFUNCTION("googletranslate(E945,""en"",""ja"")"),"生物学的標本における CCL25、ケモカイン (C-C モチーフ) リガンド 25 の測定。")</f>
        <v>生物学的標本における CCL25、ケモカイン (C-C モチーフ) リガンド 25 の測定。</v>
      </c>
      <c r="I945" s="3" t="str">
        <f ca="1">IFERROR(__xludf.DUMMYFUNCTION("googletranslate(F945,""en"",""ja"")"),"ケモカイン (C-C モチーフ) リガンド 25 の測定")</f>
        <v>ケモカイン (C-C モチーフ) リガンド 25 の測定</v>
      </c>
    </row>
    <row r="946" spans="1:9" ht="60">
      <c r="A946" s="3" t="s">
        <v>6</v>
      </c>
      <c r="B946" s="3" t="s">
        <v>4029</v>
      </c>
      <c r="C946" s="3" t="s">
        <v>4030</v>
      </c>
      <c r="D946" s="3" t="s">
        <v>4031</v>
      </c>
      <c r="E946" s="3" t="s">
        <v>4032</v>
      </c>
      <c r="F946" s="3" t="s">
        <v>4033</v>
      </c>
      <c r="G946" s="3" t="str">
        <f ca="1">IFERROR(__xludf.DUMMYFUNCTION("googletranslate(D946,""en"",""ja"")"),"ケモカイン (C-C モチーフ) リガンド 2 Excr 率;ケモカイン (C-C モチーフ) リガンド 2 の排泄率; MCP1 排泄率")</f>
        <v>ケモカイン (C-C モチーフ) リガンド 2 Excr 率;ケモカイン (C-C モチーフ) リガンド 2 の排泄率; MCP1 排泄率</v>
      </c>
      <c r="H946" s="3" t="str">
        <f ca="1">IFERROR(__xludf.DUMMYFUNCTION("googletranslate(E946,""en"",""ja"")"),"規定の期間（たとえば、1 時間）にわたって生物学的標本中に排泄されるケモカイン（C-C モチーフ）リガンド 2 の量の測定。")</f>
        <v>規定の期間（たとえば、1 時間）にわたって生物学的標本中に排泄されるケモカイン（C-C モチーフ）リガンド 2 の量の測定。</v>
      </c>
      <c r="I946" s="3" t="str">
        <f ca="1">IFERROR(__xludf.DUMMYFUNCTION("googletranslate(F946,""en"",""ja"")"),"ケモカイン (C-C モチーフ) リガンド 2 の排泄率")</f>
        <v>ケモカイン (C-C モチーフ) リガンド 2 の排泄率</v>
      </c>
    </row>
    <row r="947" spans="1:9" ht="45">
      <c r="A947" s="3" t="s">
        <v>6</v>
      </c>
      <c r="B947" s="3" t="s">
        <v>4034</v>
      </c>
      <c r="C947" s="3" t="s">
        <v>4035</v>
      </c>
      <c r="D947" s="3" t="s">
        <v>4036</v>
      </c>
      <c r="E947" s="3" t="s">
        <v>4037</v>
      </c>
      <c r="F947" s="3" t="s">
        <v>4038</v>
      </c>
      <c r="G947" s="3" t="str">
        <f ca="1">IFERROR(__xludf.DUMMYFUNCTION("googletranslate(D947,""en"",""ja"")"),"ケモカイン (C-C モチーフ) リガンド 7; MCP3;単球走化性タンパク質 3")</f>
        <v>ケモカイン (C-C モチーフ) リガンド 7; MCP3;単球走化性タンパク質 3</v>
      </c>
      <c r="H947" s="3" t="str">
        <f ca="1">IFERROR(__xludf.DUMMYFUNCTION("googletranslate(E947,""en"",""ja"")"),"生物学的標本における CCL7、ケモカイン (C-C モチーフ) リガンド 7 の測定。")</f>
        <v>生物学的標本における CCL7、ケモカイン (C-C モチーフ) リガンド 7 の測定。</v>
      </c>
      <c r="I947" s="3" t="str">
        <f ca="1">IFERROR(__xludf.DUMMYFUNCTION("googletranslate(F947,""en"",""ja"")"),"ケモカイン (C-C モチーフ) リガンド 7 の測定")</f>
        <v>ケモカイン (C-C モチーフ) リガンド 7 の測定</v>
      </c>
    </row>
    <row r="948" spans="1:9" ht="30">
      <c r="A948" s="3" t="s">
        <v>6</v>
      </c>
      <c r="B948" s="3" t="s">
        <v>4039</v>
      </c>
      <c r="C948" s="3" t="s">
        <v>4040</v>
      </c>
      <c r="D948" s="3" t="s">
        <v>4041</v>
      </c>
      <c r="E948" s="3" t="s">
        <v>4042</v>
      </c>
      <c r="F948" s="3" t="s">
        <v>4043</v>
      </c>
      <c r="G948" s="3" t="str">
        <f ca="1">IFERROR(__xludf.DUMMYFUNCTION("googletranslate(D948,""en"",""ja"")"),"ケモカイン (C-C モチーフ) リガンド 8; HC14; MCP2; SCYA10; SCYA8")</f>
        <v>ケモカイン (C-C モチーフ) リガンド 8; HC14; MCP2; SCYA10; SCYA8</v>
      </c>
      <c r="H948" s="3" t="str">
        <f ca="1">IFERROR(__xludf.DUMMYFUNCTION("googletranslate(E948,""en"",""ja"")"),"生物学的標本における CCL8、ケモカイン (C-C モチーフ) リガンド 8 の測定。")</f>
        <v>生物学的標本における CCL8、ケモカイン (C-C モチーフ) リガンド 8 の測定。</v>
      </c>
      <c r="I948" s="3" t="str">
        <f ca="1">IFERROR(__xludf.DUMMYFUNCTION("googletranslate(F948,""en"",""ja"")"),"ケモカイン (C-C モチーフ) リガンド 8 の測定")</f>
        <v>ケモカイン (C-C モチーフ) リガンド 8 の測定</v>
      </c>
    </row>
    <row r="949" spans="1:9" ht="30">
      <c r="A949" s="3" t="s">
        <v>67</v>
      </c>
      <c r="B949" s="3" t="s">
        <v>4044</v>
      </c>
      <c r="C949" s="3" t="s">
        <v>4045</v>
      </c>
      <c r="D949" s="3" t="s">
        <v>4045</v>
      </c>
      <c r="E949" s="3" t="s">
        <v>4046</v>
      </c>
      <c r="F949" s="3" t="s">
        <v>4047</v>
      </c>
      <c r="G949" s="3" t="str">
        <f ca="1">IFERROR(__xludf.DUMMYFUNCTION("googletranslate(D949,""en"",""ja"")"),"カンピロバクター・コリ")</f>
        <v>カンピロバクター・コリ</v>
      </c>
      <c r="H949" s="3" t="str">
        <f ca="1">IFERROR(__xludf.DUMMYFUNCTION("googletranslate(E949,""en"",""ja"")"),"生物学的標本中のカンピロバクター・コリの測定。")</f>
        <v>生物学的標本中のカンピロバクター・コリの測定。</v>
      </c>
      <c r="I949" s="3" t="str">
        <f ca="1">IFERROR(__xludf.DUMMYFUNCTION("googletranslate(F949,""en"",""ja"")"),"カンピロバクター・コリの測定")</f>
        <v>カンピロバクター・コリの測定</v>
      </c>
    </row>
    <row r="950" spans="1:9" ht="30">
      <c r="A950" s="3" t="s">
        <v>6</v>
      </c>
      <c r="B950" s="3" t="s">
        <v>4048</v>
      </c>
      <c r="C950" s="3" t="s">
        <v>4049</v>
      </c>
      <c r="D950" s="3" t="s">
        <v>4050</v>
      </c>
      <c r="E950" s="3" t="s">
        <v>4051</v>
      </c>
      <c r="F950" s="3" t="s">
        <v>4052</v>
      </c>
      <c r="G950" s="3" t="str">
        <f ca="1">IFERROR(__xludf.DUMMYFUNCTION("googletranslate(D950,""en"",""ja"")"),"C-C ケモカイン受容体タイプ 5;可溶性CD195")</f>
        <v>C-C ケモカイン受容体タイプ 5;可溶性CD195</v>
      </c>
      <c r="H950" s="3" t="str">
        <f ca="1">IFERROR(__xludf.DUMMYFUNCTION("googletranslate(E950,""en"",""ja"")"),"生物学的標本における CCR5、ケモカイン (C-C モチーフ) 受容体タイプ 5 の測定。")</f>
        <v>生物学的標本における CCR5、ケモカイン (C-C モチーフ) 受容体タイプ 5 の測定。</v>
      </c>
      <c r="I950" s="3" t="str">
        <f ca="1">IFERROR(__xludf.DUMMYFUNCTION("googletranslate(F950,""en"",""ja"")"),"C-C ケモカイン受容体タイプ 5 の測定")</f>
        <v>C-C ケモカイン受容体タイプ 5 の測定</v>
      </c>
    </row>
    <row r="951" spans="1:9" ht="30">
      <c r="A951" s="3" t="s">
        <v>103</v>
      </c>
      <c r="B951" s="3" t="s">
        <v>4053</v>
      </c>
      <c r="C951" s="3" t="s">
        <v>4054</v>
      </c>
      <c r="D951" s="3" t="s">
        <v>4054</v>
      </c>
      <c r="E951" s="3" t="s">
        <v>4055</v>
      </c>
      <c r="F951" s="3" t="s">
        <v>4056</v>
      </c>
      <c r="G951" s="3" t="str">
        <f ca="1">IFERROR(__xludf.DUMMYFUNCTION("googletranslate(D951,""en"",""ja"")"),"CD117 の発現")</f>
        <v>CD117 の発現</v>
      </c>
      <c r="H951" s="3" t="str">
        <f ca="1">IFERROR(__xludf.DUMMYFUNCTION("googletranslate(E951,""en"",""ja"")"),"生物学的標本における細胞 CD117 発現の測定。")</f>
        <v>生物学的標本における細胞 CD117 発現の測定。</v>
      </c>
      <c r="I951" s="3" t="str">
        <f ca="1">IFERROR(__xludf.DUMMYFUNCTION("googletranslate(F951,""en"",""ja"")"),"CD117発現測定")</f>
        <v>CD117発現測定</v>
      </c>
    </row>
    <row r="952" spans="1:9" ht="30">
      <c r="A952" s="3" t="s">
        <v>103</v>
      </c>
      <c r="B952" s="3" t="s">
        <v>4057</v>
      </c>
      <c r="C952" s="3" t="s">
        <v>4058</v>
      </c>
      <c r="D952" s="3" t="s">
        <v>4059</v>
      </c>
      <c r="E952" s="3" t="s">
        <v>4060</v>
      </c>
      <c r="F952" s="3" t="s">
        <v>4061</v>
      </c>
      <c r="G952" s="3" t="str">
        <f ca="1">IFERROR(__xludf.DUMMYFUNCTION("googletranslate(D952,""en"",""ja"")"),"CD134 の発現。 OX40 式")</f>
        <v>CD134 の発現。 OX40 式</v>
      </c>
      <c r="H952" s="3" t="str">
        <f ca="1">IFERROR(__xludf.DUMMYFUNCTION("googletranslate(E952,""en"",""ja"")"),"生物学的標本における細胞の CD134 発現の測定。")</f>
        <v>生物学的標本における細胞の CD134 発現の測定。</v>
      </c>
      <c r="I952" s="3" t="str">
        <f ca="1">IFERROR(__xludf.DUMMYFUNCTION("googletranslate(F952,""en"",""ja"")"),"CD134 発現測定")</f>
        <v>CD134 発現測定</v>
      </c>
    </row>
    <row r="953" spans="1:9" ht="30">
      <c r="A953" s="3" t="s">
        <v>103</v>
      </c>
      <c r="B953" s="3" t="s">
        <v>4062</v>
      </c>
      <c r="C953" s="3" t="s">
        <v>4063</v>
      </c>
      <c r="D953" s="3" t="s">
        <v>4063</v>
      </c>
      <c r="E953" s="3" t="s">
        <v>4064</v>
      </c>
      <c r="F953" s="3" t="s">
        <v>4065</v>
      </c>
      <c r="G953" s="3" t="str">
        <f ca="1">IFERROR(__xludf.DUMMYFUNCTION("googletranslate(D953,""en"",""ja"")"),"CD137 の発現")</f>
        <v>CD137 の発現</v>
      </c>
      <c r="H953" s="3" t="str">
        <f ca="1">IFERROR(__xludf.DUMMYFUNCTION("googletranslate(E953,""en"",""ja"")"),"生物学的標本における細胞 CD137 発現の測定。")</f>
        <v>生物学的標本における細胞 CD137 発現の測定。</v>
      </c>
      <c r="I953" s="3" t="str">
        <f ca="1">IFERROR(__xludf.DUMMYFUNCTION("googletranslate(F953,""en"",""ja"")"),"CD137発現測定")</f>
        <v>CD137発現測定</v>
      </c>
    </row>
    <row r="954" spans="1:9" ht="30">
      <c r="A954" s="3" t="s">
        <v>103</v>
      </c>
      <c r="B954" s="3" t="s">
        <v>4066</v>
      </c>
      <c r="C954" s="3" t="s">
        <v>4067</v>
      </c>
      <c r="D954" s="3" t="s">
        <v>4068</v>
      </c>
      <c r="E954" s="3" t="s">
        <v>4069</v>
      </c>
      <c r="F954" s="3" t="s">
        <v>4070</v>
      </c>
      <c r="G954" s="3" t="str">
        <f ca="1">IFERROR(__xludf.DUMMYFUNCTION("googletranslate(D954,""en"",""ja"")"),"CD152 の発現。 CTLA-4の発現")</f>
        <v>CD152 の発現。 CTLA-4の発現</v>
      </c>
      <c r="H954" s="3" t="str">
        <f ca="1">IFERROR(__xludf.DUMMYFUNCTION("googletranslate(E954,""en"",""ja"")"),"生物学的標本における細胞の CD152 発現の測定。")</f>
        <v>生物学的標本における細胞の CD152 発現の測定。</v>
      </c>
      <c r="I954" s="3" t="str">
        <f ca="1">IFERROR(__xludf.DUMMYFUNCTION("googletranslate(F954,""en"",""ja"")"),"CD152発現測定")</f>
        <v>CD152発現測定</v>
      </c>
    </row>
    <row r="955" spans="1:9" ht="30">
      <c r="A955" s="3" t="s">
        <v>103</v>
      </c>
      <c r="B955" s="3" t="s">
        <v>4071</v>
      </c>
      <c r="C955" s="3" t="s">
        <v>4072</v>
      </c>
      <c r="D955" s="3" t="s">
        <v>4072</v>
      </c>
      <c r="E955" s="3" t="s">
        <v>4073</v>
      </c>
      <c r="F955" s="3" t="s">
        <v>4074</v>
      </c>
      <c r="G955" s="3" t="str">
        <f ca="1">IFERROR(__xludf.DUMMYFUNCTION("googletranslate(D955,""en"",""ja"")"),"CD154 の発現")</f>
        <v>CD154 の発現</v>
      </c>
      <c r="H955" s="3" t="str">
        <f ca="1">IFERROR(__xludf.DUMMYFUNCTION("googletranslate(E955,""en"",""ja"")"),"生物学的標本における細胞の CD154 発現の測定。")</f>
        <v>生物学的標本における細胞の CD154 発現の測定。</v>
      </c>
      <c r="I955" s="3" t="str">
        <f ca="1">IFERROR(__xludf.DUMMYFUNCTION("googletranslate(F955,""en"",""ja"")"),"CD154発現測定")</f>
        <v>CD154発現測定</v>
      </c>
    </row>
    <row r="956" spans="1:9" ht="30">
      <c r="A956" s="3" t="s">
        <v>103</v>
      </c>
      <c r="B956" s="3" t="s">
        <v>4075</v>
      </c>
      <c r="C956" s="3" t="s">
        <v>4076</v>
      </c>
      <c r="D956" s="3" t="s">
        <v>4076</v>
      </c>
      <c r="E956" s="3" t="s">
        <v>4077</v>
      </c>
      <c r="F956" s="3" t="s">
        <v>4078</v>
      </c>
      <c r="G956" s="3" t="str">
        <f ca="1">IFERROR(__xludf.DUMMYFUNCTION("googletranslate(D956,""en"",""ja"")"),"CD156c の発現")</f>
        <v>CD156c の発現</v>
      </c>
      <c r="H956" s="3" t="str">
        <f ca="1">IFERROR(__xludf.DUMMYFUNCTION("googletranslate(E956,""en"",""ja"")"),"生物学的標本における細胞の CD156c 発現の測定。")</f>
        <v>生物学的標本における細胞の CD156c 発現の測定。</v>
      </c>
      <c r="I956" s="3" t="str">
        <f ca="1">IFERROR(__xludf.DUMMYFUNCTION("googletranslate(F956,""en"",""ja"")"),"CD156c発現測定")</f>
        <v>CD156c発現測定</v>
      </c>
    </row>
    <row r="957" spans="1:9" ht="30">
      <c r="A957" s="3" t="s">
        <v>103</v>
      </c>
      <c r="B957" s="3" t="s">
        <v>4079</v>
      </c>
      <c r="C957" s="3" t="s">
        <v>4080</v>
      </c>
      <c r="D957" s="3" t="s">
        <v>4080</v>
      </c>
      <c r="E957" s="3" t="s">
        <v>4081</v>
      </c>
      <c r="F957" s="3" t="s">
        <v>4082</v>
      </c>
      <c r="G957" s="3" t="str">
        <f ca="1">IFERROR(__xludf.DUMMYFUNCTION("googletranslate(D957,""en"",""ja"")"),"CD159a の発現")</f>
        <v>CD159a の発現</v>
      </c>
      <c r="H957" s="3" t="str">
        <f ca="1">IFERROR(__xludf.DUMMYFUNCTION("googletranslate(E957,""en"",""ja"")"),"生物学的標本における細胞 CD159a 発現の測定。")</f>
        <v>生物学的標本における細胞 CD159a 発現の測定。</v>
      </c>
      <c r="I957" s="3" t="str">
        <f ca="1">IFERROR(__xludf.DUMMYFUNCTION("googletranslate(F957,""en"",""ja"")"),"CD159a発現測定")</f>
        <v>CD159a発現測定</v>
      </c>
    </row>
    <row r="958" spans="1:9" ht="30">
      <c r="A958" s="3" t="s">
        <v>103</v>
      </c>
      <c r="B958" s="3" t="s">
        <v>4083</v>
      </c>
      <c r="C958" s="3" t="s">
        <v>4084</v>
      </c>
      <c r="D958" s="3" t="s">
        <v>4085</v>
      </c>
      <c r="E958" s="3" t="s">
        <v>4086</v>
      </c>
      <c r="F958" s="3" t="s">
        <v>4087</v>
      </c>
      <c r="G958" s="3" t="str">
        <f ca="1">IFERROR(__xludf.DUMMYFUNCTION("googletranslate(D958,""en"",""ja"")"),"CD159c の発現。 KLRC2 発現; NKG2C 式")</f>
        <v>CD159c の発現。 KLRC2 発現; NKG2C 式</v>
      </c>
      <c r="H958" s="3" t="str">
        <f ca="1">IFERROR(__xludf.DUMMYFUNCTION("googletranslate(E958,""en"",""ja"")"),"生物学的標本における細胞の CD159c 発現の測定。")</f>
        <v>生物学的標本における細胞の CD159c 発現の測定。</v>
      </c>
      <c r="I958" s="3" t="str">
        <f ca="1">IFERROR(__xludf.DUMMYFUNCTION("googletranslate(F958,""en"",""ja"")"),"CD159c発現測定")</f>
        <v>CD159c発現測定</v>
      </c>
    </row>
    <row r="959" spans="1:9" ht="30">
      <c r="A959" s="3" t="s">
        <v>103</v>
      </c>
      <c r="B959" s="3" t="s">
        <v>4088</v>
      </c>
      <c r="C959" s="3" t="s">
        <v>4089</v>
      </c>
      <c r="D959" s="3" t="s">
        <v>4090</v>
      </c>
      <c r="E959" s="3" t="s">
        <v>4091</v>
      </c>
      <c r="F959" s="3" t="s">
        <v>4092</v>
      </c>
      <c r="G959" s="3" t="str">
        <f ca="1">IFERROR(__xludf.DUMMYFUNCTION("googletranslate(D959,""en"",""ja"")"),"CD163 の発現。 M130 式")</f>
        <v>CD163 の発現。 M130 式</v>
      </c>
      <c r="H959" s="3" t="str">
        <f ca="1">IFERROR(__xludf.DUMMYFUNCTION("googletranslate(E959,""en"",""ja"")"),"生物学的標本における細胞 CD163 発現の測定。")</f>
        <v>生物学的標本における細胞 CD163 発現の測定。</v>
      </c>
      <c r="I959" s="3" t="str">
        <f ca="1">IFERROR(__xludf.DUMMYFUNCTION("googletranslate(F959,""en"",""ja"")"),"CD163発現測定")</f>
        <v>CD163発現測定</v>
      </c>
    </row>
    <row r="960" spans="1:9" ht="30">
      <c r="A960" s="3" t="s">
        <v>103</v>
      </c>
      <c r="B960" s="3" t="s">
        <v>4093</v>
      </c>
      <c r="C960" s="3" t="s">
        <v>4094</v>
      </c>
      <c r="D960" s="3" t="s">
        <v>4094</v>
      </c>
      <c r="E960" s="3" t="s">
        <v>4095</v>
      </c>
      <c r="F960" s="3" t="s">
        <v>4096</v>
      </c>
      <c r="G960" s="3" t="str">
        <f ca="1">IFERROR(__xludf.DUMMYFUNCTION("googletranslate(D960,""en"",""ja"")"),"CD169 の発現")</f>
        <v>CD169 の発現</v>
      </c>
      <c r="H960" s="3" t="str">
        <f ca="1">IFERROR(__xludf.DUMMYFUNCTION("googletranslate(E960,""en"",""ja"")"),"生物学的標本における細胞 CD169 発現の測定。")</f>
        <v>生物学的標本における細胞 CD169 発現の測定。</v>
      </c>
      <c r="I960" s="3" t="str">
        <f ca="1">IFERROR(__xludf.DUMMYFUNCTION("googletranslate(F960,""en"",""ja"")"),"CD169発現測定")</f>
        <v>CD169発現測定</v>
      </c>
    </row>
    <row r="961" spans="1:9" ht="30">
      <c r="A961" s="3" t="s">
        <v>103</v>
      </c>
      <c r="B961" s="3" t="s">
        <v>4097</v>
      </c>
      <c r="C961" s="3" t="s">
        <v>4098</v>
      </c>
      <c r="D961" s="3" t="s">
        <v>4098</v>
      </c>
      <c r="E961" s="3" t="s">
        <v>4099</v>
      </c>
      <c r="F961" s="3" t="s">
        <v>4100</v>
      </c>
      <c r="G961" s="3" t="str">
        <f ca="1">IFERROR(__xludf.DUMMYFUNCTION("googletranslate(D961,""en"",""ja"")"),"CD16 の発現")</f>
        <v>CD16 の発現</v>
      </c>
      <c r="H961" s="3" t="str">
        <f ca="1">IFERROR(__xludf.DUMMYFUNCTION("googletranslate(E961,""en"",""ja"")"),"生物学的標本における細胞の CD16 発現の測定。")</f>
        <v>生物学的標本における細胞の CD16 発現の測定。</v>
      </c>
      <c r="I961" s="3" t="str">
        <f ca="1">IFERROR(__xludf.DUMMYFUNCTION("googletranslate(F961,""en"",""ja"")"),"CD16発現測定")</f>
        <v>CD16発現測定</v>
      </c>
    </row>
    <row r="962" spans="1:9" ht="30">
      <c r="A962" s="3" t="s">
        <v>103</v>
      </c>
      <c r="B962" s="3" t="s">
        <v>4101</v>
      </c>
      <c r="C962" s="3" t="s">
        <v>4102</v>
      </c>
      <c r="D962" s="3" t="s">
        <v>4102</v>
      </c>
      <c r="E962" s="3" t="s">
        <v>4103</v>
      </c>
      <c r="F962" s="3" t="s">
        <v>4104</v>
      </c>
      <c r="G962" s="3" t="str">
        <f ca="1">IFERROR(__xludf.DUMMYFUNCTION("googletranslate(D962,""en"",""ja"")"),"CD192 の発現")</f>
        <v>CD192 の発現</v>
      </c>
      <c r="H962" s="3" t="str">
        <f ca="1">IFERROR(__xludf.DUMMYFUNCTION("googletranslate(E962,""en"",""ja"")"),"生物学的標本における細胞の CD192 発現の測定。")</f>
        <v>生物学的標本における細胞の CD192 発現の測定。</v>
      </c>
      <c r="I962" s="3" t="str">
        <f ca="1">IFERROR(__xludf.DUMMYFUNCTION("googletranslate(F962,""en"",""ja"")"),"CD192発現測定")</f>
        <v>CD192発現測定</v>
      </c>
    </row>
    <row r="963" spans="1:9" ht="30">
      <c r="A963" s="3" t="s">
        <v>103</v>
      </c>
      <c r="B963" s="3" t="s">
        <v>4105</v>
      </c>
      <c r="C963" s="3" t="s">
        <v>4106</v>
      </c>
      <c r="D963" s="3" t="s">
        <v>4106</v>
      </c>
      <c r="E963" s="3" t="s">
        <v>4107</v>
      </c>
      <c r="F963" s="3" t="s">
        <v>4108</v>
      </c>
      <c r="G963" s="3" t="str">
        <f ca="1">IFERROR(__xludf.DUMMYFUNCTION("googletranslate(D963,""en"",""ja"")"),"CD198の発現")</f>
        <v>CD198の発現</v>
      </c>
      <c r="H963" s="3" t="str">
        <f ca="1">IFERROR(__xludf.DUMMYFUNCTION("googletranslate(E963,""en"",""ja"")"),"生物学的標本における細胞 CD198 発現の測定。")</f>
        <v>生物学的標本における細胞 CD198 発現の測定。</v>
      </c>
      <c r="I963" s="3" t="str">
        <f ca="1">IFERROR(__xludf.DUMMYFUNCTION("googletranslate(F963,""en"",""ja"")"),"CD198発現測定")</f>
        <v>CD198発現測定</v>
      </c>
    </row>
    <row r="964" spans="1:9" ht="30">
      <c r="A964" s="3" t="s">
        <v>103</v>
      </c>
      <c r="B964" s="3" t="s">
        <v>4109</v>
      </c>
      <c r="C964" s="3" t="s">
        <v>4110</v>
      </c>
      <c r="D964" s="3" t="s">
        <v>4110</v>
      </c>
      <c r="E964" s="3" t="s">
        <v>4111</v>
      </c>
      <c r="F964" s="3" t="s">
        <v>4112</v>
      </c>
      <c r="G964" s="3" t="str">
        <f ca="1">IFERROR(__xludf.DUMMYFUNCTION("googletranslate(D964,""en"",""ja"")"),"CD21 の発現")</f>
        <v>CD21 の発現</v>
      </c>
      <c r="H964" s="3" t="str">
        <f ca="1">IFERROR(__xludf.DUMMYFUNCTION("googletranslate(E964,""en"",""ja"")"),"生物学的標本における細胞の CD21 発現の測定。")</f>
        <v>生物学的標本における細胞の CD21 発現の測定。</v>
      </c>
      <c r="I964" s="3" t="str">
        <f ca="1">IFERROR(__xludf.DUMMYFUNCTION("googletranslate(F964,""en"",""ja"")"),"CD21発現測定")</f>
        <v>CD21発現測定</v>
      </c>
    </row>
    <row r="965" spans="1:9" ht="30">
      <c r="A965" s="3" t="s">
        <v>103</v>
      </c>
      <c r="B965" s="3" t="s">
        <v>4113</v>
      </c>
      <c r="C965" s="3" t="s">
        <v>4114</v>
      </c>
      <c r="D965" s="3" t="s">
        <v>4115</v>
      </c>
      <c r="E965" s="3" t="s">
        <v>4116</v>
      </c>
      <c r="F965" s="3" t="s">
        <v>4117</v>
      </c>
      <c r="G965" s="3" t="str">
        <f ca="1">IFERROR(__xludf.DUMMYFUNCTION("googletranslate(D965,""en"",""ja"")"),"CD223 の発現。 LAG3 発現")</f>
        <v>CD223 の発現。 LAG3 発現</v>
      </c>
      <c r="H965" s="3" t="str">
        <f ca="1">IFERROR(__xludf.DUMMYFUNCTION("googletranslate(E965,""en"",""ja"")"),"生物学的標本における細胞の CD223 発現の測定。")</f>
        <v>生物学的標本における細胞の CD223 発現の測定。</v>
      </c>
      <c r="I965" s="3" t="str">
        <f ca="1">IFERROR(__xludf.DUMMYFUNCTION("googletranslate(F965,""en"",""ja"")"),"CD223発現測定")</f>
        <v>CD223発現測定</v>
      </c>
    </row>
    <row r="966" spans="1:9" ht="30">
      <c r="A966" s="3" t="s">
        <v>103</v>
      </c>
      <c r="B966" s="3" t="s">
        <v>4118</v>
      </c>
      <c r="C966" s="3" t="s">
        <v>4119</v>
      </c>
      <c r="D966" s="3" t="s">
        <v>4119</v>
      </c>
      <c r="E966" s="3" t="s">
        <v>4120</v>
      </c>
      <c r="F966" s="3" t="s">
        <v>4121</v>
      </c>
      <c r="G966" s="3" t="str">
        <f ca="1">IFERROR(__xludf.DUMMYFUNCTION("googletranslate(D966,""en"",""ja"")"),"CD226 の発現")</f>
        <v>CD226 の発現</v>
      </c>
      <c r="H966" s="3" t="str">
        <f ca="1">IFERROR(__xludf.DUMMYFUNCTION("googletranslate(E966,""en"",""ja"")"),"生物学的標本における細胞の CD226 発現の測定。")</f>
        <v>生物学的標本における細胞の CD226 発現の測定。</v>
      </c>
      <c r="I966" s="3" t="str">
        <f ca="1">IFERROR(__xludf.DUMMYFUNCTION("googletranslate(F966,""en"",""ja"")"),"CD226発現測定")</f>
        <v>CD226発現測定</v>
      </c>
    </row>
    <row r="967" spans="1:9" ht="30">
      <c r="A967" s="3" t="s">
        <v>103</v>
      </c>
      <c r="B967" s="3" t="s">
        <v>4122</v>
      </c>
      <c r="C967" s="3" t="s">
        <v>4123</v>
      </c>
      <c r="D967" s="3" t="s">
        <v>4123</v>
      </c>
      <c r="E967" s="3" t="s">
        <v>4124</v>
      </c>
      <c r="F967" s="3" t="s">
        <v>4125</v>
      </c>
      <c r="G967" s="3" t="str">
        <f ca="1">IFERROR(__xludf.DUMMYFUNCTION("googletranslate(D967,""en"",""ja"")"),"CD25の発現")</f>
        <v>CD25の発現</v>
      </c>
      <c r="H967" s="3" t="str">
        <f ca="1">IFERROR(__xludf.DUMMYFUNCTION("googletranslate(E967,""en"",""ja"")"),"生物学的標本における細胞の CD25 発現の測定。")</f>
        <v>生物学的標本における細胞の CD25 発現の測定。</v>
      </c>
      <c r="I967" s="3" t="str">
        <f ca="1">IFERROR(__xludf.DUMMYFUNCTION("googletranslate(F967,""en"",""ja"")"),"CD25発現測定")</f>
        <v>CD25発現測定</v>
      </c>
    </row>
    <row r="968" spans="1:9" ht="45">
      <c r="A968" s="3" t="s">
        <v>103</v>
      </c>
      <c r="B968" s="3" t="s">
        <v>4126</v>
      </c>
      <c r="C968" s="3" t="s">
        <v>4127</v>
      </c>
      <c r="D968" s="3" t="s">
        <v>4128</v>
      </c>
      <c r="E968" s="3" t="s">
        <v>4129</v>
      </c>
      <c r="F968" s="3" t="s">
        <v>4130</v>
      </c>
      <c r="G968" s="3" t="str">
        <f ca="1">IFERROR(__xludf.DUMMYFUNCTION("googletranslate(D968,""en"",""ja"")"),"B 細胞成熟抗原発現; BCMA 式。 CD269 の発現")</f>
        <v>B 細胞成熟抗原発現; BCMA 式。 CD269 の発現</v>
      </c>
      <c r="H968" s="3" t="str">
        <f ca="1">IFERROR(__xludf.DUMMYFUNCTION("googletranslate(E968,""en"",""ja"")"),"生物学的標本における細胞の CD269 発現の測定。")</f>
        <v>生物学的標本における細胞の CD269 発現の測定。</v>
      </c>
      <c r="I968" s="3" t="str">
        <f ca="1">IFERROR(__xludf.DUMMYFUNCTION("googletranslate(F968,""en"",""ja"")"),"CD269発現測定")</f>
        <v>CD269発現測定</v>
      </c>
    </row>
    <row r="969" spans="1:9" ht="30">
      <c r="A969" s="3" t="s">
        <v>103</v>
      </c>
      <c r="B969" s="3" t="s">
        <v>4131</v>
      </c>
      <c r="C969" s="3" t="s">
        <v>4132</v>
      </c>
      <c r="D969" s="3" t="s">
        <v>4133</v>
      </c>
      <c r="E969" s="3" t="s">
        <v>4134</v>
      </c>
      <c r="F969" s="3" t="s">
        <v>4135</v>
      </c>
      <c r="G969" s="3" t="str">
        <f ca="1">IFERROR(__xludf.DUMMYFUNCTION("googletranslate(D969,""en"",""ja"")"),"CD274 の発現。 PD-L1の発現")</f>
        <v>CD274 の発現。 PD-L1の発現</v>
      </c>
      <c r="H969" s="3" t="str">
        <f ca="1">IFERROR(__xludf.DUMMYFUNCTION("googletranslate(E969,""en"",""ja"")"),"生物学的標本における細胞の CD274 発現の測定。")</f>
        <v>生物学的標本における細胞の CD274 発現の測定。</v>
      </c>
      <c r="I969" s="3" t="str">
        <f ca="1">IFERROR(__xludf.DUMMYFUNCTION("googletranslate(F969,""en"",""ja"")"),"CD274発現測定")</f>
        <v>CD274発現測定</v>
      </c>
    </row>
    <row r="970" spans="1:9" ht="30">
      <c r="A970" s="3" t="s">
        <v>103</v>
      </c>
      <c r="B970" s="3" t="s">
        <v>4136</v>
      </c>
      <c r="C970" s="3" t="s">
        <v>4137</v>
      </c>
      <c r="D970" s="3" t="s">
        <v>4138</v>
      </c>
      <c r="E970" s="3" t="s">
        <v>4139</v>
      </c>
      <c r="F970" s="3" t="s">
        <v>4140</v>
      </c>
      <c r="G970" s="3" t="str">
        <f ca="1">IFERROR(__xludf.DUMMYFUNCTION("googletranslate(D970,""en"",""ja"")"),"CD278 の発現;アイコス式")</f>
        <v>CD278 の発現;アイコス式</v>
      </c>
      <c r="H970" s="3" t="str">
        <f ca="1">IFERROR(__xludf.DUMMYFUNCTION("googletranslate(E970,""en"",""ja"")"),"生物学的標本における細胞 CD278 発現の測定。")</f>
        <v>生物学的標本における細胞 CD278 発現の測定。</v>
      </c>
      <c r="I970" s="3" t="str">
        <f ca="1">IFERROR(__xludf.DUMMYFUNCTION("googletranslate(F970,""en"",""ja"")"),"CD278発現測定")</f>
        <v>CD278発現測定</v>
      </c>
    </row>
    <row r="971" spans="1:9" ht="30">
      <c r="A971" s="3" t="s">
        <v>103</v>
      </c>
      <c r="B971" s="3" t="s">
        <v>4141</v>
      </c>
      <c r="C971" s="3" t="s">
        <v>4142</v>
      </c>
      <c r="D971" s="3" t="s">
        <v>4143</v>
      </c>
      <c r="E971" s="3" t="s">
        <v>4144</v>
      </c>
      <c r="F971" s="3" t="s">
        <v>4145</v>
      </c>
      <c r="G971" s="3" t="str">
        <f ca="1">IFERROR(__xludf.DUMMYFUNCTION("googletranslate(D971,""en"",""ja"")"),"CD279 の発現。 PD1の発現")</f>
        <v>CD279 の発現。 PD1の発現</v>
      </c>
      <c r="H971" s="3" t="str">
        <f ca="1">IFERROR(__xludf.DUMMYFUNCTION("googletranslate(E971,""en"",""ja"")"),"生物学的標本における細胞 CD279 発現の測定。")</f>
        <v>生物学的標本における細胞 CD279 発現の測定。</v>
      </c>
      <c r="I971" s="3" t="str">
        <f ca="1">IFERROR(__xludf.DUMMYFUNCTION("googletranslate(F971,""en"",""ja"")"),"CD279発現測定")</f>
        <v>CD279発現測定</v>
      </c>
    </row>
    <row r="972" spans="1:9" ht="30">
      <c r="A972" s="3" t="s">
        <v>103</v>
      </c>
      <c r="B972" s="3" t="s">
        <v>4146</v>
      </c>
      <c r="C972" s="3" t="s">
        <v>4147</v>
      </c>
      <c r="D972" s="3" t="s">
        <v>4147</v>
      </c>
      <c r="E972" s="3" t="s">
        <v>4148</v>
      </c>
      <c r="F972" s="3" t="s">
        <v>4149</v>
      </c>
      <c r="G972" s="3" t="str">
        <f ca="1">IFERROR(__xludf.DUMMYFUNCTION("googletranslate(D972,""en"",""ja"")"),"CD28の発現")</f>
        <v>CD28の発現</v>
      </c>
      <c r="H972" s="3" t="str">
        <f ca="1">IFERROR(__xludf.DUMMYFUNCTION("googletranslate(E972,""en"",""ja"")"),"生物学的標本における細胞の CD28 発現の測定。")</f>
        <v>生物学的標本における細胞の CD28 発現の測定。</v>
      </c>
      <c r="I972" s="3" t="str">
        <f ca="1">IFERROR(__xludf.DUMMYFUNCTION("googletranslate(F972,""en"",""ja"")"),"CD28発現測定")</f>
        <v>CD28発現測定</v>
      </c>
    </row>
    <row r="973" spans="1:9" ht="30">
      <c r="A973" s="3" t="s">
        <v>103</v>
      </c>
      <c r="B973" s="3" t="s">
        <v>4150</v>
      </c>
      <c r="C973" s="3" t="s">
        <v>4151</v>
      </c>
      <c r="D973" s="3" t="s">
        <v>4152</v>
      </c>
      <c r="E973" s="3" t="s">
        <v>4153</v>
      </c>
      <c r="F973" s="3" t="s">
        <v>4154</v>
      </c>
      <c r="G973" s="3" t="str">
        <f ca="1">IFERROR(__xludf.DUMMYFUNCTION("googletranslate(D973,""en"",""ja"")"),"CD294 の発現。 CRTH2 の発現")</f>
        <v>CD294 の発現。 CRTH2 の発現</v>
      </c>
      <c r="H973" s="3" t="str">
        <f ca="1">IFERROR(__xludf.DUMMYFUNCTION("googletranslate(E973,""en"",""ja"")"),"生物学的標本における細胞の CD294 発現の測定。")</f>
        <v>生物学的標本における細胞の CD294 発現の測定。</v>
      </c>
      <c r="I973" s="3" t="str">
        <f ca="1">IFERROR(__xludf.DUMMYFUNCTION("googletranslate(F973,""en"",""ja"")"),"CD294発現測定")</f>
        <v>CD294発現測定</v>
      </c>
    </row>
    <row r="974" spans="1:9" ht="45">
      <c r="A974" s="3" t="s">
        <v>103</v>
      </c>
      <c r="B974" s="3" t="s">
        <v>4155</v>
      </c>
      <c r="C974" s="3" t="s">
        <v>4156</v>
      </c>
      <c r="D974" s="3" t="s">
        <v>4157</v>
      </c>
      <c r="E974" s="3" t="s">
        <v>4158</v>
      </c>
      <c r="F974" s="3" t="s">
        <v>4159</v>
      </c>
      <c r="G974" s="3" t="str">
        <f ca="1">IFERROR(__xludf.DUMMYFUNCTION("googletranslate(D974,""en"",""ja"")"),"CD314 発現; KLR 式。 KLRK1 発現; NKG2D 式")</f>
        <v>CD314 発現; KLR 式。 KLRK1 発現; NKG2D 式</v>
      </c>
      <c r="H974" s="3" t="str">
        <f ca="1">IFERROR(__xludf.DUMMYFUNCTION("googletranslate(E974,""en"",""ja"")"),"生物学的標本における細胞の CD314 発現の測定。")</f>
        <v>生物学的標本における細胞の CD314 発現の測定。</v>
      </c>
      <c r="I974" s="3" t="str">
        <f ca="1">IFERROR(__xludf.DUMMYFUNCTION("googletranslate(F974,""en"",""ja"")"),"CD314 発現測定")</f>
        <v>CD314 発現測定</v>
      </c>
    </row>
    <row r="975" spans="1:9" ht="30">
      <c r="A975" s="3" t="s">
        <v>103</v>
      </c>
      <c r="B975" s="3" t="s">
        <v>4160</v>
      </c>
      <c r="C975" s="3" t="s">
        <v>4161</v>
      </c>
      <c r="D975" s="3" t="s">
        <v>4161</v>
      </c>
      <c r="E975" s="3" t="s">
        <v>4162</v>
      </c>
      <c r="F975" s="3" t="s">
        <v>4163</v>
      </c>
      <c r="G975" s="3" t="str">
        <f ca="1">IFERROR(__xludf.DUMMYFUNCTION("googletranslate(D975,""en"",""ja"")"),"CD32b の発現")</f>
        <v>CD32b の発現</v>
      </c>
      <c r="H975" s="3" t="str">
        <f ca="1">IFERROR(__xludf.DUMMYFUNCTION("googletranslate(E975,""en"",""ja"")"),"生物学的標本における細胞の CD32b 発現の測定。")</f>
        <v>生物学的標本における細胞の CD32b 発現の測定。</v>
      </c>
      <c r="I975" s="3" t="str">
        <f ca="1">IFERROR(__xludf.DUMMYFUNCTION("googletranslate(F975,""en"",""ja"")"),"CD32b発現測定")</f>
        <v>CD32b発現測定</v>
      </c>
    </row>
    <row r="976" spans="1:9" ht="30">
      <c r="A976" s="3" t="s">
        <v>103</v>
      </c>
      <c r="B976" s="3" t="s">
        <v>4164</v>
      </c>
      <c r="C976" s="3" t="s">
        <v>4165</v>
      </c>
      <c r="D976" s="3" t="s">
        <v>4165</v>
      </c>
      <c r="E976" s="3" t="s">
        <v>4166</v>
      </c>
      <c r="F976" s="3" t="s">
        <v>4167</v>
      </c>
      <c r="G976" s="3" t="str">
        <f ca="1">IFERROR(__xludf.DUMMYFUNCTION("googletranslate(D976,""en"",""ja"")"),"CD32 の発現")</f>
        <v>CD32 の発現</v>
      </c>
      <c r="H976" s="3" t="str">
        <f ca="1">IFERROR(__xludf.DUMMYFUNCTION("googletranslate(E976,""en"",""ja"")"),"生物学的標本における細胞の CD32 発現の測定。")</f>
        <v>生物学的標本における細胞の CD32 発現の測定。</v>
      </c>
      <c r="I976" s="3" t="str">
        <f ca="1">IFERROR(__xludf.DUMMYFUNCTION("googletranslate(F976,""en"",""ja"")"),"CD32発現測定")</f>
        <v>CD32発現測定</v>
      </c>
    </row>
    <row r="977" spans="1:9" ht="30">
      <c r="A977" s="3" t="s">
        <v>103</v>
      </c>
      <c r="B977" s="3" t="s">
        <v>4168</v>
      </c>
      <c r="C977" s="3" t="s">
        <v>4169</v>
      </c>
      <c r="D977" s="3" t="s">
        <v>4169</v>
      </c>
      <c r="E977" s="3" t="s">
        <v>4170</v>
      </c>
      <c r="F977" s="3" t="s">
        <v>4171</v>
      </c>
      <c r="G977" s="3" t="str">
        <f ca="1">IFERROR(__xludf.DUMMYFUNCTION("googletranslate(D977,""en"",""ja"")"),"CD337 の発現")</f>
        <v>CD337 の発現</v>
      </c>
      <c r="H977" s="3" t="str">
        <f ca="1">IFERROR(__xludf.DUMMYFUNCTION("googletranslate(E977,""en"",""ja"")"),"生物学的標本における細胞の CD337 発現の測定。")</f>
        <v>生物学的標本における細胞の CD337 発現の測定。</v>
      </c>
      <c r="I977" s="3" t="str">
        <f ca="1">IFERROR(__xludf.DUMMYFUNCTION("googletranslate(F977,""en"",""ja"")"),"CD337発現測定")</f>
        <v>CD337発現測定</v>
      </c>
    </row>
    <row r="978" spans="1:9" ht="30">
      <c r="A978" s="3" t="s">
        <v>103</v>
      </c>
      <c r="B978" s="3" t="s">
        <v>4172</v>
      </c>
      <c r="C978" s="3" t="s">
        <v>4173</v>
      </c>
      <c r="D978" s="3" t="s">
        <v>4174</v>
      </c>
      <c r="E978" s="3" t="s">
        <v>4175</v>
      </c>
      <c r="F978" s="3" t="s">
        <v>4176</v>
      </c>
      <c r="G978" s="3" t="str">
        <f ca="1">IFERROR(__xludf.DUMMYFUNCTION("googletranslate(D978,""en"",""ja"")"),"CD366 の発現。 TIM3 式")</f>
        <v>CD366 の発現。 TIM3 式</v>
      </c>
      <c r="H978" s="3" t="str">
        <f ca="1">IFERROR(__xludf.DUMMYFUNCTION("googletranslate(E978,""en"",""ja"")"),"生物学的標本における細胞の CD366 発現の測定。")</f>
        <v>生物学的標本における細胞の CD366 発現の測定。</v>
      </c>
      <c r="I978" s="3" t="str">
        <f ca="1">IFERROR(__xludf.DUMMYFUNCTION("googletranslate(F978,""en"",""ja"")"),"CD366 発現測定")</f>
        <v>CD366 発現測定</v>
      </c>
    </row>
    <row r="979" spans="1:9" ht="30">
      <c r="A979" s="3" t="s">
        <v>103</v>
      </c>
      <c r="B979" s="3" t="s">
        <v>4177</v>
      </c>
      <c r="C979" s="3" t="s">
        <v>4178</v>
      </c>
      <c r="D979" s="3" t="s">
        <v>4178</v>
      </c>
      <c r="E979" s="3" t="s">
        <v>4179</v>
      </c>
      <c r="F979" s="3" t="s">
        <v>4180</v>
      </c>
      <c r="G979" s="3" t="str">
        <f ca="1">IFERROR(__xludf.DUMMYFUNCTION("googletranslate(D979,""en"",""ja"")"),"CD38の発現")</f>
        <v>CD38の発現</v>
      </c>
      <c r="H979" s="3" t="str">
        <f ca="1">IFERROR(__xludf.DUMMYFUNCTION("googletranslate(E979,""en"",""ja"")"),"生物学的標本における細胞の CD38 発現の測定。")</f>
        <v>生物学的標本における細胞の CD38 発現の測定。</v>
      </c>
      <c r="I979" s="3" t="str">
        <f ca="1">IFERROR(__xludf.DUMMYFUNCTION("googletranslate(F979,""en"",""ja"")"),"CD38発現測定")</f>
        <v>CD38発現測定</v>
      </c>
    </row>
    <row r="980" spans="1:9" ht="30">
      <c r="A980" s="3" t="s">
        <v>103</v>
      </c>
      <c r="B980" s="3" t="s">
        <v>4181</v>
      </c>
      <c r="C980" s="3" t="s">
        <v>4182</v>
      </c>
      <c r="D980" s="3" t="s">
        <v>4182</v>
      </c>
      <c r="E980" s="3" t="s">
        <v>4183</v>
      </c>
      <c r="F980" s="3" t="s">
        <v>4184</v>
      </c>
      <c r="G980" s="3" t="str">
        <f ca="1">IFERROR(__xludf.DUMMYFUNCTION("googletranslate(D980,""en"",""ja"")"),"CD40の発現")</f>
        <v>CD40の発現</v>
      </c>
      <c r="H980" s="3" t="str">
        <f ca="1">IFERROR(__xludf.DUMMYFUNCTION("googletranslate(E980,""en"",""ja"")"),"生物学的標本における細胞の CD40 発現の測定。")</f>
        <v>生物学的標本における細胞の CD40 発現の測定。</v>
      </c>
      <c r="I980" s="3" t="str">
        <f ca="1">IFERROR(__xludf.DUMMYFUNCTION("googletranslate(F980,""en"",""ja"")"),"CD40発現測定")</f>
        <v>CD40発現測定</v>
      </c>
    </row>
    <row r="981" spans="1:9" ht="30">
      <c r="A981" s="3" t="s">
        <v>103</v>
      </c>
      <c r="B981" s="3" t="s">
        <v>4185</v>
      </c>
      <c r="C981" s="3" t="s">
        <v>4186</v>
      </c>
      <c r="D981" s="3" t="s">
        <v>4186</v>
      </c>
      <c r="E981" s="3" t="s">
        <v>4187</v>
      </c>
      <c r="F981" s="3" t="s">
        <v>4188</v>
      </c>
      <c r="G981" s="3" t="str">
        <f ca="1">IFERROR(__xludf.DUMMYFUNCTION("googletranslate(D981,""en"",""ja"")"),"CD57 の発現")</f>
        <v>CD57 の発現</v>
      </c>
      <c r="H981" s="3" t="str">
        <f ca="1">IFERROR(__xludf.DUMMYFUNCTION("googletranslate(E981,""en"",""ja"")"),"生物学的標本における細胞の CD57 発現の測定。")</f>
        <v>生物学的標本における細胞の CD57 発現の測定。</v>
      </c>
      <c r="I981" s="3" t="str">
        <f ca="1">IFERROR(__xludf.DUMMYFUNCTION("googletranslate(F981,""en"",""ja"")"),"CD57発現測定")</f>
        <v>CD57発現測定</v>
      </c>
    </row>
    <row r="982" spans="1:9" ht="30">
      <c r="A982" s="3" t="s">
        <v>103</v>
      </c>
      <c r="B982" s="3" t="s">
        <v>4189</v>
      </c>
      <c r="C982" s="3" t="s">
        <v>4190</v>
      </c>
      <c r="D982" s="3" t="s">
        <v>4190</v>
      </c>
      <c r="E982" s="3" t="s">
        <v>4191</v>
      </c>
      <c r="F982" s="3" t="s">
        <v>4192</v>
      </c>
      <c r="G982" s="3" t="str">
        <f ca="1">IFERROR(__xludf.DUMMYFUNCTION("googletranslate(D982,""en"",""ja"")"),"CD5 の発現")</f>
        <v>CD5 の発現</v>
      </c>
      <c r="H982" s="3" t="str">
        <f ca="1">IFERROR(__xludf.DUMMYFUNCTION("googletranslate(E982,""en"",""ja"")"),"生物学的標本における細胞の CD5 発現の測定。")</f>
        <v>生物学的標本における細胞の CD5 発現の測定。</v>
      </c>
      <c r="I982" s="3" t="str">
        <f ca="1">IFERROR(__xludf.DUMMYFUNCTION("googletranslate(F982,""en"",""ja"")"),"CD5発現測定")</f>
        <v>CD5発現測定</v>
      </c>
    </row>
    <row r="983" spans="1:9" ht="30">
      <c r="A983" s="3" t="s">
        <v>103</v>
      </c>
      <c r="B983" s="3" t="s">
        <v>4193</v>
      </c>
      <c r="C983" s="3" t="s">
        <v>4194</v>
      </c>
      <c r="D983" s="3" t="s">
        <v>4194</v>
      </c>
      <c r="E983" s="3" t="s">
        <v>4195</v>
      </c>
      <c r="F983" s="3" t="s">
        <v>4196</v>
      </c>
      <c r="G983" s="3" t="str">
        <f ca="1">IFERROR(__xludf.DUMMYFUNCTION("googletranslate(D983,""en"",""ja"")"),"CD64 の発現")</f>
        <v>CD64 の発現</v>
      </c>
      <c r="H983" s="3" t="str">
        <f ca="1">IFERROR(__xludf.DUMMYFUNCTION("googletranslate(E983,""en"",""ja"")"),"生物学的標本における細胞 CD64 発現の測定。")</f>
        <v>生物学的標本における細胞 CD64 発現の測定。</v>
      </c>
      <c r="I983" s="3" t="str">
        <f ca="1">IFERROR(__xludf.DUMMYFUNCTION("googletranslate(F983,""en"",""ja"")"),"CD64発現測定")</f>
        <v>CD64発現測定</v>
      </c>
    </row>
    <row r="984" spans="1:9" ht="30">
      <c r="A984" s="3" t="s">
        <v>103</v>
      </c>
      <c r="B984" s="3" t="s">
        <v>4197</v>
      </c>
      <c r="C984" s="3" t="s">
        <v>4198</v>
      </c>
      <c r="D984" s="3" t="s">
        <v>4198</v>
      </c>
      <c r="E984" s="3" t="s">
        <v>4199</v>
      </c>
      <c r="F984" s="3" t="s">
        <v>4200</v>
      </c>
      <c r="G984" s="3" t="str">
        <f ca="1">IFERROR(__xludf.DUMMYFUNCTION("googletranslate(D984,""en"",""ja"")"),"CD69 の発現")</f>
        <v>CD69 の発現</v>
      </c>
      <c r="H984" s="3" t="str">
        <f ca="1">IFERROR(__xludf.DUMMYFUNCTION("googletranslate(E984,""en"",""ja"")"),"生物学的標本における細胞 CD69 発現の測定。")</f>
        <v>生物学的標本における細胞 CD69 発現の測定。</v>
      </c>
      <c r="I984" s="3" t="str">
        <f ca="1">IFERROR(__xludf.DUMMYFUNCTION("googletranslate(F984,""en"",""ja"")"),"CD69発現測定")</f>
        <v>CD69発現測定</v>
      </c>
    </row>
    <row r="985" spans="1:9" ht="30">
      <c r="A985" s="3" t="s">
        <v>103</v>
      </c>
      <c r="B985" s="3" t="s">
        <v>4201</v>
      </c>
      <c r="C985" s="3" t="s">
        <v>4202</v>
      </c>
      <c r="D985" s="3" t="s">
        <v>4202</v>
      </c>
      <c r="E985" s="3" t="s">
        <v>4203</v>
      </c>
      <c r="F985" s="3" t="s">
        <v>4204</v>
      </c>
      <c r="G985" s="3" t="str">
        <f ca="1">IFERROR(__xludf.DUMMYFUNCTION("googletranslate(D985,""en"",""ja"")"),"CD71 の発現")</f>
        <v>CD71 の発現</v>
      </c>
      <c r="H985" s="3" t="str">
        <f ca="1">IFERROR(__xludf.DUMMYFUNCTION("googletranslate(E985,""en"",""ja"")"),"生物学的標本における細胞の CD71 発現の測定。")</f>
        <v>生物学的標本における細胞の CD71 発現の測定。</v>
      </c>
      <c r="I985" s="3" t="str">
        <f ca="1">IFERROR(__xludf.DUMMYFUNCTION("googletranslate(F985,""en"",""ja"")"),"CD71発現測定")</f>
        <v>CD71発現測定</v>
      </c>
    </row>
    <row r="986" spans="1:9" ht="30">
      <c r="A986" s="3" t="s">
        <v>103</v>
      </c>
      <c r="B986" s="3" t="s">
        <v>4205</v>
      </c>
      <c r="C986" s="3" t="s">
        <v>4206</v>
      </c>
      <c r="D986" s="3" t="s">
        <v>4206</v>
      </c>
      <c r="E986" s="3" t="s">
        <v>4207</v>
      </c>
      <c r="F986" s="3" t="s">
        <v>4208</v>
      </c>
      <c r="G986" s="3" t="str">
        <f ca="1">IFERROR(__xludf.DUMMYFUNCTION("googletranslate(D986,""en"",""ja"")"),"CD73 の発現")</f>
        <v>CD73 の発現</v>
      </c>
      <c r="H986" s="3" t="str">
        <f ca="1">IFERROR(__xludf.DUMMYFUNCTION("googletranslate(E986,""en"",""ja"")"),"生物学的標本における細胞の CD73 発現の測定。")</f>
        <v>生物学的標本における細胞の CD73 発現の測定。</v>
      </c>
      <c r="I986" s="3" t="str">
        <f ca="1">IFERROR(__xludf.DUMMYFUNCTION("googletranslate(F986,""en"",""ja"")"),"CD73発現測定")</f>
        <v>CD73発現測定</v>
      </c>
    </row>
    <row r="987" spans="1:9" ht="30">
      <c r="A987" s="3" t="s">
        <v>103</v>
      </c>
      <c r="B987" s="3" t="s">
        <v>4209</v>
      </c>
      <c r="C987" s="3" t="s">
        <v>4210</v>
      </c>
      <c r="D987" s="3" t="s">
        <v>4210</v>
      </c>
      <c r="E987" s="3" t="s">
        <v>4211</v>
      </c>
      <c r="F987" s="3" t="s">
        <v>4212</v>
      </c>
      <c r="G987" s="3" t="str">
        <f ca="1">IFERROR(__xludf.DUMMYFUNCTION("googletranslate(D987,""en"",""ja"")"),"CD79b の発現")</f>
        <v>CD79b の発現</v>
      </c>
      <c r="H987" s="3" t="str">
        <f ca="1">IFERROR(__xludf.DUMMYFUNCTION("googletranslate(E987,""en"",""ja"")"),"生物学的標本における細胞の CD79b 発現の測定。")</f>
        <v>生物学的標本における細胞の CD79b 発現の測定。</v>
      </c>
      <c r="I987" s="3" t="str">
        <f ca="1">IFERROR(__xludf.DUMMYFUNCTION("googletranslate(F987,""en"",""ja"")"),"CD79b発現測定")</f>
        <v>CD79b発現測定</v>
      </c>
    </row>
    <row r="988" spans="1:9" ht="30">
      <c r="A988" s="3" t="s">
        <v>103</v>
      </c>
      <c r="B988" s="3" t="s">
        <v>4213</v>
      </c>
      <c r="C988" s="3" t="s">
        <v>4214</v>
      </c>
      <c r="D988" s="3" t="s">
        <v>4214</v>
      </c>
      <c r="E988" s="3" t="s">
        <v>4215</v>
      </c>
      <c r="F988" s="3" t="s">
        <v>4216</v>
      </c>
      <c r="G988" s="3" t="str">
        <f ca="1">IFERROR(__xludf.DUMMYFUNCTION("googletranslate(D988,""en"",""ja"")"),"CD80の発現")</f>
        <v>CD80の発現</v>
      </c>
      <c r="H988" s="3" t="str">
        <f ca="1">IFERROR(__xludf.DUMMYFUNCTION("googletranslate(E988,""en"",""ja"")"),"生物学的標本における細胞の CD80 発現の測定。")</f>
        <v>生物学的標本における細胞の CD80 発現の測定。</v>
      </c>
      <c r="I988" s="3" t="str">
        <f ca="1">IFERROR(__xludf.DUMMYFUNCTION("googletranslate(F988,""en"",""ja"")"),"CD80発現測定")</f>
        <v>CD80発現測定</v>
      </c>
    </row>
    <row r="989" spans="1:9" ht="30">
      <c r="A989" s="3" t="s">
        <v>103</v>
      </c>
      <c r="B989" s="3" t="s">
        <v>4217</v>
      </c>
      <c r="C989" s="3" t="s">
        <v>4218</v>
      </c>
      <c r="D989" s="3" t="s">
        <v>4218</v>
      </c>
      <c r="E989" s="3" t="s">
        <v>4219</v>
      </c>
      <c r="F989" s="3" t="s">
        <v>4220</v>
      </c>
      <c r="G989" s="3" t="str">
        <f ca="1">IFERROR(__xludf.DUMMYFUNCTION("googletranslate(D989,""en"",""ja"")"),"CD83 の発現")</f>
        <v>CD83 の発現</v>
      </c>
      <c r="H989" s="3" t="str">
        <f ca="1">IFERROR(__xludf.DUMMYFUNCTION("googletranslate(E989,""en"",""ja"")"),"生物学的標本における細胞の CD83 発現の測定。")</f>
        <v>生物学的標本における細胞の CD83 発現の測定。</v>
      </c>
      <c r="I989" s="3" t="str">
        <f ca="1">IFERROR(__xludf.DUMMYFUNCTION("googletranslate(F989,""en"",""ja"")"),"CD83発現測定")</f>
        <v>CD83発現測定</v>
      </c>
    </row>
    <row r="990" spans="1:9" ht="30">
      <c r="A990" s="3" t="s">
        <v>103</v>
      </c>
      <c r="B990" s="3" t="s">
        <v>4221</v>
      </c>
      <c r="C990" s="3" t="s">
        <v>4222</v>
      </c>
      <c r="D990" s="3" t="s">
        <v>4222</v>
      </c>
      <c r="E990" s="3" t="s">
        <v>4223</v>
      </c>
      <c r="F990" s="3" t="s">
        <v>4224</v>
      </c>
      <c r="G990" s="3" t="str">
        <f ca="1">IFERROR(__xludf.DUMMYFUNCTION("googletranslate(D990,""en"",""ja"")"),"CD86 の発現")</f>
        <v>CD86 の発現</v>
      </c>
      <c r="H990" s="3" t="str">
        <f ca="1">IFERROR(__xludf.DUMMYFUNCTION("googletranslate(E990,""en"",""ja"")"),"生物学的標本における細胞の CD86 発現の測定。")</f>
        <v>生物学的標本における細胞の CD86 発現の測定。</v>
      </c>
      <c r="I990" s="3" t="str">
        <f ca="1">IFERROR(__xludf.DUMMYFUNCTION("googletranslate(F990,""en"",""ja"")"),"CD86発現測定")</f>
        <v>CD86発現測定</v>
      </c>
    </row>
    <row r="991" spans="1:9" ht="30">
      <c r="A991" s="3" t="s">
        <v>103</v>
      </c>
      <c r="B991" s="3" t="s">
        <v>4225</v>
      </c>
      <c r="C991" s="3" t="s">
        <v>4226</v>
      </c>
      <c r="D991" s="3" t="s">
        <v>4226</v>
      </c>
      <c r="E991" s="3" t="s">
        <v>4227</v>
      </c>
      <c r="F991" s="3" t="s">
        <v>4228</v>
      </c>
      <c r="G991" s="3" t="str">
        <f ca="1">IFERROR(__xludf.DUMMYFUNCTION("googletranslate(D991,""en"",""ja"")"),"CD95の発現")</f>
        <v>CD95の発現</v>
      </c>
      <c r="H991" s="3" t="str">
        <f ca="1">IFERROR(__xludf.DUMMYFUNCTION("googletranslate(E991,""en"",""ja"")"),"生物学的標本における細胞の CD95 発現の測定。")</f>
        <v>生物学的標本における細胞の CD95 発現の測定。</v>
      </c>
      <c r="I991" s="3" t="str">
        <f ca="1">IFERROR(__xludf.DUMMYFUNCTION("googletranslate(F991,""en"",""ja"")"),"CD95細胞表面発現測定")</f>
        <v>CD95細胞表面発現測定</v>
      </c>
    </row>
    <row r="992" spans="1:9" ht="30">
      <c r="A992" s="3" t="s">
        <v>103</v>
      </c>
      <c r="B992" s="3" t="s">
        <v>4229</v>
      </c>
      <c r="C992" s="3" t="s">
        <v>4230</v>
      </c>
      <c r="D992" s="3" t="s">
        <v>4230</v>
      </c>
      <c r="E992" s="3" t="s">
        <v>4231</v>
      </c>
      <c r="F992" s="3" t="s">
        <v>4232</v>
      </c>
      <c r="G992" s="3" t="str">
        <f ca="1">IFERROR(__xludf.DUMMYFUNCTION("googletranslate(D992,""en"",""ja"")"),"CD96 の発現")</f>
        <v>CD96 の発現</v>
      </c>
      <c r="H992" s="3" t="str">
        <f ca="1">IFERROR(__xludf.DUMMYFUNCTION("googletranslate(E992,""en"",""ja"")"),"生物学的標本における細胞の CD96 発現の測定。")</f>
        <v>生物学的標本における細胞の CD96 発現の測定。</v>
      </c>
      <c r="I992" s="3" t="str">
        <f ca="1">IFERROR(__xludf.DUMMYFUNCTION("googletranslate(F992,""en"",""ja"")"),"CD96発現測定")</f>
        <v>CD96発現測定</v>
      </c>
    </row>
    <row r="993" spans="1:9" ht="45">
      <c r="A993" s="3" t="s">
        <v>6</v>
      </c>
      <c r="B993" s="3" t="s">
        <v>4233</v>
      </c>
      <c r="C993" s="3" t="s">
        <v>4234</v>
      </c>
      <c r="D993" s="3" t="s">
        <v>4235</v>
      </c>
      <c r="E993" s="3" t="s">
        <v>4236</v>
      </c>
      <c r="F993" s="3" t="s">
        <v>4237</v>
      </c>
      <c r="G993" s="3" t="str">
        <f ca="1">IFERROR(__xludf.DUMMYFUNCTION("googletranslate(D993,""en"",""ja"")"),"チェニン酸;ケノコール酸;ケノデオキシコール酸;ケノデオキシコール酸")</f>
        <v>チェニン酸;ケノコール酸;ケノデオキシコール酸;ケノデオキシコール酸</v>
      </c>
      <c r="H993" s="3" t="str">
        <f ca="1">IFERROR(__xludf.DUMMYFUNCTION("googletranslate(E993,""en"",""ja"")"),"生物学的標本中のケノデオキシコール酸の測定。")</f>
        <v>生物学的標本中のケノデオキシコール酸の測定。</v>
      </c>
      <c r="I993" s="3" t="str">
        <f ca="1">IFERROR(__xludf.DUMMYFUNCTION("googletranslate(F993,""en"",""ja"")"),"ケノデオキシコール酸の測定")</f>
        <v>ケノデオキシコール酸の測定</v>
      </c>
    </row>
    <row r="994" spans="1:9" ht="45">
      <c r="A994" s="3" t="s">
        <v>6</v>
      </c>
      <c r="B994" s="3" t="s">
        <v>4238</v>
      </c>
      <c r="C994" s="3" t="s">
        <v>4239</v>
      </c>
      <c r="D994" s="3" t="s">
        <v>4240</v>
      </c>
      <c r="E994" s="3" t="s">
        <v>4241</v>
      </c>
      <c r="F994" s="3" t="s">
        <v>4242</v>
      </c>
      <c r="G994" s="3" t="str">
        <f ca="1">IFERROR(__xludf.DUMMYFUNCTION("googletranslate(D994,""en"",""ja"")"),"ケノデオキシコール酸塩化合物;ケノデオキシコール酸化合物")</f>
        <v>ケノデオキシコール酸塩化合物;ケノデオキシコール酸化合物</v>
      </c>
      <c r="H994" s="3" t="str">
        <f ca="1">IFERROR(__xludf.DUMMYFUNCTION("googletranslate(E994,""en"",""ja"")"),"生物学的標本中のケノデオキシコール酸、グリコケノデオキシコール酸、およびタウロケノデオキシコール酸の測定。")</f>
        <v>生物学的標本中のケノデオキシコール酸、グリコケノデオキシコール酸、およびタウロケノデオキシコール酸の測定。</v>
      </c>
      <c r="I994" s="3" t="str">
        <f ca="1">IFERROR(__xludf.DUMMYFUNCTION("googletranslate(F994,""en"",""ja"")"),"ケノデオキシコール酸塩化合物の測定")</f>
        <v>ケノデオキシコール酸塩化合物の測定</v>
      </c>
    </row>
    <row r="995" spans="1:9" ht="30">
      <c r="A995" s="3" t="s">
        <v>67</v>
      </c>
      <c r="B995" s="3" t="s">
        <v>4243</v>
      </c>
      <c r="C995" s="3" t="s">
        <v>4244</v>
      </c>
      <c r="D995" s="3" t="s">
        <v>4244</v>
      </c>
      <c r="E995" s="3" t="s">
        <v>4245</v>
      </c>
      <c r="F995" s="3" t="s">
        <v>4246</v>
      </c>
      <c r="G995" s="3" t="str">
        <f ca="1">IFERROR(__xludf.DUMMYFUNCTION("googletranslate(D995,""en"",""ja"")"),"クロストリジウム・ディフィシル")</f>
        <v>クロストリジウム・ディフィシル</v>
      </c>
      <c r="H995" s="3" t="str">
        <f ca="1">IFERROR(__xludf.DUMMYFUNCTION("googletranslate(E995,""en"",""ja"")"),"生物学的標本中のクロストリジウム ディフィシルの測定。")</f>
        <v>生物学的標本中のクロストリジウム ディフィシルの測定。</v>
      </c>
      <c r="I995" s="3" t="str">
        <f ca="1">IFERROR(__xludf.DUMMYFUNCTION("googletranslate(F995,""en"",""ja"")"),"クロストリジウム・ディフィシルの測定")</f>
        <v>クロストリジウム・ディフィシルの測定</v>
      </c>
    </row>
    <row r="996" spans="1:9" ht="45">
      <c r="A996" s="3" t="s">
        <v>67</v>
      </c>
      <c r="B996" s="3" t="s">
        <v>4247</v>
      </c>
      <c r="C996" s="3" t="s">
        <v>4248</v>
      </c>
      <c r="D996" s="3" t="s">
        <v>4248</v>
      </c>
      <c r="E996" s="3" t="s">
        <v>4249</v>
      </c>
      <c r="F996" s="3" t="s">
        <v>4250</v>
      </c>
      <c r="G996" s="3" t="str">
        <f ca="1">IFERROR(__xludf.DUMMYFUNCTION("googletranslate(D996,""en"",""ja"")"),"クロストリジウム ディフィシル A/B 毒素")</f>
        <v>クロストリジウム ディフィシル A/B 毒素</v>
      </c>
      <c r="H996" s="3" t="str">
        <f ca="1">IFERROR(__xludf.DUMMYFUNCTION("googletranslate(E996,""en"",""ja"")"),"生物学的検体中のクロストリジウム ディフィシル A および/または B 毒素の測定。")</f>
        <v>生物学的検体中のクロストリジウム ディフィシル A および/または B 毒素の測定。</v>
      </c>
      <c r="I996" s="3" t="str">
        <f ca="1">IFERROR(__xludf.DUMMYFUNCTION("googletranslate(F996,""en"",""ja"")"),"クロストリジウム ディフィシル A および/または B 毒素の測定")</f>
        <v>クロストリジウム ディフィシル A および/または B 毒素の測定</v>
      </c>
    </row>
    <row r="997" spans="1:9" ht="30">
      <c r="A997" s="3" t="s">
        <v>67</v>
      </c>
      <c r="B997" s="3" t="s">
        <v>4251</v>
      </c>
      <c r="C997" s="3" t="s">
        <v>4252</v>
      </c>
      <c r="D997" s="3" t="s">
        <v>4252</v>
      </c>
      <c r="E997" s="3" t="s">
        <v>4253</v>
      </c>
      <c r="F997" s="3" t="s">
        <v>4254</v>
      </c>
      <c r="G997" s="3" t="str">
        <f ca="1">IFERROR(__xludf.DUMMYFUNCTION("googletranslate(D997,""en"",""ja"")"),"クロストリジウム・ディフィシルA毒素")</f>
        <v>クロストリジウム・ディフィシルA毒素</v>
      </c>
      <c r="H997" s="3" t="str">
        <f ca="1">IFERROR(__xludf.DUMMYFUNCTION("googletranslate(E997,""en"",""ja"")"),"生物学的標本中のクロストリジウム ディフィシル毒素 A の測定。")</f>
        <v>生物学的標本中のクロストリジウム ディフィシル毒素 A の測定。</v>
      </c>
      <c r="I997" s="3" t="str">
        <f ca="1">IFERROR(__xludf.DUMMYFUNCTION("googletranslate(F997,""en"",""ja"")"),"クロストリジウム・ディフィシルA毒素の測定")</f>
        <v>クロストリジウム・ディフィシルA毒素の測定</v>
      </c>
    </row>
    <row r="998" spans="1:9" ht="30">
      <c r="A998" s="3" t="s">
        <v>67</v>
      </c>
      <c r="B998" s="3" t="s">
        <v>4255</v>
      </c>
      <c r="C998" s="3" t="s">
        <v>4256</v>
      </c>
      <c r="D998" s="3" t="s">
        <v>4256</v>
      </c>
      <c r="E998" s="3" t="s">
        <v>4257</v>
      </c>
      <c r="F998" s="3" t="s">
        <v>4258</v>
      </c>
      <c r="G998" s="3" t="str">
        <f ca="1">IFERROR(__xludf.DUMMYFUNCTION("googletranslate(D998,""en"",""ja"")"),"クロストリジウム・ディフィシルB毒素")</f>
        <v>クロストリジウム・ディフィシルB毒素</v>
      </c>
      <c r="H998" s="3" t="str">
        <f ca="1">IFERROR(__xludf.DUMMYFUNCTION("googletranslate(E998,""en"",""ja"")"),"生物学的検体中のクロストリジウム ディフィシル毒素 B の測定。")</f>
        <v>生物学的検体中のクロストリジウム ディフィシル毒素 B の測定。</v>
      </c>
      <c r="I998" s="3" t="str">
        <f ca="1">IFERROR(__xludf.DUMMYFUNCTION("googletranslate(F998,""en"",""ja"")"),"クロストリジウム・ディフィシルB毒素の測定")</f>
        <v>クロストリジウム・ディフィシルB毒素の測定</v>
      </c>
    </row>
    <row r="999" spans="1:9" ht="30">
      <c r="A999" s="3" t="s">
        <v>67</v>
      </c>
      <c r="B999" s="3" t="s">
        <v>4259</v>
      </c>
      <c r="C999" s="3" t="s">
        <v>4260</v>
      </c>
      <c r="D999" s="3" t="s">
        <v>4260</v>
      </c>
      <c r="E999" s="3" t="s">
        <v>4261</v>
      </c>
      <c r="F999" s="3" t="s">
        <v>4262</v>
      </c>
      <c r="G999" s="3" t="str">
        <f ca="1">IFERROR(__xludf.DUMMYFUNCTION("googletranslate(D999,""en"",""ja"")"),"クロストリジウム・ディフィシルcdt DNA")</f>
        <v>クロストリジウム・ディフィシルcdt DNA</v>
      </c>
      <c r="H999" s="3" t="str">
        <f ca="1">IFERROR(__xludf.DUMMYFUNCTION("googletranslate(E999,""en"",""ja"")"),"生物学的標本中のクロストリジウム ディフィシル バイナリ毒素 (cdt) DNA の測定。")</f>
        <v>生物学的標本中のクロストリジウム ディフィシル バイナリ毒素 (cdt) DNA の測定。</v>
      </c>
      <c r="I999" s="3" t="str">
        <f ca="1">IFERROR(__xludf.DUMMYFUNCTION("googletranslate(F999,""en"",""ja"")"),"クロストリジウム・ディフィシルcdt DNA測定")</f>
        <v>クロストリジウム・ディフィシルcdt DNA測定</v>
      </c>
    </row>
    <row r="1000" spans="1:9" ht="30">
      <c r="A1000" s="3" t="s">
        <v>67</v>
      </c>
      <c r="B1000" s="3" t="s">
        <v>4263</v>
      </c>
      <c r="C1000" s="3" t="s">
        <v>4264</v>
      </c>
      <c r="D1000" s="3" t="s">
        <v>4264</v>
      </c>
      <c r="E1000" s="3" t="s">
        <v>4265</v>
      </c>
      <c r="F1000" s="3" t="s">
        <v>4266</v>
      </c>
      <c r="G1000" s="3" t="str">
        <f ca="1">IFERROR(__xludf.DUMMYFUNCTION("googletranslate(D1000,""en"",""ja"")"),"クロストリジウム・ディフィシルのDNA")</f>
        <v>クロストリジウム・ディフィシルのDNA</v>
      </c>
      <c r="H1000" s="3" t="str">
        <f ca="1">IFERROR(__xludf.DUMMYFUNCTION("googletranslate(E1000,""en"",""ja"")"),"生物学的標本中のクロストリジウム ディフィシル DNA の測定。")</f>
        <v>生物学的標本中のクロストリジウム ディフィシル DNA の測定。</v>
      </c>
      <c r="I1000" s="3" t="str">
        <f ca="1">IFERROR(__xludf.DUMMYFUNCTION("googletranslate(F1000,""en"",""ja"")"),"クロストリジウム・ディフィシルDNA測定")</f>
        <v>クロストリジウム・ディフィシルDNA測定</v>
      </c>
    </row>
    <row r="1001" spans="1:9" ht="60">
      <c r="A1001" s="3" t="s">
        <v>67</v>
      </c>
      <c r="B1001" s="3" t="s">
        <v>4267</v>
      </c>
      <c r="C1001" s="3" t="s">
        <v>4268</v>
      </c>
      <c r="D1001" s="3" t="s">
        <v>4269</v>
      </c>
      <c r="E1001" s="3" t="s">
        <v>4270</v>
      </c>
      <c r="F1001" s="3" t="s">
        <v>4271</v>
      </c>
      <c r="G1001" s="3" t="str">
        <f ca="1">IFERROR(__xludf.DUMMYFUNCTION("googletranslate(D1001,""en"",""ja"")"),"C.ディフィシル グルタミン酸デヒドロゲナーゼ;クロストリジウム ディフィシル グルタミン酸デヒドロゲナーゼ")</f>
        <v>C.ディフィシル グルタミン酸デヒドロゲナーゼ;クロストリジウム ディフィシル グルタミン酸デヒドロゲナーゼ</v>
      </c>
      <c r="H1001" s="3" t="str">
        <f ca="1">IFERROR(__xludf.DUMMYFUNCTION("googletranslate(E1001,""en"",""ja"")"),"生物学的標本中のクロストリジウム ディフィシル グルタミン酸デヒドロゲナーゼの測定。")</f>
        <v>生物学的標本中のクロストリジウム ディフィシル グルタミン酸デヒドロゲナーゼの測定。</v>
      </c>
      <c r="I1001" s="3" t="str">
        <f ca="1">IFERROR(__xludf.DUMMYFUNCTION("googletranslate(F1001,""en"",""ja"")"),"C.ディフィシル グルタミン酸デヒドロゲナーゼの測定")</f>
        <v>C.ディフィシル グルタミン酸デヒドロゲナーゼの測定</v>
      </c>
    </row>
    <row r="1002" spans="1:9" ht="30">
      <c r="A1002" s="3" t="s">
        <v>67</v>
      </c>
      <c r="B1002" s="3" t="s">
        <v>4272</v>
      </c>
      <c r="C1002" s="3" t="s">
        <v>4273</v>
      </c>
      <c r="D1002" s="3" t="s">
        <v>4273</v>
      </c>
      <c r="E1002" s="3" t="s">
        <v>4274</v>
      </c>
      <c r="F1002" s="3" t="s">
        <v>4275</v>
      </c>
      <c r="G1002" s="3" t="str">
        <f ca="1">IFERROR(__xludf.DUMMYFUNCTION("googletranslate(D1002,""en"",""ja"")"),"クロストリジウム ディフィシル tcdA DNA")</f>
        <v>クロストリジウム ディフィシル tcdA DNA</v>
      </c>
      <c r="H1002" s="3" t="str">
        <f ca="1">IFERROR(__xludf.DUMMYFUNCTION("googletranslate(E1002,""en"",""ja"")"),"生物学的検体中のクロストリジウム ディフィシル毒素 A (tcdA) DNA の測定。")</f>
        <v>生物学的検体中のクロストリジウム ディフィシル毒素 A (tcdA) DNA の測定。</v>
      </c>
      <c r="I1002" s="3" t="str">
        <f ca="1">IFERROR(__xludf.DUMMYFUNCTION("googletranslate(F1002,""en"",""ja"")"),"クロストリジウム・ディフィシルtcdA DNA測定")</f>
        <v>クロストリジウム・ディフィシルtcdA DNA測定</v>
      </c>
    </row>
    <row r="1003" spans="1:9" ht="30">
      <c r="A1003" s="3" t="s">
        <v>67</v>
      </c>
      <c r="B1003" s="3" t="s">
        <v>4276</v>
      </c>
      <c r="C1003" s="3" t="s">
        <v>4277</v>
      </c>
      <c r="D1003" s="3" t="s">
        <v>4277</v>
      </c>
      <c r="E1003" s="3" t="s">
        <v>4278</v>
      </c>
      <c r="F1003" s="3" t="s">
        <v>4279</v>
      </c>
      <c r="G1003" s="3" t="str">
        <f ca="1">IFERROR(__xludf.DUMMYFUNCTION("googletranslate(D1003,""en"",""ja"")"),"クロストリジウム ディフィシル tcdB DNA")</f>
        <v>クロストリジウム ディフィシル tcdB DNA</v>
      </c>
      <c r="H1003" s="3" t="str">
        <f ca="1">IFERROR(__xludf.DUMMYFUNCTION("googletranslate(E1003,""en"",""ja"")"),"生物学的標本中のクロストリジウム ディフィシル毒素 B (tcdB) DNA の測定。")</f>
        <v>生物学的標本中のクロストリジウム ディフィシル毒素 B (tcdB) DNA の測定。</v>
      </c>
      <c r="I1003" s="3" t="str">
        <f ca="1">IFERROR(__xludf.DUMMYFUNCTION("googletranslate(F1003,""en"",""ja"")"),"クロストリジウム・ディフィシルtcdB DNA測定")</f>
        <v>クロストリジウム・ディフィシルtcdB DNA測定</v>
      </c>
    </row>
    <row r="1004" spans="1:9" ht="30">
      <c r="A1004" s="3" t="s">
        <v>67</v>
      </c>
      <c r="B1004" s="3" t="s">
        <v>4280</v>
      </c>
      <c r="C1004" s="3" t="s">
        <v>4281</v>
      </c>
      <c r="D1004" s="3" t="s">
        <v>4281</v>
      </c>
      <c r="E1004" s="3" t="s">
        <v>4282</v>
      </c>
      <c r="F1004" s="3" t="s">
        <v>4283</v>
      </c>
      <c r="G1004" s="3" t="str">
        <f ca="1">IFERROR(__xludf.DUMMYFUNCTION("googletranslate(D1004,""en"",""ja"")"),"クロストリジウム ディフィシル tcdC DNA")</f>
        <v>クロストリジウム ディフィシル tcdC DNA</v>
      </c>
      <c r="H1004" s="3" t="str">
        <f ca="1">IFERROR(__xludf.DUMMYFUNCTION("googletranslate(E1004,""en"",""ja"")"),"生物学的標本中のクロストリジウム ディフィシル制御タンパク質 (tcdC) DNA の測定。")</f>
        <v>生物学的標本中のクロストリジウム ディフィシル制御タンパク質 (tcdC) DNA の測定。</v>
      </c>
      <c r="I1004" s="3" t="str">
        <f ca="1">IFERROR(__xludf.DUMMYFUNCTION("googletranslate(F1004,""en"",""ja"")"),"クロストリジウム・ディフィシルtcdC DNA測定")</f>
        <v>クロストリジウム・ディフィシルtcdC DNA測定</v>
      </c>
    </row>
    <row r="1005" spans="1:9" ht="30">
      <c r="A1005" s="3" t="s">
        <v>67</v>
      </c>
      <c r="B1005" s="3" t="s">
        <v>4284</v>
      </c>
      <c r="C1005" s="3" t="s">
        <v>4285</v>
      </c>
      <c r="D1005" s="3" t="s">
        <v>4285</v>
      </c>
      <c r="E1005" s="3" t="s">
        <v>4286</v>
      </c>
      <c r="F1005" s="3" t="s">
        <v>4287</v>
      </c>
      <c r="G1005" s="3" t="str">
        <f ca="1">IFERROR(__xludf.DUMMYFUNCTION("googletranslate(D1005,""en"",""ja"")"),"クロストリジウム・ディフィシル毒素")</f>
        <v>クロストリジウム・ディフィシル毒素</v>
      </c>
      <c r="H1005" s="3" t="str">
        <f ca="1">IFERROR(__xludf.DUMMYFUNCTION("googletranslate(E1005,""en"",""ja"")"),"生物学的標本中のクロストリジウム ディフィシル毒素の測定。")</f>
        <v>生物学的標本中のクロストリジウム ディフィシル毒素の測定。</v>
      </c>
      <c r="I1005" s="3" t="str">
        <f ca="1">IFERROR(__xludf.DUMMYFUNCTION("googletranslate(F1005,""en"",""ja"")"),"クロストリジウム・ディフィシル毒素測定")</f>
        <v>クロストリジウム・ディフィシル毒素測定</v>
      </c>
    </row>
    <row r="1006" spans="1:9" ht="30">
      <c r="A1006" s="3" t="s">
        <v>6</v>
      </c>
      <c r="B1006" s="3" t="s">
        <v>4288</v>
      </c>
      <c r="C1006" s="3" t="s">
        <v>4289</v>
      </c>
      <c r="D1006" s="3" t="s">
        <v>4290</v>
      </c>
      <c r="E1006" s="3" t="s">
        <v>4291</v>
      </c>
      <c r="F1006" s="3" t="s">
        <v>4292</v>
      </c>
      <c r="G1006" s="3" t="str">
        <f ca="1">IFERROR(__xludf.DUMMYFUNCTION("googletranslate(D1006,""en"",""ja"")"),"カドヘリン 1;カドヘリン-1; E-カドヘリン;可溶性CD324")</f>
        <v>カドヘリン 1;カドヘリン-1; E-カドヘリン;可溶性CD324</v>
      </c>
      <c r="H1006" s="3" t="str">
        <f ca="1">IFERROR(__xludf.DUMMYFUNCTION("googletranslate(E1006,""en"",""ja"")"),"生体試料中のカドヘリン 1 の測定。")</f>
        <v>生体試料中のカドヘリン 1 の測定。</v>
      </c>
      <c r="I1006" s="3" t="str">
        <f ca="1">IFERROR(__xludf.DUMMYFUNCTION("googletranslate(F1006,""en"",""ja"")"),"カドヘリン1の測定")</f>
        <v>カドヘリン1の測定</v>
      </c>
    </row>
    <row r="1007" spans="1:9" ht="30">
      <c r="A1007" s="3" t="s">
        <v>6</v>
      </c>
      <c r="B1007" s="3" t="s">
        <v>4293</v>
      </c>
      <c r="C1007" s="3" t="s">
        <v>4294</v>
      </c>
      <c r="D1007" s="3" t="s">
        <v>4294</v>
      </c>
      <c r="E1007" s="3" t="s">
        <v>4295</v>
      </c>
      <c r="F1007" s="3" t="s">
        <v>4296</v>
      </c>
      <c r="G1007" s="3" t="str">
        <f ca="1">IFERROR(__xludf.DUMMYFUNCTION("googletranslate(D1007,""en"",""ja"")"),"炭水化物欠損トランスフェリン")</f>
        <v>炭水化物欠損トランスフェリン</v>
      </c>
      <c r="H1007" s="3" t="str">
        <f ca="1">IFERROR(__xludf.DUMMYFUNCTION("googletranslate(E1007,""en"",""ja"")"),"生物学的標本中の炭水化物部分の数が減少したトランスフェリンの測定。")</f>
        <v>生物学的標本中の炭水化物部分の数が減少したトランスフェリンの測定。</v>
      </c>
      <c r="I1007" s="3" t="str">
        <f ca="1">IFERROR(__xludf.DUMMYFUNCTION("googletranslate(F1007,""en"",""ja"")"),"糖質欠乏トランスフェリンの測定")</f>
        <v>糖質欠乏トランスフェリンの測定</v>
      </c>
    </row>
    <row r="1008" spans="1:9" ht="45">
      <c r="A1008" s="3" t="s">
        <v>6</v>
      </c>
      <c r="B1008" s="3" t="s">
        <v>4297</v>
      </c>
      <c r="C1008" s="3" t="s">
        <v>4298</v>
      </c>
      <c r="D1008" s="3" t="s">
        <v>4298</v>
      </c>
      <c r="E1008" s="3" t="s">
        <v>4299</v>
      </c>
      <c r="F1008" s="3" t="s">
        <v>4300</v>
      </c>
      <c r="G1008" s="3" t="str">
        <f ca="1">IFERROR(__xludf.DUMMYFUNCTION("googletranslate(D1008,""en"",""ja"")"),"炭水化物欠乏トランスフェリン/トランスフェリン")</f>
        <v>炭水化物欠乏トランスフェリン/トランスフェリン</v>
      </c>
      <c r="H1008" s="3" t="str">
        <f ca="1">IFERROR(__xludf.DUMMYFUNCTION("googletranslate(E1008,""en"",""ja"")"),"生物学的標本中の総トランスフェリンに対する炭水化物欠損トランスフェリンの相対測定値 (比率またはパーセンテージ)。")</f>
        <v>生物学的標本中の総トランスフェリンに対する炭水化物欠損トランスフェリンの相対測定値 (比率またはパーセンテージ)。</v>
      </c>
      <c r="I1008" s="3" t="str">
        <f ca="1">IFERROR(__xludf.DUMMYFUNCTION("googletranslate(F1008,""en"",""ja"")"),"糖質欠乏トランスフェリンとトランスフェリンの比の測定")</f>
        <v>糖質欠乏トランスフェリンとトランスフェリンの比の測定</v>
      </c>
    </row>
    <row r="1009" spans="1:9" ht="30">
      <c r="A1009" s="3" t="s">
        <v>67</v>
      </c>
      <c r="B1009" s="3" t="s">
        <v>4301</v>
      </c>
      <c r="C1009" s="3" t="s">
        <v>4302</v>
      </c>
      <c r="D1009" s="3" t="s">
        <v>4302</v>
      </c>
      <c r="E1009" s="3" t="s">
        <v>4303</v>
      </c>
      <c r="F1009" s="3" t="s">
        <v>4304</v>
      </c>
      <c r="G1009" s="3" t="str">
        <f ca="1">IFERROR(__xludf.DUMMYFUNCTION("googletranslate(D1009,""en"",""ja"")"),"カンジダ・ダブリニエンシス")</f>
        <v>カンジダ・ダブリニエンシス</v>
      </c>
      <c r="H1009" s="3" t="str">
        <f ca="1">IFERROR(__xludf.DUMMYFUNCTION("googletranslate(E1009,""en"",""ja"")"),"生物学的標本中のカンジダ・ダブリニエンシスの測定。")</f>
        <v>生物学的標本中のカンジダ・ダブリニエンシスの測定。</v>
      </c>
      <c r="I1009" s="3" t="str">
        <f ca="1">IFERROR(__xludf.DUMMYFUNCTION("googletranslate(F1009,""en"",""ja"")"),"カンジダ・ダブリニエンシスの測定")</f>
        <v>カンジダ・ダブリニエンシスの測定</v>
      </c>
    </row>
    <row r="1010" spans="1:9" ht="30">
      <c r="A1010" s="3" t="s">
        <v>6</v>
      </c>
      <c r="B1010" s="3" t="s">
        <v>4305</v>
      </c>
      <c r="C1010" s="3" t="s">
        <v>4306</v>
      </c>
      <c r="D1010" s="3" t="s">
        <v>4306</v>
      </c>
      <c r="E1010" s="3" t="s">
        <v>4307</v>
      </c>
      <c r="F1010" s="3" t="s">
        <v>4308</v>
      </c>
      <c r="G1010" s="3" t="str">
        <f ca="1">IFERROR(__xludf.DUMMYFUNCTION("googletranslate(D1010,""en"",""ja"")"),"癌胎児性抗原")</f>
        <v>癌胎児性抗原</v>
      </c>
      <c r="H1010" s="3" t="str">
        <f ca="1">IFERROR(__xludf.DUMMYFUNCTION("googletranslate(E1010,""en"",""ja"")"),"生物学的標本中の癌胎児性抗原の測定。")</f>
        <v>生物学的標本中の癌胎児性抗原の測定。</v>
      </c>
      <c r="I1010" s="3" t="str">
        <f ca="1">IFERROR(__xludf.DUMMYFUNCTION("googletranslate(F1010,""en"",""ja"")"),"癌胎児性抗原測定")</f>
        <v>癌胎児性抗原測定</v>
      </c>
    </row>
    <row r="1011" spans="1:9" ht="90">
      <c r="A1011" s="3" t="s">
        <v>6</v>
      </c>
      <c r="B1011" s="3" t="s">
        <v>4309</v>
      </c>
      <c r="C1011" s="3" t="s">
        <v>4310</v>
      </c>
      <c r="D1011" s="3" t="s">
        <v>4311</v>
      </c>
      <c r="E1011" s="3" t="s">
        <v>4312</v>
      </c>
      <c r="F1011" s="3" t="s">
        <v>4313</v>
      </c>
      <c r="G1011" s="3" t="str">
        <f ca="1">IFERROR(__xludf.DUMMYFUNCTION("googletranslate(D1011,""en"",""ja"")"),"BGP;胆汁糖タンパク質;癌胎児性抗原細胞接着分子 1; CEA 細胞接着分子 1; CEA 関連細胞接着分子 1;可溶性CD66a")</f>
        <v>BGP;胆汁糖タンパク質;癌胎児性抗原細胞接着分子 1; CEA 細胞接着分子 1; CEA 関連細胞接着分子 1;可溶性CD66a</v>
      </c>
      <c r="H1011" s="3" t="str">
        <f ca="1">IFERROR(__xludf.DUMMYFUNCTION("googletranslate(E1011,""en"",""ja"")"),"生物学的標本中の癌胎児性抗原 (CEA) 細胞接着分子 1 の測定。")</f>
        <v>生物学的標本中の癌胎児性抗原 (CEA) 細胞接着分子 1 の測定。</v>
      </c>
      <c r="I1011" s="3" t="str">
        <f ca="1">IFERROR(__xludf.DUMMYFUNCTION("googletranslate(F1011,""en"",""ja"")"),"CEA 細胞接着分子 1 の測定")</f>
        <v>CEA 細胞接着分子 1 の測定</v>
      </c>
    </row>
    <row r="1012" spans="1:9" ht="60">
      <c r="A1012" s="3" t="s">
        <v>6</v>
      </c>
      <c r="B1012" s="3" t="s">
        <v>4314</v>
      </c>
      <c r="C1012" s="3" t="s">
        <v>4315</v>
      </c>
      <c r="D1012" s="3" t="s">
        <v>4316</v>
      </c>
      <c r="E1012" s="3" t="s">
        <v>4317</v>
      </c>
      <c r="F1012" s="3" t="s">
        <v>4318</v>
      </c>
      <c r="G1012" s="3" t="str">
        <f ca="1">IFERROR(__xludf.DUMMYFUNCTION("googletranslate(D1012,""en"",""ja"")"),"癌胎児性抗原関連細胞接着分子 5; CEA 細胞接着分子 5;可溶性CD66e")</f>
        <v>癌胎児性抗原関連細胞接着分子 5; CEA 細胞接着分子 5;可溶性CD66e</v>
      </c>
      <c r="H1012" s="3" t="str">
        <f ca="1">IFERROR(__xludf.DUMMYFUNCTION("googletranslate(E1012,""en"",""ja"")"),"生物学的標本中の癌胎児性抗原 (CEA) 細胞接着分子 5 の測定。")</f>
        <v>生物学的標本中の癌胎児性抗原 (CEA) 細胞接着分子 5 の測定。</v>
      </c>
      <c r="I1012" s="3" t="str">
        <f ca="1">IFERROR(__xludf.DUMMYFUNCTION("googletranslate(F1012,""en"",""ja"")"),"CEA 細胞接着分子 5 の測定")</f>
        <v>CEA 細胞接着分子 5 の測定</v>
      </c>
    </row>
    <row r="1013" spans="1:9" ht="60">
      <c r="A1013" s="3" t="s">
        <v>6</v>
      </c>
      <c r="B1013" s="3" t="s">
        <v>4319</v>
      </c>
      <c r="C1013" s="3" t="s">
        <v>4320</v>
      </c>
      <c r="D1013" s="3" t="s">
        <v>4321</v>
      </c>
      <c r="E1013" s="3" t="s">
        <v>4322</v>
      </c>
      <c r="F1013" s="3" t="s">
        <v>4323</v>
      </c>
      <c r="G1013" s="3" t="str">
        <f ca="1">IFERROR(__xludf.DUMMYFUNCTION("googletranslate(D1013,""en"",""ja"")"),"可溶性癌胎児性抗原関連細胞接着分子 5;可溶性CD66e;可溶性 CEA 細胞接着分子 5")</f>
        <v>可溶性癌胎児性抗原関連細胞接着分子 5;可溶性CD66e;可溶性 CEA 細胞接着分子 5</v>
      </c>
      <c r="H1013" s="3" t="str">
        <f ca="1">IFERROR(__xludf.DUMMYFUNCTION("googletranslate(E1013,""en"",""ja"")"),"生物学的標本中の可溶性癌胎児性抗原 (CEA) 細胞接着分子 5 の測定。")</f>
        <v>生物学的標本中の可溶性癌胎児性抗原 (CEA) 細胞接着分子 5 の測定。</v>
      </c>
      <c r="I1013" s="3" t="str">
        <f ca="1">IFERROR(__xludf.DUMMYFUNCTION("googletranslate(F1013,""en"",""ja"")"),"可溶性CEA細胞接着分子5の測定")</f>
        <v>可溶性CEA細胞接着分子5の測定</v>
      </c>
    </row>
    <row r="1014" spans="1:9" ht="30">
      <c r="A1014" s="3" t="s">
        <v>6</v>
      </c>
      <c r="B1014" s="3" t="s">
        <v>4324</v>
      </c>
      <c r="C1014" s="3" t="s">
        <v>4325</v>
      </c>
      <c r="D1014" s="3" t="s">
        <v>4325</v>
      </c>
      <c r="E1014" s="3" t="s">
        <v>4326</v>
      </c>
      <c r="F1014" s="3" t="s">
        <v>4327</v>
      </c>
      <c r="G1014" s="3" t="str">
        <f ca="1">IFERROR(__xludf.DUMMYFUNCTION("googletranslate(D1014,""en"",""ja"")"),"循環内皮細胞")</f>
        <v>循環内皮細胞</v>
      </c>
      <c r="H1014" s="3" t="str">
        <f ca="1">IFERROR(__xludf.DUMMYFUNCTION("googletranslate(E1014,""en"",""ja"")"),"生物学的標本中の循環内皮細胞の測定。")</f>
        <v>生物学的標本中の循環内皮細胞の測定。</v>
      </c>
      <c r="I1014" s="3" t="str">
        <f ca="1">IFERROR(__xludf.DUMMYFUNCTION("googletranslate(F1014,""en"",""ja"")"),"循環内皮細胞数")</f>
        <v>循環内皮細胞数</v>
      </c>
    </row>
    <row r="1015" spans="1:9" ht="30">
      <c r="A1015" s="3" t="s">
        <v>6</v>
      </c>
      <c r="B1015" s="3" t="s">
        <v>4328</v>
      </c>
      <c r="C1015" s="3" t="s">
        <v>4329</v>
      </c>
      <c r="D1015" s="3" t="s">
        <v>4329</v>
      </c>
      <c r="E1015" s="3" t="s">
        <v>4330</v>
      </c>
      <c r="F1015" s="3" t="s">
        <v>4331</v>
      </c>
      <c r="G1015" s="3" t="str">
        <f ca="1">IFERROR(__xludf.DUMMYFUNCTION("googletranslate(D1015,""en"",""ja"")"),"未成熟細胞/全細胞")</f>
        <v>未成熟細胞/全細胞</v>
      </c>
      <c r="H1015" s="3" t="str">
        <f ca="1">IFERROR(__xludf.DUMMYFUNCTION("googletranslate(E1015,""en"",""ja"")"),"生物学的標本の全細胞に対する未熟造血細胞の相対的な測定値 (比率またはパーセンテージ)。")</f>
        <v>生物学的標本の全細胞に対する未熟造血細胞の相対的な測定値 (比率またはパーセンテージ)。</v>
      </c>
      <c r="I1015" s="3" t="str">
        <f ca="1">IFERROR(__xludf.DUMMYFUNCTION("googletranslate(F1015,""en"",""ja"")"),"未成熟細胞対全細胞比の測定")</f>
        <v>未成熟細胞対全細胞比の測定</v>
      </c>
    </row>
    <row r="1016" spans="1:9" ht="30">
      <c r="A1016" s="3" t="s">
        <v>1557</v>
      </c>
      <c r="B1016" s="3" t="s">
        <v>4332</v>
      </c>
      <c r="C1016" s="3" t="s">
        <v>4333</v>
      </c>
      <c r="D1016" s="3" t="s">
        <v>4333</v>
      </c>
      <c r="E1016" s="3" t="s">
        <v>4334</v>
      </c>
      <c r="F1016" s="3" t="s">
        <v>4333</v>
      </c>
      <c r="G1016" s="3" t="str">
        <f ca="1">IFERROR(__xludf.DUMMYFUNCTION("googletranslate(D1016,""en"",""ja"")"),"細胞密度")</f>
        <v>細胞密度</v>
      </c>
      <c r="H1016" s="3" t="str">
        <f ca="1">IFERROR(__xludf.DUMMYFUNCTION("googletranslate(E1016,""en"",""ja"")"),"単位体積または面積に含まれる細胞の数の測定値。")</f>
        <v>単位体積または面積に含まれる細胞の数の測定値。</v>
      </c>
      <c r="I1016" s="3" t="str">
        <f ca="1">IFERROR(__xludf.DUMMYFUNCTION("googletranslate(F1016,""en"",""ja"")"),"細胞密度")</f>
        <v>細胞密度</v>
      </c>
    </row>
    <row r="1017" spans="1:9" ht="30">
      <c r="A1017" s="3" t="s">
        <v>1557</v>
      </c>
      <c r="B1017" s="3" t="s">
        <v>4335</v>
      </c>
      <c r="C1017" s="3" t="s">
        <v>4336</v>
      </c>
      <c r="D1017" s="3" t="s">
        <v>4336</v>
      </c>
      <c r="E1017" s="3" t="s">
        <v>4337</v>
      </c>
      <c r="F1017" s="3" t="s">
        <v>4338</v>
      </c>
      <c r="G1017" s="3" t="str">
        <f ca="1">IFERROR(__xludf.DUMMYFUNCTION("googletranslate(D1017,""en"",""ja"")"),"セル密度、最大")</f>
        <v>セル密度、最大</v>
      </c>
      <c r="H1017" s="3" t="str">
        <f ca="1">IFERROR(__xludf.DUMMYFUNCTION("googletranslate(E1017,""en"",""ja"")"),"セル密度を表す値のグループ内の最大数。")</f>
        <v>セル密度を表す値のグループ内の最大数。</v>
      </c>
      <c r="I1017" s="3" t="str">
        <f ca="1">IFERROR(__xludf.DUMMYFUNCTION("googletranslate(F1017,""en"",""ja"")"),"最大セル密度")</f>
        <v>最大セル密度</v>
      </c>
    </row>
    <row r="1018" spans="1:9" ht="30">
      <c r="A1018" s="3" t="s">
        <v>1557</v>
      </c>
      <c r="B1018" s="3" t="s">
        <v>4339</v>
      </c>
      <c r="C1018" s="3" t="s">
        <v>4340</v>
      </c>
      <c r="D1018" s="3" t="s">
        <v>4340</v>
      </c>
      <c r="E1018" s="3" t="s">
        <v>4341</v>
      </c>
      <c r="F1018" s="3" t="s">
        <v>4342</v>
      </c>
      <c r="G1018" s="3" t="str">
        <f ca="1">IFERROR(__xludf.DUMMYFUNCTION("googletranslate(D1018,""en"",""ja"")"),"セル密度、最小")</f>
        <v>セル密度、最小</v>
      </c>
      <c r="H1018" s="3" t="str">
        <f ca="1">IFERROR(__xludf.DUMMYFUNCTION("googletranslate(E1018,""en"",""ja"")"),"セル密度を表す値のグループの最小数。")</f>
        <v>セル密度を表す値のグループの最小数。</v>
      </c>
      <c r="I1018" s="3" t="str">
        <f ca="1">IFERROR(__xludf.DUMMYFUNCTION("googletranslate(F1018,""en"",""ja"")"),"最小セル密度")</f>
        <v>最小セル密度</v>
      </c>
    </row>
    <row r="1019" spans="1:9" ht="30">
      <c r="A1019" s="3" t="s">
        <v>1557</v>
      </c>
      <c r="B1019" s="3" t="s">
        <v>4343</v>
      </c>
      <c r="C1019" s="3" t="s">
        <v>4344</v>
      </c>
      <c r="D1019" s="3" t="s">
        <v>4344</v>
      </c>
      <c r="E1019" s="3" t="s">
        <v>4345</v>
      </c>
      <c r="F1019" s="3" t="s">
        <v>4346</v>
      </c>
      <c r="G1019" s="3" t="str">
        <f ca="1">IFERROR(__xludf.DUMMYFUNCTION("googletranslate(D1019,""en"",""ja"")"),"細胞密度、平均")</f>
        <v>細胞密度、平均</v>
      </c>
      <c r="H1019" s="3" t="str">
        <f ca="1">IFERROR(__xludf.DUMMYFUNCTION("googletranslate(E1019,""en"",""ja"")"),"細胞密度を表す値のグループの平均数。")</f>
        <v>細胞密度を表す値のグループの平均数。</v>
      </c>
      <c r="I1019" s="3" t="str">
        <f ca="1">IFERROR(__xludf.DUMMYFUNCTION("googletranslate(F1019,""en"",""ja"")"),"平均細胞密度")</f>
        <v>平均細胞密度</v>
      </c>
    </row>
    <row r="1020" spans="1:9" ht="30">
      <c r="A1020" s="3" t="s">
        <v>1557</v>
      </c>
      <c r="B1020" s="3" t="s">
        <v>4347</v>
      </c>
      <c r="C1020" s="3" t="s">
        <v>4348</v>
      </c>
      <c r="D1020" s="3" t="s">
        <v>4348</v>
      </c>
      <c r="E1020" s="3" t="s">
        <v>4349</v>
      </c>
      <c r="F1020" s="3" t="s">
        <v>4350</v>
      </c>
      <c r="G1020" s="3" t="str">
        <f ca="1">IFERROR(__xludf.DUMMYFUNCTION("googletranslate(D1020,""en"",""ja"")"),"細胞密度、標準偏差")</f>
        <v>細胞密度、標準偏差</v>
      </c>
      <c r="H1020" s="3" t="str">
        <f ca="1">IFERROR(__xludf.DUMMYFUNCTION("googletranslate(E1020,""en"",""ja"")"),"細胞密度を表す値のグループの標準偏差。")</f>
        <v>細胞密度を表す値のグループの標準偏差。</v>
      </c>
      <c r="I1020" s="3" t="str">
        <f ca="1">IFERROR(__xludf.DUMMYFUNCTION("googletranslate(F1020,""en"",""ja"")"),"細胞密度の標準偏差")</f>
        <v>細胞密度の標準偏差</v>
      </c>
    </row>
    <row r="1021" spans="1:9" ht="30">
      <c r="A1021" s="3" t="s">
        <v>6</v>
      </c>
      <c r="B1021" s="3" t="s">
        <v>4351</v>
      </c>
      <c r="C1021" s="3" t="s">
        <v>4352</v>
      </c>
      <c r="D1021" s="3" t="s">
        <v>4353</v>
      </c>
      <c r="E1021" s="3" t="s">
        <v>4354</v>
      </c>
      <c r="F1021" s="3" t="s">
        <v>4355</v>
      </c>
      <c r="G1021" s="3" t="str">
        <f ca="1">IFERROR(__xludf.DUMMYFUNCTION("googletranslate(D1021,""en"",""ja"")"),"細胞;セルの総数")</f>
        <v>細胞;セルの総数</v>
      </c>
      <c r="H1021" s="3" t="str">
        <f ca="1">IFERROR(__xludf.DUMMYFUNCTION("googletranslate(E1021,""en"",""ja"")"),"生物学的標本中の有核細胞の総数の測定値。")</f>
        <v>生物学的標本中の有核細胞の総数の測定値。</v>
      </c>
      <c r="I1021" s="3" t="str">
        <f ca="1">IFERROR(__xludf.DUMMYFUNCTION("googletranslate(F1021,""en"",""ja"")"),"細胞数")</f>
        <v>細胞数</v>
      </c>
    </row>
    <row r="1022" spans="1:9" ht="30">
      <c r="A1022" s="3" t="s">
        <v>103</v>
      </c>
      <c r="B1022" s="3" t="s">
        <v>4351</v>
      </c>
      <c r="C1022" s="3" t="s">
        <v>4356</v>
      </c>
      <c r="D1022" s="3" t="s">
        <v>4353</v>
      </c>
      <c r="E1022" s="3" t="s">
        <v>4354</v>
      </c>
      <c r="F1022" s="3" t="s">
        <v>4355</v>
      </c>
      <c r="G1022" s="3" t="str">
        <f ca="1">IFERROR(__xludf.DUMMYFUNCTION("googletranslate(D1022,""en"",""ja"")"),"細胞;セルの総数")</f>
        <v>細胞;セルの総数</v>
      </c>
      <c r="H1022" s="3" t="str">
        <f ca="1">IFERROR(__xludf.DUMMYFUNCTION("googletranslate(E1022,""en"",""ja"")"),"生物学的標本中の有核細胞の総数の測定値。")</f>
        <v>生物学的標本中の有核細胞の総数の測定値。</v>
      </c>
      <c r="I1022" s="3" t="str">
        <f ca="1">IFERROR(__xludf.DUMMYFUNCTION("googletranslate(F1022,""en"",""ja"")"),"細胞数")</f>
        <v>細胞数</v>
      </c>
    </row>
    <row r="1023" spans="1:9" ht="30">
      <c r="A1023" s="3" t="s">
        <v>6</v>
      </c>
      <c r="B1023" s="3" t="s">
        <v>4357</v>
      </c>
      <c r="C1023" s="3" t="s">
        <v>4358</v>
      </c>
      <c r="D1023" s="3" t="s">
        <v>4358</v>
      </c>
      <c r="E1023" s="3" t="s">
        <v>4359</v>
      </c>
      <c r="F1023" s="3" t="s">
        <v>4360</v>
      </c>
      <c r="G1023" s="3" t="str">
        <f ca="1">IFERROR(__xludf.DUMMYFUNCTION("googletranslate(D1023,""en"",""ja"")"),"未成熟細胞")</f>
        <v>未成熟細胞</v>
      </c>
      <c r="H1023" s="3" t="str">
        <f ca="1">IFERROR(__xludf.DUMMYFUNCTION("googletranslate(E1023,""en"",""ja"")"),"血液検体中の未成熟細胞の総数の測定値。")</f>
        <v>血液検体中の未成熟細胞の総数の測定値。</v>
      </c>
      <c r="I1023" s="3" t="str">
        <f ca="1">IFERROR(__xludf.DUMMYFUNCTION("googletranslate(F1023,""en"",""ja"")"),"未熟細胞数")</f>
        <v>未熟細胞数</v>
      </c>
    </row>
    <row r="1024" spans="1:9" ht="30">
      <c r="A1024" s="3" t="s">
        <v>6</v>
      </c>
      <c r="B1024" s="3" t="s">
        <v>4361</v>
      </c>
      <c r="C1024" s="3" t="s">
        <v>4362</v>
      </c>
      <c r="D1024" s="3" t="s">
        <v>4363</v>
      </c>
      <c r="E1024" s="3" t="s">
        <v>4364</v>
      </c>
      <c r="F1024" s="3" t="s">
        <v>4365</v>
      </c>
      <c r="G1024" s="3" t="str">
        <f ca="1">IFERROR(__xludf.DUMMYFUNCTION("googletranslate(D1024,""en"",""ja"")"),"細胞性。細胞性グレード")</f>
        <v>細胞性。細胞性グレード</v>
      </c>
      <c r="H1024" s="3" t="str">
        <f ca="1">IFERROR(__xludf.DUMMYFUNCTION("googletranslate(E1024,""en"",""ja"")"),"生物学的標本中の細胞の程度、品質、または状態の測定。")</f>
        <v>生物学的標本中の細胞の程度、品質、または状態の測定。</v>
      </c>
      <c r="I1024" s="3" t="str">
        <f ca="1">IFERROR(__xludf.DUMMYFUNCTION("googletranslate(F1024,""en"",""ja"")"),"セルラリティ測定")</f>
        <v>セルラリティ測定</v>
      </c>
    </row>
    <row r="1025" spans="1:9" ht="30">
      <c r="A1025" s="3" t="s">
        <v>6</v>
      </c>
      <c r="B1025" s="3" t="s">
        <v>4366</v>
      </c>
      <c r="C1025" s="3" t="s">
        <v>4367</v>
      </c>
      <c r="D1025" s="3" t="s">
        <v>4367</v>
      </c>
      <c r="E1025" s="3" t="s">
        <v>4368</v>
      </c>
      <c r="F1025" s="3" t="s">
        <v>4369</v>
      </c>
      <c r="G1025" s="3" t="str">
        <f ca="1">IFERROR(__xludf.DUMMYFUNCTION("googletranslate(D1025,""en"",""ja"")"),"細胞の形態")</f>
        <v>細胞の形態</v>
      </c>
      <c r="H1025" s="3" t="str">
        <f ca="1">IFERROR(__xludf.DUMMYFUNCTION("googletranslate(E1025,""en"",""ja"")"),"細胞の形態と構造の検査または評価。")</f>
        <v>細胞の形態と構造の検査または評価。</v>
      </c>
      <c r="I1025" s="3" t="str">
        <f ca="1">IFERROR(__xludf.DUMMYFUNCTION("googletranslate(F1025,""en"",""ja"")"),"細胞形態の評価")</f>
        <v>細胞形態の評価</v>
      </c>
    </row>
    <row r="1026" spans="1:9" ht="30">
      <c r="A1026" s="3" t="s">
        <v>6</v>
      </c>
      <c r="B1026" s="3" t="s">
        <v>4370</v>
      </c>
      <c r="C1026" s="3" t="s">
        <v>4371</v>
      </c>
      <c r="D1026" s="3" t="s">
        <v>4371</v>
      </c>
      <c r="E1026" s="3" t="s">
        <v>4372</v>
      </c>
      <c r="F1026" s="3" t="s">
        <v>4373</v>
      </c>
      <c r="G1026" s="3" t="str">
        <f ca="1">IFERROR(__xludf.DUMMYFUNCTION("googletranslate(D1026,""en"",""ja"")"),"コレステリルエステル転移タンパク質")</f>
        <v>コレステリルエステル転移タンパク質</v>
      </c>
      <c r="H1026" s="3" t="str">
        <f ca="1">IFERROR(__xludf.DUMMYFUNCTION("googletranslate(E1026,""en"",""ja"")"),"生物学的標本中のコレステリルエステル転送タンパク質の測定。")</f>
        <v>生物学的標本中のコレステリルエステル転送タンパク質の測定。</v>
      </c>
      <c r="I1026" s="3" t="str">
        <f ca="1">IFERROR(__xludf.DUMMYFUNCTION("googletranslate(F1026,""en"",""ja"")"),"コレステリルエステル転移タンパク質の測定")</f>
        <v>コレステリルエステル転移タンパク質の測定</v>
      </c>
    </row>
    <row r="1027" spans="1:9" ht="30">
      <c r="A1027" s="3" t="s">
        <v>6</v>
      </c>
      <c r="B1027" s="3" t="s">
        <v>4374</v>
      </c>
      <c r="C1027" s="3" t="s">
        <v>4375</v>
      </c>
      <c r="D1027" s="3" t="s">
        <v>4375</v>
      </c>
      <c r="E1027" s="3" t="s">
        <v>4376</v>
      </c>
      <c r="F1027" s="3" t="s">
        <v>4377</v>
      </c>
      <c r="G1027" s="3" t="str">
        <f ca="1">IFERROR(__xludf.DUMMYFUNCTION("googletranslate(D1027,""en"",""ja"")"),"コレステリルエステル転移タンパク質法")</f>
        <v>コレステリルエステル転移タンパク質法</v>
      </c>
      <c r="H1027" s="3" t="str">
        <f ca="1">IFERROR(__xludf.DUMMYFUNCTION("googletranslate(E1027,""en"",""ja"")"),"生物学的標本中のコレステリルエステル転送タンパク質の生物学的活性の測定。")</f>
        <v>生物学的標本中のコレステリルエステル転送タンパク質の生物学的活性の測定。</v>
      </c>
      <c r="I1027" s="3" t="str">
        <f ca="1">IFERROR(__xludf.DUMMYFUNCTION("googletranslate(F1027,""en"",""ja"")"),"コレステリルエステル転移タンパク質活性測定")</f>
        <v>コレステリルエステル転移タンパク質活性測定</v>
      </c>
    </row>
    <row r="1028" spans="1:9" ht="30">
      <c r="A1028" s="3" t="s">
        <v>6</v>
      </c>
      <c r="B1028" s="3" t="s">
        <v>4378</v>
      </c>
      <c r="C1028" s="3" t="s">
        <v>4379</v>
      </c>
      <c r="D1028" s="3" t="s">
        <v>4379</v>
      </c>
      <c r="E1028" s="3" t="s">
        <v>4380</v>
      </c>
      <c r="F1028" s="3" t="s">
        <v>4381</v>
      </c>
      <c r="G1028" s="3" t="str">
        <f ca="1">IFERROR(__xludf.DUMMYFUNCTION("googletranslate(D1028,""en"",""ja"")"),"脂肪吸収係数")</f>
        <v>脂肪吸収係数</v>
      </c>
      <c r="H1028" s="3" t="str">
        <f ca="1">IFERROR(__xludf.DUMMYFUNCTION("googletranslate(E1028,""en"",""ja"")"),"生物学的標本の脂肪吸収係数の測定。")</f>
        <v>生物学的標本の脂肪吸収係数の測定。</v>
      </c>
      <c r="I1028" s="3" t="str">
        <f ca="1">IFERROR(__xludf.DUMMYFUNCTION("googletranslate(F1028,""en"",""ja"")"),"脂肪吸収係数測定")</f>
        <v>脂肪吸収係数測定</v>
      </c>
    </row>
    <row r="1029" spans="1:9" ht="45">
      <c r="A1029" s="3" t="s">
        <v>6</v>
      </c>
      <c r="B1029" s="3" t="s">
        <v>4382</v>
      </c>
      <c r="C1029" s="3" t="s">
        <v>4383</v>
      </c>
      <c r="D1029" s="3" t="s">
        <v>4384</v>
      </c>
      <c r="E1029" s="3" t="s">
        <v>4385</v>
      </c>
      <c r="F1029" s="3" t="s">
        <v>4386</v>
      </c>
      <c r="G1029" s="3" t="str">
        <f ca="1">IFERROR(__xludf.DUMMYFUNCTION("googletranslate(D1029,""en"",""ja"")"),"ベータ-1-H-グロブリン;補体因子H;ファクターH; H ファクター 1")</f>
        <v>ベータ-1-H-グロブリン;補体因子H;ファクターH; H ファクター 1</v>
      </c>
      <c r="H1029" s="3" t="str">
        <f ca="1">IFERROR(__xludf.DUMMYFUNCTION("googletranslate(E1029,""en"",""ja"")"),"生物学的標本中の補体因子 H の測定。")</f>
        <v>生物学的標本中の補体因子 H の測定。</v>
      </c>
      <c r="I1029" s="3" t="str">
        <f ca="1">IFERROR(__xludf.DUMMYFUNCTION("googletranslate(F1029,""en"",""ja"")"),"補体因子Hの測定")</f>
        <v>補体因子Hの測定</v>
      </c>
    </row>
    <row r="1030" spans="1:9" ht="60">
      <c r="A1030" s="3" t="s">
        <v>6</v>
      </c>
      <c r="B1030" s="3" t="s">
        <v>4387</v>
      </c>
      <c r="C1030" s="3" t="s">
        <v>4388</v>
      </c>
      <c r="D1030" s="3" t="s">
        <v>4389</v>
      </c>
      <c r="E1030" s="3" t="s">
        <v>4390</v>
      </c>
      <c r="F1030" s="3" t="s">
        <v>4391</v>
      </c>
      <c r="G1030" s="3" t="str">
        <f ca="1">IFERROR(__xludf.DUMMYFUNCTION("googletranslate(D1030,""en"",""ja"")"),"補体因子 H 関連 1;補体因子H関連タンパク質1; FHL-1; FHR-1; H因子様タンパク質1; H-ファクターのような 1")</f>
        <v>補体因子 H 関連 1;補体因子H関連タンパク質1; FHL-1; FHR-1; H因子様タンパク質1; H-ファクターのような 1</v>
      </c>
      <c r="H1030" s="3" t="str">
        <f ca="1">IFERROR(__xludf.DUMMYFUNCTION("googletranslate(E1030,""en"",""ja"")"),"生物学的標本中の補体因子 H 関連プロテイン 1 の測定。")</f>
        <v>生物学的標本中の補体因子 H 関連プロテイン 1 の測定。</v>
      </c>
      <c r="I1030" s="3" t="str">
        <f ca="1">IFERROR(__xludf.DUMMYFUNCTION("googletranslate(F1030,""en"",""ja"")"),"補体因子H関連プロテイン1の測定")</f>
        <v>補体因子H関連プロテイン1の測定</v>
      </c>
    </row>
    <row r="1031" spans="1:9" ht="30">
      <c r="A1031" s="3" t="s">
        <v>67</v>
      </c>
      <c r="B1031" s="3" t="s">
        <v>4392</v>
      </c>
      <c r="C1031" s="3" t="s">
        <v>4393</v>
      </c>
      <c r="D1031" s="3" t="s">
        <v>4393</v>
      </c>
      <c r="E1031" s="3" t="s">
        <v>4394</v>
      </c>
      <c r="F1031" s="3" t="s">
        <v>4395</v>
      </c>
      <c r="G1031" s="3" t="str">
        <f ca="1">IFERROR(__xludf.DUMMYFUNCTION("googletranslate(D1031,""en"",""ja"")"),"シトロバクター・フロインディ")</f>
        <v>シトロバクター・フロインディ</v>
      </c>
      <c r="H1031" s="3" t="str">
        <f ca="1">IFERROR(__xludf.DUMMYFUNCTION("googletranslate(E1031,""en"",""ja"")"),"生物学的標本中の Citrobacter freundi の測定。")</f>
        <v>生物学的標本中の Citrobacter freundi の測定。</v>
      </c>
      <c r="I1031" s="3" t="str">
        <f ca="1">IFERROR(__xludf.DUMMYFUNCTION("googletranslate(F1031,""en"",""ja"")"),"シトロバクター・フロインディの測定")</f>
        <v>シトロバクター・フロインディの測定</v>
      </c>
    </row>
    <row r="1032" spans="1:9" ht="45">
      <c r="A1032" s="3" t="s">
        <v>81</v>
      </c>
      <c r="B1032" s="3" t="s">
        <v>4396</v>
      </c>
      <c r="C1032" s="3" t="s">
        <v>4397</v>
      </c>
      <c r="D1032" s="3" t="s">
        <v>4397</v>
      </c>
      <c r="E1032" s="3" t="s">
        <v>4398</v>
      </c>
      <c r="F1032" s="3" t="s">
        <v>4399</v>
      </c>
      <c r="G1032" s="3" t="str">
        <f ca="1">IFERROR(__xludf.DUMMYFUNCTION("googletranslate(D1032,""en"",""ja"")"),"円周ひずみ")</f>
        <v>円周ひずみ</v>
      </c>
      <c r="H1032" s="3" t="str">
        <f ca="1">IFERROR(__xludf.DUMMYFUNCTION("googletranslate(E1032,""en"",""ja"")"),"短軸で見たときの、心室ま​​たは心房の周軸に沿った心筋の長さの変化の測定値。")</f>
        <v>短軸で見たときの、心室ま​​たは心房の周軸に沿った心筋の長さの変化の測定値。</v>
      </c>
      <c r="I1032" s="3" t="str">
        <f ca="1">IFERROR(__xludf.DUMMYFUNCTION("googletranslate(F1032,""en"",""ja"")"),"円周ひずみ測定")</f>
        <v>円周ひずみ測定</v>
      </c>
    </row>
    <row r="1033" spans="1:9" ht="30">
      <c r="A1033" s="3" t="s">
        <v>6</v>
      </c>
      <c r="B1033" s="3" t="s">
        <v>4400</v>
      </c>
      <c r="C1033" s="3" t="s">
        <v>4401</v>
      </c>
      <c r="D1033" s="3" t="s">
        <v>4401</v>
      </c>
      <c r="E1033" s="3" t="s">
        <v>4402</v>
      </c>
      <c r="F1033" s="3" t="s">
        <v>4403</v>
      </c>
      <c r="G1033" s="3" t="str">
        <f ca="1">IFERROR(__xludf.DUMMYFUNCTION("googletranslate(D1033,""en"",""ja"")"),"クロモグラニンA")</f>
        <v>クロモグラニンA</v>
      </c>
      <c r="H1033" s="3" t="str">
        <f ca="1">IFERROR(__xludf.DUMMYFUNCTION("googletranslate(E1033,""en"",""ja"")"),"生物学的標本中のクロモグラニン A の測定。")</f>
        <v>生物学的標本中のクロモグラニン A の測定。</v>
      </c>
      <c r="I1033" s="3" t="str">
        <f ca="1">IFERROR(__xludf.DUMMYFUNCTION("googletranslate(F1033,""en"",""ja"")"),"クロモグラニンAの測定")</f>
        <v>クロモグラニンAの測定</v>
      </c>
    </row>
    <row r="1034" spans="1:9" ht="60">
      <c r="A1034" s="3" t="s">
        <v>6</v>
      </c>
      <c r="B1034" s="3" t="s">
        <v>4404</v>
      </c>
      <c r="C1034" s="3" t="s">
        <v>4405</v>
      </c>
      <c r="D1034" s="3" t="s">
        <v>4406</v>
      </c>
      <c r="E1034" s="3" t="s">
        <v>4407</v>
      </c>
      <c r="F1034" s="3" t="s">
        <v>4408</v>
      </c>
      <c r="G1034" s="3" t="str">
        <f ca="1">IFERROR(__xludf.DUMMYFUNCTION("googletranslate(D1034,""en"",""ja"")"),"母体の体重に対する絨毛性ゴナドトロピン調整;母体の体重に合わせて調整された絨毛性ゴナドトロピン")</f>
        <v>母体の体重に対する絨毛性ゴナドトロピン調整;母体の体重に合わせて調整された絨毛性ゴナドトロピン</v>
      </c>
      <c r="H1034" s="3" t="str">
        <f ca="1">IFERROR(__xludf.DUMMYFUNCTION("googletranslate(E1034,""en"",""ja"")"),"生物学的標本中の母体の体重に合わせて調整された絨毛性ゴナドトロピンの測定。")</f>
        <v>生物学的標本中の母体の体重に合わせて調整された絨毛性ゴナドトロピンの測定。</v>
      </c>
      <c r="I1034" s="3" t="str">
        <f ca="1">IFERROR(__xludf.DUMMYFUNCTION("googletranslate(F1034,""en"",""ja"")"),"母体の体重測定用に調整された絨毛性ゴナドトロピン")</f>
        <v>母体の体重測定用に調整された絨毛性ゴナドトロピン</v>
      </c>
    </row>
    <row r="1035" spans="1:9" ht="30">
      <c r="A1035" s="3" t="s">
        <v>67</v>
      </c>
      <c r="B1035" s="3" t="s">
        <v>4409</v>
      </c>
      <c r="C1035" s="3" t="s">
        <v>4410</v>
      </c>
      <c r="D1035" s="3" t="s">
        <v>4410</v>
      </c>
      <c r="E1035" s="3" t="s">
        <v>4411</v>
      </c>
      <c r="F1035" s="3" t="s">
        <v>4412</v>
      </c>
      <c r="G1035" s="3" t="str">
        <f ca="1">IFERROR(__xludf.DUMMYFUNCTION("googletranslate(D1035,""en"",""ja"")"),"カンジダ・グラブラタ")</f>
        <v>カンジダ・グラブラタ</v>
      </c>
      <c r="H1035" s="3" t="str">
        <f ca="1">IFERROR(__xludf.DUMMYFUNCTION("googletranslate(E1035,""en"",""ja"")"),"生物学的標本中のカンジダ グラブラタの測定。")</f>
        <v>生物学的標本中のカンジダ グラブラタの測定。</v>
      </c>
      <c r="I1035" s="3" t="str">
        <f ca="1">IFERROR(__xludf.DUMMYFUNCTION("googletranslate(F1035,""en"",""ja"")"),"カンジダ グラブラタの測定")</f>
        <v>カンジダ グラブラタの測定</v>
      </c>
    </row>
    <row r="1036" spans="1:9" ht="30">
      <c r="A1036" s="3" t="s">
        <v>6</v>
      </c>
      <c r="B1036" s="3" t="s">
        <v>4413</v>
      </c>
      <c r="C1036" s="3" t="s">
        <v>4414</v>
      </c>
      <c r="D1036" s="3" t="s">
        <v>4414</v>
      </c>
      <c r="E1036" s="3" t="s">
        <v>4415</v>
      </c>
      <c r="F1036" s="3" t="s">
        <v>4416</v>
      </c>
      <c r="G1036" s="3" t="str">
        <f ca="1">IFERROR(__xludf.DUMMYFUNCTION("googletranslate(D1036,""en"",""ja"")"),"環状グアノシン一リン酸")</f>
        <v>環状グアノシン一リン酸</v>
      </c>
      <c r="H1036" s="3" t="str">
        <f ca="1">IFERROR(__xludf.DUMMYFUNCTION("googletranslate(E1036,""en"",""ja"")"),"生物学的標本中の環状グアノシン 3,5-一リン酸の測定。")</f>
        <v>生物学的標本中の環状グアノシン 3,5-一リン酸の測定。</v>
      </c>
      <c r="I1036" s="3" t="str">
        <f ca="1">IFERROR(__xludf.DUMMYFUNCTION("googletranslate(F1036,""en"",""ja"")"),"環状グアノシン一リン酸の測定")</f>
        <v>環状グアノシン一リン酸の測定</v>
      </c>
    </row>
    <row r="1037" spans="1:9" ht="30">
      <c r="A1037" s="3" t="s">
        <v>6</v>
      </c>
      <c r="B1037" s="3" t="s">
        <v>4417</v>
      </c>
      <c r="C1037" s="3" t="s">
        <v>4418</v>
      </c>
      <c r="D1037" s="3" t="s">
        <v>4419</v>
      </c>
      <c r="E1037" s="3" t="s">
        <v>4420</v>
      </c>
      <c r="F1037" s="3" t="s">
        <v>4421</v>
      </c>
      <c r="G1037" s="3" t="str">
        <f ca="1">IFERROR(__xludf.DUMMYFUNCTION("googletranslate(D1037,""en"",""ja"")"),"CH100; CH100を補完します。総溶血性補体 CH100")</f>
        <v>CH100; CH100を補完します。総溶血性補体 CH100</v>
      </c>
      <c r="H1037" s="3" t="str">
        <f ca="1">IFERROR(__xludf.DUMMYFUNCTION("googletranslate(E1037,""en"",""ja"")"),"生物学的標本中の赤血球を 100% 溶解するのに必要な補体の測定値。")</f>
        <v>生物学的標本中の赤血球を 100% 溶解するのに必要な補体の測定値。</v>
      </c>
      <c r="I1037" s="3" t="str">
        <f ca="1">IFERROR(__xludf.DUMMYFUNCTION("googletranslate(F1037,""en"",""ja"")"),"補体CH100測定")</f>
        <v>補体CH100測定</v>
      </c>
    </row>
    <row r="1038" spans="1:9" ht="30">
      <c r="A1038" s="3" t="s">
        <v>6</v>
      </c>
      <c r="B1038" s="3" t="s">
        <v>4422</v>
      </c>
      <c r="C1038" s="3" t="s">
        <v>4423</v>
      </c>
      <c r="D1038" s="3" t="s">
        <v>4424</v>
      </c>
      <c r="E1038" s="3" t="s">
        <v>4425</v>
      </c>
      <c r="F1038" s="3" t="s">
        <v>4426</v>
      </c>
      <c r="G1038" s="3" t="str">
        <f ca="1">IFERROR(__xludf.DUMMYFUNCTION("googletranslate(D1038,""en"",""ja"")"),"CH50;補体CH50;総溶血性補体 CH50")</f>
        <v>CH50;補体CH50;総溶血性補体 CH50</v>
      </c>
      <c r="H1038" s="3" t="str">
        <f ca="1">IFERROR(__xludf.DUMMYFUNCTION("googletranslate(E1038,""en"",""ja"")"),"生物学的標本中の赤血球の 50 パーセントを溶解するのに必要な補体の測定値。")</f>
        <v>生物学的標本中の赤血球の 50 パーセントを溶解するのに必要な補体の測定値。</v>
      </c>
      <c r="I1038" s="3" t="str">
        <f ca="1">IFERROR(__xludf.DUMMYFUNCTION("googletranslate(F1038,""en"",""ja"")"),"CH50測定")</f>
        <v>CH50測定</v>
      </c>
    </row>
    <row r="1039" spans="1:9" ht="75">
      <c r="A1039" s="3" t="s">
        <v>1255</v>
      </c>
      <c r="B1039" s="3" t="s">
        <v>4427</v>
      </c>
      <c r="C1039" s="3" t="s">
        <v>4428</v>
      </c>
      <c r="D1039" s="3" t="s">
        <v>4428</v>
      </c>
      <c r="E1039" s="3" t="s">
        <v>4429</v>
      </c>
      <c r="F1039" s="3" t="s">
        <v>4428</v>
      </c>
      <c r="G1039" s="3" t="str">
        <f ca="1">IFERROR(__xludf.DUMMYFUNCTION("googletranslate(D1039,""en"",""ja"")"),"チェッカーボードの正方形のサイズ")</f>
        <v>チェッカーボードの正方形のサイズ</v>
      </c>
      <c r="H1039" s="3" t="str">
        <f ca="1">IFERROR(__xludf.DUMMYFUNCTION("googletranslate(E1039,""en"",""ja"")"),"0.5 秒 (またはその他の指定された周波数) ごとに反転する市松模様のパターンを使用する視覚刺激。チェック サイズを変更して、視覚経路の特定のセグメントをテストできるようにすることができます。")</f>
        <v>0.5 秒 (またはその他の指定された周波数) ごとに反転する市松模様のパターンを使用する視覚刺激。チェック サイズを変更して、視覚経路の特定のセグメントをテストできるようにすることができます。</v>
      </c>
      <c r="I1039" s="3" t="str">
        <f ca="1">IFERROR(__xludf.DUMMYFUNCTION("googletranslate(F1039,""en"",""ja"")"),"チェッカーボードの正方形のサイズ")</f>
        <v>チェッカーボードの正方形のサイズ</v>
      </c>
    </row>
    <row r="1040" spans="1:9" ht="45">
      <c r="A1040" s="3" t="s">
        <v>6</v>
      </c>
      <c r="B1040" s="3" t="s">
        <v>4430</v>
      </c>
      <c r="C1040" s="3" t="s">
        <v>4431</v>
      </c>
      <c r="D1040" s="3" t="s">
        <v>4431</v>
      </c>
      <c r="E1040" s="3" t="s">
        <v>4432</v>
      </c>
      <c r="F1040" s="3" t="s">
        <v>4433</v>
      </c>
      <c r="G1040" s="3" t="str">
        <f ca="1">IFERROR(__xludf.DUMMYFUNCTION("googletranslate(D1040,""en"",""ja"")"),"微粒子 HGB 濃度の平均")</f>
        <v>微粒子 HGB 濃度の平均</v>
      </c>
      <c r="H1040" s="3" t="str">
        <f ca="1">IFERROR(__xludf.DUMMYFUNCTION("googletranslate(E1040,""en"",""ja"")"),"生物学的標本の個々の赤血球内のヘモグロビン濃度の直接測定。平均値として報告されます。")</f>
        <v>生物学的標本の個々の赤血球内のヘモグロビン濃度の直接測定。平均値として報告されます。</v>
      </c>
      <c r="I1040" s="3" t="str">
        <f ca="1">IFERROR(__xludf.DUMMYFUNCTION("googletranslate(F1040,""en"",""ja"")"),"赤血球ヘモグロビン濃度の平均値")</f>
        <v>赤血球ヘモグロビン濃度の平均値</v>
      </c>
    </row>
    <row r="1041" spans="1:9" ht="45">
      <c r="A1041" s="3" t="s">
        <v>6</v>
      </c>
      <c r="B1041" s="3" t="s">
        <v>4434</v>
      </c>
      <c r="C1041" s="3" t="s">
        <v>4435</v>
      </c>
      <c r="D1041" s="3" t="s">
        <v>4436</v>
      </c>
      <c r="E1041" s="3" t="s">
        <v>4437</v>
      </c>
      <c r="F1041" s="3" t="s">
        <v>4438</v>
      </c>
      <c r="G1041" s="3" t="str">
        <f ca="1">IFERROR(__xludf.DUMMYFUNCTION("googletranslate(D1041,""en"",""ja"")"),"レット。微粒子 HGB 濃度の平均値;網赤血球赤血球ヘモグロビン濃度の平均値")</f>
        <v>レット。微粒子 HGB 濃度の平均値;網赤血球赤血球ヘモグロビン濃度の平均値</v>
      </c>
      <c r="H1041" s="3" t="str">
        <f ca="1">IFERROR(__xludf.DUMMYFUNCTION("googletranslate(E1041,""en"",""ja"")"),"ヘモグロビンとヘマトクリットの比として計算される、生物学的標本中の網状赤血球あたりのヘモグロビンの平均濃度の間接的な測定。")</f>
        <v>ヘモグロビンとヘマトクリットの比として計算される、生物学的標本中の網状赤血球あたりのヘモグロビンの平均濃度の間接的な測定。</v>
      </c>
      <c r="I1041" s="3" t="str">
        <f ca="1">IFERROR(__xludf.DUMMYFUNCTION("googletranslate(F1041,""en"",""ja"")"),"網赤血球赤血球ヘモグロビン濃度の平均値")</f>
        <v>網赤血球赤血球ヘモグロビン濃度の平均値</v>
      </c>
    </row>
    <row r="1042" spans="1:9" ht="45">
      <c r="A1042" s="3" t="s">
        <v>6</v>
      </c>
      <c r="B1042" s="3" t="s">
        <v>4439</v>
      </c>
      <c r="C1042" s="3" t="s">
        <v>4440</v>
      </c>
      <c r="D1042" s="3" t="s">
        <v>4441</v>
      </c>
      <c r="E1042" s="3" t="s">
        <v>4442</v>
      </c>
      <c r="F1042" s="3" t="s">
        <v>4440</v>
      </c>
      <c r="G1042" s="3" t="str">
        <f ca="1">IFERROR(__xludf.DUMMYFUNCTION("googletranslate(D1042,""en"",""ja"")"),"細胞のヘモグロビン含有量; CH;赤血球ヘモグロビン含有量")</f>
        <v>細胞のヘモグロビン含有量; CH;赤血球ヘモグロビン含有量</v>
      </c>
      <c r="H1042" s="3" t="str">
        <f ca="1">IFERROR(__xludf.DUMMYFUNCTION("googletranslate(E1042,""en"",""ja"")"),"個々の赤血球内の平均赤血球ヘモグロビン含有量の測定値。細胞体積と細胞ヘモグロビン濃度の積として計算されます。")</f>
        <v>個々の赤血球内の平均赤血球ヘモグロビン含有量の測定値。細胞体積と細胞ヘモグロビン濃度の積として計算されます。</v>
      </c>
      <c r="I1042" s="3" t="str">
        <f ca="1">IFERROR(__xludf.DUMMYFUNCTION("googletranslate(F1042,""en"",""ja"")"),"赤血球ヘモグロビン含有量")</f>
        <v>赤血球ヘモグロビン含有量</v>
      </c>
    </row>
    <row r="1043" spans="1:9" ht="30">
      <c r="A1043" s="3" t="s">
        <v>6</v>
      </c>
      <c r="B1043" s="3" t="s">
        <v>4443</v>
      </c>
      <c r="C1043" s="3" t="s">
        <v>4444</v>
      </c>
      <c r="D1043" s="3" t="s">
        <v>4444</v>
      </c>
      <c r="E1043" s="3" t="s">
        <v>4445</v>
      </c>
      <c r="F1043" s="3" t="s">
        <v>4446</v>
      </c>
      <c r="G1043" s="3" t="str">
        <f ca="1">IFERROR(__xludf.DUMMYFUNCTION("googletranslate(D1043,""en"",""ja"")"),"7α,25-ジヒドロキシコレステロール")</f>
        <v>7α,25-ジヒドロキシコレステロール</v>
      </c>
      <c r="H1043" s="3" t="str">
        <f ca="1">IFERROR(__xludf.DUMMYFUNCTION("googletranslate(E1043,""en"",""ja"")"),"生物学的標本中の 7α,25-ジヒドロキシコレステロールの測定。")</f>
        <v>生物学的標本中の 7α,25-ジヒドロキシコレステロールの測定。</v>
      </c>
      <c r="I1043" s="3" t="str">
        <f ca="1">IFERROR(__xludf.DUMMYFUNCTION("googletranslate(F1043,""en"",""ja"")"),"7α,25-ジヒドロキシコレステロールの測定")</f>
        <v>7α,25-ジヒドロキシコレステロールの測定</v>
      </c>
    </row>
    <row r="1044" spans="1:9" ht="30">
      <c r="A1044" s="3" t="s">
        <v>6</v>
      </c>
      <c r="B1044" s="3" t="s">
        <v>4447</v>
      </c>
      <c r="C1044" s="3" t="s">
        <v>4448</v>
      </c>
      <c r="D1044" s="3" t="s">
        <v>4448</v>
      </c>
      <c r="E1044" s="3" t="s">
        <v>4449</v>
      </c>
      <c r="F1044" s="3" t="s">
        <v>4450</v>
      </c>
      <c r="G1044" s="3" t="str">
        <f ca="1">IFERROR(__xludf.DUMMYFUNCTION("googletranslate(D1044,""en"",""ja"")"),"7α,27-ジヒドロキシコレステロール")</f>
        <v>7α,27-ジヒドロキシコレステロール</v>
      </c>
      <c r="H1044" s="3" t="str">
        <f ca="1">IFERROR(__xludf.DUMMYFUNCTION("googletranslate(E1044,""en"",""ja"")"),"生物学的標本中の 7α,27-ジヒドロキシコレステロールの測定。")</f>
        <v>生物学的標本中の 7α,27-ジヒドロキシコレステロールの測定。</v>
      </c>
      <c r="I1044" s="3" t="str">
        <f ca="1">IFERROR(__xludf.DUMMYFUNCTION("googletranslate(F1044,""en"",""ja"")"),"7α,27-ジヒドロキシコレステロールの測定")</f>
        <v>7α,27-ジヒドロキシコレステロールの測定</v>
      </c>
    </row>
    <row r="1045" spans="1:9" ht="60">
      <c r="A1045" s="3" t="s">
        <v>6</v>
      </c>
      <c r="B1045" s="3" t="s">
        <v>4451</v>
      </c>
      <c r="C1045" s="3" t="s">
        <v>4452</v>
      </c>
      <c r="D1045" s="3" t="s">
        <v>4453</v>
      </c>
      <c r="E1045" s="3" t="s">
        <v>4454</v>
      </c>
      <c r="F1045" s="3" t="s">
        <v>4455</v>
      </c>
      <c r="G1045" s="3" t="str">
        <f ca="1">IFERROR(__xludf.DUMMYFUNCTION("googletranslate(D1045,""en"",""ja"")"),"赤血球ヘモグロビン濃度分布幅;微粒子 HGB 濃度分布幅")</f>
        <v>赤血球ヘモグロビン濃度分布幅;微粒子 HGB 濃度分布幅</v>
      </c>
      <c r="H1045" s="3" t="str">
        <f ca="1">IFERROR(__xludf.DUMMYFUNCTION("googletranslate(E1045,""en"",""ja"")"),"生物学的標本中の赤血球のヘモグロビン濃度の標準偏差の測定値。ヘモグロビン含有量の標準偏差を平均ヘモグロビン含有量で割ったものとして計算されます。")</f>
        <v>生物学的標本中の赤血球のヘモグロビン濃度の標準偏差の測定値。ヘモグロビン含有量の標準偏差を平均ヘモグロビン含有量で割ったものとして計算されます。</v>
      </c>
      <c r="I1045" s="3" t="str">
        <f ca="1">IFERROR(__xludf.DUMMYFUNCTION("googletranslate(F1045,""en"",""ja"")"),"赤血球ヘモグロビン濃度分布幅")</f>
        <v>赤血球ヘモグロビン濃度分布幅</v>
      </c>
    </row>
    <row r="1046" spans="1:9" ht="60">
      <c r="A1046" s="3" t="s">
        <v>6</v>
      </c>
      <c r="B1046" s="3" t="s">
        <v>4456</v>
      </c>
      <c r="C1046" s="3" t="s">
        <v>4457</v>
      </c>
      <c r="D1046" s="3" t="s">
        <v>4458</v>
      </c>
      <c r="E1046" s="3" t="s">
        <v>4459</v>
      </c>
      <c r="F1046" s="3" t="s">
        <v>4460</v>
      </c>
      <c r="G1046" s="3" t="str">
        <f ca="1">IFERROR(__xludf.DUMMYFUNCTION("googletranslate(D1046,""en"",""ja"")"),"Ret 微粒子 HGB Conc 分布幅;網赤血球赤血球ヘモグロビン分布幅")</f>
        <v>Ret 微粒子 HGB Conc 分布幅;網赤血球赤血球ヘモグロビン分布幅</v>
      </c>
      <c r="H1046" s="3" t="str">
        <f ca="1">IFERROR(__xludf.DUMMYFUNCTION("googletranslate(E1046,""en"",""ja"")"),"生体試料中の網赤血球のヘモグロビン濃度の標準偏差の測定値。ヘモグロビン含有量の標準偏差を平均ヘモグロビン含有量で割ったものとして計算されます。")</f>
        <v>生体試料中の網赤血球のヘモグロビン濃度の標準偏差の測定値。ヘモグロビン含有量の標準偏差を平均ヘモグロビン含有量で割ったものとして計算されます。</v>
      </c>
      <c r="I1046" s="3" t="str">
        <f ca="1">IFERROR(__xludf.DUMMYFUNCTION("googletranslate(F1046,""en"",""ja"")"),"網赤血球赤血球ヘモグロビン分布幅")</f>
        <v>網赤血球赤血球ヘモグロビン分布幅</v>
      </c>
    </row>
    <row r="1047" spans="1:9" ht="30">
      <c r="A1047" s="3" t="s">
        <v>6</v>
      </c>
      <c r="B1047" s="3" t="s">
        <v>4461</v>
      </c>
      <c r="C1047" s="3" t="s">
        <v>4462</v>
      </c>
      <c r="D1047" s="3" t="s">
        <v>4462</v>
      </c>
      <c r="E1047" s="3" t="s">
        <v>4463</v>
      </c>
      <c r="F1047" s="3" t="s">
        <v>4464</v>
      </c>
      <c r="G1047" s="3" t="str">
        <f ca="1">IFERROR(__xludf.DUMMYFUNCTION("googletranslate(D1047,""en"",""ja"")"),"24(S),25-エポキシコレステロール")</f>
        <v>24(S),25-エポキシコレステロール</v>
      </c>
      <c r="H1047" s="3" t="str">
        <f ca="1">IFERROR(__xludf.DUMMYFUNCTION("googletranslate(E1047,""en"",""ja"")"),"生物学的標本中の 24(S),25-エポキシコレステロールの測定。")</f>
        <v>生物学的標本中の 24(S),25-エポキシコレステロールの測定。</v>
      </c>
      <c r="I1047" s="3" t="str">
        <f ca="1">IFERROR(__xludf.DUMMYFUNCTION("googletranslate(F1047,""en"",""ja"")"),"24(S),25-エポキシコレステロール測定")</f>
        <v>24(S),25-エポキシコレステロール測定</v>
      </c>
    </row>
    <row r="1048" spans="1:9">
      <c r="A1048" s="3" t="s">
        <v>118</v>
      </c>
      <c r="B1048" s="3" t="s">
        <v>4465</v>
      </c>
      <c r="C1048" s="3" t="s">
        <v>4466</v>
      </c>
      <c r="D1048" s="3" t="s">
        <v>4466</v>
      </c>
      <c r="E1048" s="3" t="s">
        <v>4467</v>
      </c>
      <c r="F1048" s="3" t="s">
        <v>4466</v>
      </c>
      <c r="G1048" s="3" t="str">
        <f ca="1">IFERROR(__xludf.DUMMYFUNCTION("googletranslate(D1048,""en"",""ja"")"),"胸囲")</f>
        <v>胸囲</v>
      </c>
      <c r="H1048" s="3" t="str">
        <f ca="1">IFERROR(__xludf.DUMMYFUNCTION("googletranslate(E1048,""en"",""ja"")"),"個人の胸の周りの距離。")</f>
        <v>個人の胸の周りの距離。</v>
      </c>
      <c r="I1048" s="3" t="str">
        <f ca="1">IFERROR(__xludf.DUMMYFUNCTION("googletranslate(F1048,""en"",""ja"")"),"胸囲")</f>
        <v>胸囲</v>
      </c>
    </row>
    <row r="1049" spans="1:9" ht="30">
      <c r="A1049" s="3" t="s">
        <v>142</v>
      </c>
      <c r="B1049" s="3" t="s">
        <v>4468</v>
      </c>
      <c r="C1049" s="3" t="s">
        <v>4469</v>
      </c>
      <c r="D1049" s="3" t="s">
        <v>4469</v>
      </c>
      <c r="E1049" s="3" t="s">
        <v>4470</v>
      </c>
      <c r="F1049" s="3" t="s">
        <v>4469</v>
      </c>
      <c r="G1049" s="3" t="str">
        <f ca="1">IFERROR(__xludf.DUMMYFUNCTION("googletranslate(D1049,""en"",""ja"")"),"出産の可能性")</f>
        <v>出産の可能性</v>
      </c>
      <c r="H1049" s="3" t="str">
        <f ca="1">IFERROR(__xludf.DUMMYFUNCTION("googletranslate(E1049,""en"",""ja"")"),"女性被験者が妊娠する可能性があるかどうかに関する指標。 (NCI)")</f>
        <v>女性被験者が妊娠する可能性があるかどうかに関する指標。 (NCI)</v>
      </c>
      <c r="I1049" s="3" t="str">
        <f ca="1">IFERROR(__xludf.DUMMYFUNCTION("googletranslate(F1049,""en"",""ja"")"),"出産の可能性")</f>
        <v>出産の可能性</v>
      </c>
    </row>
    <row r="1050" spans="1:9" ht="30">
      <c r="A1050" s="3" t="s">
        <v>6</v>
      </c>
      <c r="B1050" s="3" t="s">
        <v>4471</v>
      </c>
      <c r="C1050" s="3" t="s">
        <v>4472</v>
      </c>
      <c r="D1050" s="3" t="s">
        <v>4473</v>
      </c>
      <c r="E1050" s="3" t="s">
        <v>4474</v>
      </c>
      <c r="F1050" s="3" t="s">
        <v>4475</v>
      </c>
      <c r="G1050" s="3" t="str">
        <f ca="1">IFERROR(__xludf.DUMMYFUNCTION("googletranslate(D1050,""en"",""ja"")"),"キチナーゼ 1;キトトリオシダーゼ;キトトリオシダーゼ-1")</f>
        <v>キチナーゼ 1;キトトリオシダーゼ;キトトリオシダーゼ-1</v>
      </c>
      <c r="H1050" s="3" t="str">
        <f ca="1">IFERROR(__xludf.DUMMYFUNCTION("googletranslate(E1050,""en"",""ja"")"),"生物学的標本中のキトトリオシダーゼ-1の測定。")</f>
        <v>生物学的標本中のキトトリオシダーゼ-1の測定。</v>
      </c>
      <c r="I1050" s="3" t="str">
        <f ca="1">IFERROR(__xludf.DUMMYFUNCTION("googletranslate(F1050,""en"",""ja"")"),"キトトリオシダーゼ-1の測定")</f>
        <v>キトトリオシダーゼ-1の測定</v>
      </c>
    </row>
    <row r="1051" spans="1:9" ht="30">
      <c r="A1051" s="3" t="s">
        <v>67</v>
      </c>
      <c r="B1051" s="3" t="s">
        <v>4476</v>
      </c>
      <c r="C1051" s="3" t="s">
        <v>4477</v>
      </c>
      <c r="D1051" s="3" t="s">
        <v>4477</v>
      </c>
      <c r="E1051" s="3" t="s">
        <v>4478</v>
      </c>
      <c r="F1051" s="3" t="s">
        <v>4479</v>
      </c>
      <c r="G1051" s="3" t="str">
        <f ca="1">IFERROR(__xludf.DUMMYFUNCTION("googletranslate(D1051,""en"",""ja"")"),"チクングニアウイルスRNA")</f>
        <v>チクングニアウイルスRNA</v>
      </c>
      <c r="H1051" s="3" t="str">
        <f ca="1">IFERROR(__xludf.DUMMYFUNCTION("googletranslate(E1051,""en"",""ja"")"),"生物学的標本中のチクングニアウイルス RNA の測定。")</f>
        <v>生物学的標本中のチクングニアウイルス RNA の測定。</v>
      </c>
      <c r="I1051" s="3" t="str">
        <f ca="1">IFERROR(__xludf.DUMMYFUNCTION("googletranslate(F1051,""en"",""ja"")"),"チクングニアウイルスRNA測定")</f>
        <v>チクングニアウイルスRNA測定</v>
      </c>
    </row>
    <row r="1052" spans="1:9" ht="45">
      <c r="A1052" s="3" t="s">
        <v>67</v>
      </c>
      <c r="B1052" s="3" t="s">
        <v>4480</v>
      </c>
      <c r="C1052" s="3" t="s">
        <v>4481</v>
      </c>
      <c r="D1052" s="3" t="s">
        <v>4481</v>
      </c>
      <c r="E1052" s="3" t="s">
        <v>4482</v>
      </c>
      <c r="F1052" s="3" t="s">
        <v>4483</v>
      </c>
      <c r="G1052" s="3" t="str">
        <f ca="1">IFERROR(__xludf.DUMMYFUNCTION("googletranslate(D1052,""en"",""ja"")"),"クラミジア")</f>
        <v>クラミジア</v>
      </c>
      <c r="H1052" s="3" t="str">
        <f ca="1">IFERROR(__xludf.DUMMYFUNCTION("googletranslate(E1052,""en"",""ja"")"),"生物学的標本において、種レベルには割り当てられていないが、クラミジア属レベルに割り当てられている生物の測定値。")</f>
        <v>生物学的標本において、種レベルには割り当てられていないが、クラミジア属レベルに割り当てられている生物の測定値。</v>
      </c>
      <c r="I1052" s="3" t="str">
        <f ca="1">IFERROR(__xludf.DUMMYFUNCTION("googletranslate(F1052,""en"",""ja"")"),"クラミジアの測定")</f>
        <v>クラミジアの測定</v>
      </c>
    </row>
    <row r="1053" spans="1:9" ht="30">
      <c r="A1053" s="3" t="s">
        <v>503</v>
      </c>
      <c r="B1053" s="3" t="s">
        <v>4484</v>
      </c>
      <c r="C1053" s="3" t="s">
        <v>4485</v>
      </c>
      <c r="D1053" s="3" t="s">
        <v>4485</v>
      </c>
      <c r="E1053" s="3" t="s">
        <v>4486</v>
      </c>
      <c r="F1053" s="3" t="s">
        <v>4485</v>
      </c>
      <c r="G1053" s="3" t="str">
        <f ca="1">IFERROR(__xludf.DUMMYFUNCTION("googletranslate(D1053,""en"",""ja"")"),"世帯内の子供の数")</f>
        <v>世帯内の子供の数</v>
      </c>
      <c r="H1053" s="3" t="str">
        <f ca="1">IFERROR(__xludf.DUMMYFUNCTION("googletranslate(E1053,""en"",""ja"")"),"世帯に住んでいる子供の数（新生児を含む）。")</f>
        <v>世帯に住んでいる子供の数（新生児を含む）。</v>
      </c>
      <c r="I1053" s="3" t="str">
        <f ca="1">IFERROR(__xludf.DUMMYFUNCTION("googletranslate(F1053,""en"",""ja"")"),"世帯内の子供の数")</f>
        <v>世帯内の子供の数</v>
      </c>
    </row>
    <row r="1054" spans="1:9">
      <c r="A1054" s="3" t="s">
        <v>6</v>
      </c>
      <c r="B1054" s="3" t="s">
        <v>4487</v>
      </c>
      <c r="C1054" s="3" t="s">
        <v>4488</v>
      </c>
      <c r="D1054" s="3" t="s">
        <v>4488</v>
      </c>
      <c r="E1054" s="3" t="s">
        <v>4489</v>
      </c>
      <c r="F1054" s="3" t="s">
        <v>4490</v>
      </c>
      <c r="G1054" s="3" t="str">
        <f ca="1">IFERROR(__xludf.DUMMYFUNCTION("googletranslate(D1054,""en"",""ja"")"),"カイロミクロン")</f>
        <v>カイロミクロン</v>
      </c>
      <c r="H1054" s="3" t="str">
        <f ca="1">IFERROR(__xludf.DUMMYFUNCTION("googletranslate(E1054,""en"",""ja"")"),"生物学的標本中のカイロミクロンの測定。")</f>
        <v>生物学的標本中のカイロミクロンの測定。</v>
      </c>
      <c r="I1054" s="3" t="str">
        <f ca="1">IFERROR(__xludf.DUMMYFUNCTION("googletranslate(F1054,""en"",""ja"")"),"カイロミクロン測定")</f>
        <v>カイロミクロン測定</v>
      </c>
    </row>
    <row r="1055" spans="1:9" ht="30">
      <c r="A1055" s="3" t="s">
        <v>6</v>
      </c>
      <c r="B1055" s="3" t="s">
        <v>4491</v>
      </c>
      <c r="C1055" s="3" t="s">
        <v>4492</v>
      </c>
      <c r="D1055" s="3" t="s">
        <v>4492</v>
      </c>
      <c r="E1055" s="3" t="s">
        <v>4493</v>
      </c>
      <c r="F1055" s="3" t="s">
        <v>4494</v>
      </c>
      <c r="G1055" s="3" t="str">
        <f ca="1">IFERROR(__xludf.DUMMYFUNCTION("googletranslate(D1055,""en"",""ja"")"),"カイロミクロントリグリセリド")</f>
        <v>カイロミクロントリグリセリド</v>
      </c>
      <c r="H1055" s="3" t="str">
        <f ca="1">IFERROR(__xludf.DUMMYFUNCTION("googletranslate(E1055,""en"",""ja"")"),"生物学的標本中のカイロミクロン トリグリセリドの測定。")</f>
        <v>生物学的標本中のカイロミクロン トリグリセリドの測定。</v>
      </c>
      <c r="I1055" s="3" t="str">
        <f ca="1">IFERROR(__xludf.DUMMYFUNCTION("googletranslate(F1055,""en"",""ja"")"),"カイロミクロントリグリセリド測定")</f>
        <v>カイロミクロントリグリセリド測定</v>
      </c>
    </row>
    <row r="1056" spans="1:9" ht="45">
      <c r="A1056" s="3" t="s">
        <v>6</v>
      </c>
      <c r="B1056" s="3" t="s">
        <v>4495</v>
      </c>
      <c r="C1056" s="3" t="s">
        <v>4496</v>
      </c>
      <c r="D1056" s="3" t="s">
        <v>4497</v>
      </c>
      <c r="E1056" s="3" t="s">
        <v>4498</v>
      </c>
      <c r="F1056" s="3" t="s">
        <v>4499</v>
      </c>
      <c r="G1056" s="3" t="str">
        <f ca="1">IFERROR(__xludf.DUMMYFUNCTION("googletranslate(D1056,""en"",""ja"")"),"水和クロラール;ミッキー・フィン。トリクロロアセトアルデヒド一水和物")</f>
        <v>水和クロラール;ミッキー・フィン。トリクロロアセトアルデヒド一水和物</v>
      </c>
      <c r="H1056" s="3" t="str">
        <f ca="1">IFERROR(__xludf.DUMMYFUNCTION("googletranslate(E1056,""en"",""ja"")"),"生体試料中の抱水クロラールの測定。")</f>
        <v>生体試料中の抱水クロラールの測定。</v>
      </c>
      <c r="I1056" s="3" t="str">
        <f ca="1">IFERROR(__xludf.DUMMYFUNCTION("googletranslate(F1056,""en"",""ja"")"),"抱水クロラールの測定")</f>
        <v>抱水クロラールの測定</v>
      </c>
    </row>
    <row r="1057" spans="1:9" ht="30">
      <c r="A1057" s="3" t="s">
        <v>6</v>
      </c>
      <c r="B1057" s="3" t="s">
        <v>4500</v>
      </c>
      <c r="C1057" s="3" t="s">
        <v>4501</v>
      </c>
      <c r="D1057" s="3" t="s">
        <v>4501</v>
      </c>
      <c r="E1057" s="3" t="s">
        <v>4502</v>
      </c>
      <c r="F1057" s="3" t="s">
        <v>4503</v>
      </c>
      <c r="G1057" s="3" t="str">
        <f ca="1">IFERROR(__xludf.DUMMYFUNCTION("googletranslate(D1057,""en"",""ja"")"),"クロルプロマジン")</f>
        <v>クロルプロマジン</v>
      </c>
      <c r="H1057" s="3" t="str">
        <f ca="1">IFERROR(__xludf.DUMMYFUNCTION("googletranslate(E1057,""en"",""ja"")"),"生物学的標本中のクロルプロマジンの測定。")</f>
        <v>生物学的標本中のクロルプロマジンの測定。</v>
      </c>
      <c r="I1057" s="3" t="str">
        <f ca="1">IFERROR(__xludf.DUMMYFUNCTION("googletranslate(F1057,""en"",""ja"")"),"クロルプロマジンの測定")</f>
        <v>クロルプロマジンの測定</v>
      </c>
    </row>
    <row r="1058" spans="1:9" ht="30">
      <c r="A1058" s="3" t="s">
        <v>159</v>
      </c>
      <c r="B1058" s="3" t="s">
        <v>4504</v>
      </c>
      <c r="C1058" s="3" t="s">
        <v>4505</v>
      </c>
      <c r="D1058" s="3" t="s">
        <v>4505</v>
      </c>
      <c r="E1058" s="3" t="s">
        <v>4506</v>
      </c>
      <c r="F1058" s="3" t="s">
        <v>4507</v>
      </c>
      <c r="G1058" s="3" t="str">
        <f ca="1">IFERROR(__xludf.DUMMYFUNCTION("googletranslate(D1058,""en"",""ja"")"),"コリン/クレアチン")</f>
        <v>コリン/クレアチン</v>
      </c>
      <c r="H1058" s="3" t="str">
        <f ca="1">IFERROR(__xludf.DUMMYFUNCTION("googletranslate(E1058,""en"",""ja"")"),"生物学的標本中のクレアチンに対するコリンの相対測定値 (比)。")</f>
        <v>生物学的標本中のクレアチンに対するコリンの相対測定値 (比)。</v>
      </c>
      <c r="I1058" s="3" t="str">
        <f ca="1">IFERROR(__xludf.DUMMYFUNCTION("googletranslate(F1058,""en"",""ja"")"),"コリンとクレアチンの比率の測定")</f>
        <v>コリンとクレアチンの比率の測定</v>
      </c>
    </row>
    <row r="1059" spans="1:9" ht="30">
      <c r="A1059" s="3" t="s">
        <v>6</v>
      </c>
      <c r="B1059" s="3" t="s">
        <v>4508</v>
      </c>
      <c r="C1059" s="3" t="s">
        <v>4509</v>
      </c>
      <c r="D1059" s="3" t="s">
        <v>4510</v>
      </c>
      <c r="E1059" s="3" t="s">
        <v>4511</v>
      </c>
      <c r="F1059" s="3" t="s">
        <v>4512</v>
      </c>
      <c r="G1059" s="3" t="str">
        <f ca="1">IFERROR(__xludf.DUMMYFUNCTION("googletranslate(D1059,""en"",""ja"")"),"コレステロール;総コレステロール")</f>
        <v>コレステロール;総コレステロール</v>
      </c>
      <c r="H1059" s="3" t="str">
        <f ca="1">IFERROR(__xludf.DUMMYFUNCTION("googletranslate(E1059,""en"",""ja"")"),"生物学的標本中のコレステロールの測定。")</f>
        <v>生物学的標本中のコレステロールの測定。</v>
      </c>
      <c r="I1059" s="3" t="str">
        <f ca="1">IFERROR(__xludf.DUMMYFUNCTION("googletranslate(F1059,""en"",""ja"")"),"コレステロール測定")</f>
        <v>コレステロール測定</v>
      </c>
    </row>
    <row r="1060" spans="1:9">
      <c r="A1060" s="3" t="s">
        <v>6</v>
      </c>
      <c r="B1060" s="3" t="s">
        <v>4513</v>
      </c>
      <c r="C1060" s="3" t="s">
        <v>4514</v>
      </c>
      <c r="D1060" s="3" t="s">
        <v>4515</v>
      </c>
      <c r="E1060" s="3" t="s">
        <v>4516</v>
      </c>
      <c r="F1060" s="3" t="s">
        <v>4517</v>
      </c>
      <c r="G1060" s="3" t="str">
        <f ca="1">IFERROR(__xludf.DUMMYFUNCTION("googletranslate(D1060,""en"",""ja"")"),"コール酸塩;コール酸")</f>
        <v>コール酸塩;コール酸</v>
      </c>
      <c r="H1060" s="3" t="str">
        <f ca="1">IFERROR(__xludf.DUMMYFUNCTION("googletranslate(E1060,""en"",""ja"")"),"生物学的標本中のコール酸の測定。")</f>
        <v>生物学的標本中のコール酸の測定。</v>
      </c>
      <c r="I1060" s="3" t="str">
        <f ca="1">IFERROR(__xludf.DUMMYFUNCTION("googletranslate(F1060,""en"",""ja"")"),"コール酸塩の測定")</f>
        <v>コール酸塩の測定</v>
      </c>
    </row>
    <row r="1061" spans="1:9" ht="30">
      <c r="A1061" s="3" t="s">
        <v>6</v>
      </c>
      <c r="B1061" s="3" t="s">
        <v>4518</v>
      </c>
      <c r="C1061" s="3" t="s">
        <v>4519</v>
      </c>
      <c r="D1061" s="3" t="s">
        <v>4520</v>
      </c>
      <c r="E1061" s="3" t="s">
        <v>4521</v>
      </c>
      <c r="F1061" s="3" t="s">
        <v>4522</v>
      </c>
      <c r="G1061" s="3" t="str">
        <f ca="1">IFERROR(__xludf.DUMMYFUNCTION("googletranslate(D1061,""en"",""ja"")"),"コール酸塩化合物;コール酸化合物")</f>
        <v>コール酸塩化合物;コール酸化合物</v>
      </c>
      <c r="H1061" s="3" t="str">
        <f ca="1">IFERROR(__xludf.DUMMYFUNCTION("googletranslate(E1061,""en"",""ja"")"),"生物学的標本中のコール酸、グリココール酸、ヒオコール酸、およびタウロコール酸の測定。")</f>
        <v>生物学的標本中のコール酸、グリココール酸、ヒオコール酸、およびタウロコール酸の測定。</v>
      </c>
      <c r="I1061" s="3" t="str">
        <f ca="1">IFERROR(__xludf.DUMMYFUNCTION("googletranslate(F1061,""en"",""ja"")"),"コール酸塩化合物の測定")</f>
        <v>コール酸塩化合物の測定</v>
      </c>
    </row>
    <row r="1062" spans="1:9" ht="45">
      <c r="A1062" s="3" t="s">
        <v>6</v>
      </c>
      <c r="B1062" s="3" t="s">
        <v>4523</v>
      </c>
      <c r="C1062" s="3" t="s">
        <v>4524</v>
      </c>
      <c r="D1062" s="3" t="s">
        <v>4525</v>
      </c>
      <c r="E1062" s="3" t="s">
        <v>4526</v>
      </c>
      <c r="F1062" s="3" t="s">
        <v>4527</v>
      </c>
      <c r="G1062" s="3" t="str">
        <f ca="1">IFERROR(__xludf.DUMMYFUNCTION("googletranslate(D1062,""en"",""ja"")"),"20(S)-ヒドロキシコレステロール; 20-アルファ-ヒドロキシコレステロール")</f>
        <v>20(S)-ヒドロキシコレステロール; 20-アルファ-ヒドロキシコレステロール</v>
      </c>
      <c r="H1062" s="3" t="str">
        <f ca="1">IFERROR(__xludf.DUMMYFUNCTION("googletranslate(E1062,""en"",""ja"")"),"生物学的標本中の 20(S)-ヒドロキシコレステロールの測定。")</f>
        <v>生物学的標本中の 20(S)-ヒドロキシコレステロールの測定。</v>
      </c>
      <c r="I1062" s="3" t="str">
        <f ca="1">IFERROR(__xludf.DUMMYFUNCTION("googletranslate(F1062,""en"",""ja"")"),"20(S)-ヒドロキシコレステロール測定")</f>
        <v>20(S)-ヒドロキシコレステロール測定</v>
      </c>
    </row>
    <row r="1063" spans="1:9" ht="30">
      <c r="A1063" s="3" t="s">
        <v>6</v>
      </c>
      <c r="B1063" s="3" t="s">
        <v>4528</v>
      </c>
      <c r="C1063" s="3" t="s">
        <v>4529</v>
      </c>
      <c r="D1063" s="3" t="s">
        <v>4529</v>
      </c>
      <c r="E1063" s="3" t="s">
        <v>4530</v>
      </c>
      <c r="F1063" s="3" t="s">
        <v>4531</v>
      </c>
      <c r="G1063" s="3" t="str">
        <f ca="1">IFERROR(__xludf.DUMMYFUNCTION("googletranslate(D1063,""en"",""ja"")"),"22(R)-ヒドロキシコレステロール")</f>
        <v>22(R)-ヒドロキシコレステロール</v>
      </c>
      <c r="H1063" s="3" t="str">
        <f ca="1">IFERROR(__xludf.DUMMYFUNCTION("googletranslate(E1063,""en"",""ja"")"),"生物学的標本中の 22(R)-ヒドロキシコレステロールの測定。")</f>
        <v>生物学的標本中の 22(R)-ヒドロキシコレステロールの測定。</v>
      </c>
      <c r="I1063" s="3" t="str">
        <f ca="1">IFERROR(__xludf.DUMMYFUNCTION("googletranslate(F1063,""en"",""ja"")"),"22(R)-ヒドロキシコレステロール測定")</f>
        <v>22(R)-ヒドロキシコレステロール測定</v>
      </c>
    </row>
    <row r="1064" spans="1:9" ht="30">
      <c r="A1064" s="3" t="s">
        <v>6</v>
      </c>
      <c r="B1064" s="3" t="s">
        <v>4532</v>
      </c>
      <c r="C1064" s="3" t="s">
        <v>4533</v>
      </c>
      <c r="D1064" s="3" t="s">
        <v>4533</v>
      </c>
      <c r="E1064" s="3" t="s">
        <v>4534</v>
      </c>
      <c r="F1064" s="3" t="s">
        <v>4535</v>
      </c>
      <c r="G1064" s="3" t="str">
        <f ca="1">IFERROR(__xludf.DUMMYFUNCTION("googletranslate(D1064,""en"",""ja"")"),"22(S)-ヒドロキシコレステロール")</f>
        <v>22(S)-ヒドロキシコレステロール</v>
      </c>
      <c r="H1064" s="3" t="str">
        <f ca="1">IFERROR(__xludf.DUMMYFUNCTION("googletranslate(E1064,""en"",""ja"")"),"生物学的標本中の 22(S)-ヒドロキシコレステロールの測定。")</f>
        <v>生物学的標本中の 22(S)-ヒドロキシコレステロールの測定。</v>
      </c>
      <c r="I1064" s="3" t="str">
        <f ca="1">IFERROR(__xludf.DUMMYFUNCTION("googletranslate(F1064,""en"",""ja"")"),"22(S)-ヒドロキシコレステロール測定")</f>
        <v>22(S)-ヒドロキシコレステロール測定</v>
      </c>
    </row>
    <row r="1065" spans="1:9" ht="30">
      <c r="A1065" s="3" t="s">
        <v>6</v>
      </c>
      <c r="B1065" s="3" t="s">
        <v>4536</v>
      </c>
      <c r="C1065" s="3" t="s">
        <v>4537</v>
      </c>
      <c r="D1065" s="3" t="s">
        <v>4537</v>
      </c>
      <c r="E1065" s="3" t="s">
        <v>4538</v>
      </c>
      <c r="F1065" s="3" t="s">
        <v>4539</v>
      </c>
      <c r="G1065" s="3" t="str">
        <f ca="1">IFERROR(__xludf.DUMMYFUNCTION("googletranslate(D1065,""en"",""ja"")"),"24(R)-ヒドロキシコレステロール")</f>
        <v>24(R)-ヒドロキシコレステロール</v>
      </c>
      <c r="H1065" s="3" t="str">
        <f ca="1">IFERROR(__xludf.DUMMYFUNCTION("googletranslate(E1065,""en"",""ja"")"),"生物学的標本中の 24(R)-ヒドロキシコレステロールの測定。")</f>
        <v>生物学的標本中の 24(R)-ヒドロキシコレステロールの測定。</v>
      </c>
      <c r="I1065" s="3" t="str">
        <f ca="1">IFERROR(__xludf.DUMMYFUNCTION("googletranslate(F1065,""en"",""ja"")"),"24(R)-ヒドロキシコレステロール測定")</f>
        <v>24(R)-ヒドロキシコレステロール測定</v>
      </c>
    </row>
    <row r="1066" spans="1:9" ht="30">
      <c r="A1066" s="3" t="s">
        <v>6</v>
      </c>
      <c r="B1066" s="3" t="s">
        <v>4540</v>
      </c>
      <c r="C1066" s="3" t="s">
        <v>4541</v>
      </c>
      <c r="D1066" s="3" t="s">
        <v>4541</v>
      </c>
      <c r="E1066" s="3" t="s">
        <v>4542</v>
      </c>
      <c r="F1066" s="3" t="s">
        <v>4543</v>
      </c>
      <c r="G1066" s="3" t="str">
        <f ca="1">IFERROR(__xludf.DUMMYFUNCTION("googletranslate(D1066,""en"",""ja"")"),"24(S)-ヒドロキシコレステロール")</f>
        <v>24(S)-ヒドロキシコレステロール</v>
      </c>
      <c r="H1066" s="3" t="str">
        <f ca="1">IFERROR(__xludf.DUMMYFUNCTION("googletranslate(E1066,""en"",""ja"")"),"生物学的標本中の 24(S)-ヒドロキシコレステロールの測定。")</f>
        <v>生物学的標本中の 24(S)-ヒドロキシコレステロールの測定。</v>
      </c>
      <c r="I1066" s="3" t="str">
        <f ca="1">IFERROR(__xludf.DUMMYFUNCTION("googletranslate(F1066,""en"",""ja"")"),"24(S)-ヒドロキシコレステロール測定")</f>
        <v>24(S)-ヒドロキシコレステロール測定</v>
      </c>
    </row>
    <row r="1067" spans="1:9" ht="30">
      <c r="A1067" s="3" t="s">
        <v>6</v>
      </c>
      <c r="B1067" s="3" t="s">
        <v>4544</v>
      </c>
      <c r="C1067" s="3" t="s">
        <v>4545</v>
      </c>
      <c r="D1067" s="3" t="s">
        <v>4545</v>
      </c>
      <c r="E1067" s="3" t="s">
        <v>4546</v>
      </c>
      <c r="F1067" s="3" t="s">
        <v>4547</v>
      </c>
      <c r="G1067" s="3" t="str">
        <f ca="1">IFERROR(__xludf.DUMMYFUNCTION("googletranslate(D1067,""en"",""ja"")"),"25-ヒドロキシコレステロール")</f>
        <v>25-ヒドロキシコレステロール</v>
      </c>
      <c r="H1067" s="3" t="str">
        <f ca="1">IFERROR(__xludf.DUMMYFUNCTION("googletranslate(E1067,""en"",""ja"")"),"生物学的標本中の 25-ヒドロキシコレステロールの測定。")</f>
        <v>生物学的標本中の 25-ヒドロキシコレステロールの測定。</v>
      </c>
      <c r="I1067" s="3" t="str">
        <f ca="1">IFERROR(__xludf.DUMMYFUNCTION("googletranslate(F1067,""en"",""ja"")"),"25-ヒドロキシコレステロール測定")</f>
        <v>25-ヒドロキシコレステロール測定</v>
      </c>
    </row>
    <row r="1068" spans="1:9" ht="30">
      <c r="A1068" s="3" t="s">
        <v>6</v>
      </c>
      <c r="B1068" s="3" t="s">
        <v>4548</v>
      </c>
      <c r="C1068" s="3" t="s">
        <v>4549</v>
      </c>
      <c r="D1068" s="3" t="s">
        <v>4549</v>
      </c>
      <c r="E1068" s="3" t="s">
        <v>4550</v>
      </c>
      <c r="F1068" s="3" t="s">
        <v>4551</v>
      </c>
      <c r="G1068" s="3" t="str">
        <f ca="1">IFERROR(__xludf.DUMMYFUNCTION("googletranslate(D1068,""en"",""ja"")"),"27-ヒドロキシコレステロール")</f>
        <v>27-ヒドロキシコレステロール</v>
      </c>
      <c r="H1068" s="3" t="str">
        <f ca="1">IFERROR(__xludf.DUMMYFUNCTION("googletranslate(E1068,""en"",""ja"")"),"生物学的標本中の 27-ヒドロキシコレステロールの測定。")</f>
        <v>生物学的標本中の 27-ヒドロキシコレステロールの測定。</v>
      </c>
      <c r="I1068" s="3" t="str">
        <f ca="1">IFERROR(__xludf.DUMMYFUNCTION("googletranslate(F1068,""en"",""ja"")"),"27-ヒドロキシコレステロール測定")</f>
        <v>27-ヒドロキシコレステロール測定</v>
      </c>
    </row>
    <row r="1069" spans="1:9" ht="30">
      <c r="A1069" s="3" t="s">
        <v>6</v>
      </c>
      <c r="B1069" s="3" t="s">
        <v>4552</v>
      </c>
      <c r="C1069" s="3" t="s">
        <v>4553</v>
      </c>
      <c r="D1069" s="3" t="s">
        <v>4553</v>
      </c>
      <c r="E1069" s="3" t="s">
        <v>4554</v>
      </c>
      <c r="F1069" s="3" t="s">
        <v>4555</v>
      </c>
      <c r="G1069" s="3" t="str">
        <f ca="1">IFERROR(__xludf.DUMMYFUNCTION("googletranslate(D1069,""en"",""ja"")"),"7α-ヒドロキシコレステロール")</f>
        <v>7α-ヒドロキシコレステロール</v>
      </c>
      <c r="H1069" s="3" t="str">
        <f ca="1">IFERROR(__xludf.DUMMYFUNCTION("googletranslate(E1069,""en"",""ja"")"),"生物学的標本中の 7α-ヒドロキシコレステロールの測定。")</f>
        <v>生物学的標本中の 7α-ヒドロキシコレステロールの測定。</v>
      </c>
      <c r="I1069" s="3" t="str">
        <f ca="1">IFERROR(__xludf.DUMMYFUNCTION("googletranslate(F1069,""en"",""ja"")"),"7α-ヒドロキシコレステロール測定")</f>
        <v>7α-ヒドロキシコレステロール測定</v>
      </c>
    </row>
    <row r="1070" spans="1:9" ht="30">
      <c r="A1070" s="3" t="s">
        <v>6</v>
      </c>
      <c r="B1070" s="3" t="s">
        <v>4556</v>
      </c>
      <c r="C1070" s="3" t="s">
        <v>4557</v>
      </c>
      <c r="D1070" s="3" t="s">
        <v>4557</v>
      </c>
      <c r="E1070" s="3" t="s">
        <v>4558</v>
      </c>
      <c r="F1070" s="3" t="s">
        <v>4559</v>
      </c>
      <c r="G1070" s="3" t="str">
        <f ca="1">IFERROR(__xludf.DUMMYFUNCTION("googletranslate(D1070,""en"",""ja"")"),"7β-ヒドロキシコレステロール")</f>
        <v>7β-ヒドロキシコレステロール</v>
      </c>
      <c r="H1070" s="3" t="str">
        <f ca="1">IFERROR(__xludf.DUMMYFUNCTION("googletranslate(E1070,""en"",""ja"")"),"生物学的標本中の 7β-ヒドロキシコレステロールの測定。")</f>
        <v>生物学的標本中の 7β-ヒドロキシコレステロールの測定。</v>
      </c>
      <c r="I1070" s="3" t="str">
        <f ca="1">IFERROR(__xludf.DUMMYFUNCTION("googletranslate(F1070,""en"",""ja"")"),"7β-ヒドロキシコレステロール測定")</f>
        <v>7β-ヒドロキシコレステロール測定</v>
      </c>
    </row>
    <row r="1071" spans="1:9" ht="45">
      <c r="A1071" s="3" t="s">
        <v>6</v>
      </c>
      <c r="B1071" s="3" t="s">
        <v>4560</v>
      </c>
      <c r="C1071" s="3" t="s">
        <v>4561</v>
      </c>
      <c r="D1071" s="3" t="s">
        <v>4561</v>
      </c>
      <c r="E1071" s="3" t="s">
        <v>4562</v>
      </c>
      <c r="F1071" s="3" t="s">
        <v>4563</v>
      </c>
      <c r="G1071" s="3" t="str">
        <f ca="1">IFERROR(__xludf.DUMMYFUNCTION("googletranslate(D1071,""en"",""ja"")"),"コレステロール/HDLコレステロール")</f>
        <v>コレステロール/HDLコレステロール</v>
      </c>
      <c r="H1071" s="3" t="str">
        <f ca="1">IFERROR(__xludf.DUMMYFUNCTION("googletranslate(E1071,""en"",""ja"")"),"生体試料中の高密度リポタンパク質コレステロール (HDL-C) に対する総コレステロールの相対測定値 (比率またはパーセンテージ)。")</f>
        <v>生体試料中の高密度リポタンパク質コレステロール (HDL-C) に対する総コレステロールの相対測定値 (比率またはパーセンテージ)。</v>
      </c>
      <c r="I1071" s="3" t="str">
        <f ca="1">IFERROR(__xludf.DUMMYFUNCTION("googletranslate(F1071,""en"",""ja"")"),"コレステロール対HDLコレステロール比の測定")</f>
        <v>コレステロール対HDLコレステロール比の測定</v>
      </c>
    </row>
    <row r="1072" spans="1:9">
      <c r="A1072" s="3" t="s">
        <v>159</v>
      </c>
      <c r="B1072" s="3" t="s">
        <v>4564</v>
      </c>
      <c r="C1072" s="3" t="s">
        <v>4565</v>
      </c>
      <c r="D1072" s="3" t="s">
        <v>4565</v>
      </c>
      <c r="E1072" s="3" t="s">
        <v>4566</v>
      </c>
      <c r="F1072" s="3" t="s">
        <v>4567</v>
      </c>
      <c r="G1072" s="3" t="str">
        <f ca="1">IFERROR(__xludf.DUMMYFUNCTION("googletranslate(D1072,""en"",""ja"")"),"コリン")</f>
        <v>コリン</v>
      </c>
      <c r="H1072" s="3" t="str">
        <f ca="1">IFERROR(__xludf.DUMMYFUNCTION("googletranslate(E1072,""en"",""ja"")"),"生物学的標本中のコリンの測定。")</f>
        <v>生物学的標本中のコリンの測定。</v>
      </c>
      <c r="I1072" s="3" t="str">
        <f ca="1">IFERROR(__xludf.DUMMYFUNCTION("googletranslate(F1072,""en"",""ja"")"),"コリン測定")</f>
        <v>コリン測定</v>
      </c>
    </row>
    <row r="1073" spans="1:9" ht="30">
      <c r="A1073" s="3" t="s">
        <v>6</v>
      </c>
      <c r="B1073" s="3" t="s">
        <v>4568</v>
      </c>
      <c r="C1073" s="3" t="s">
        <v>4569</v>
      </c>
      <c r="D1073" s="3" t="s">
        <v>4569</v>
      </c>
      <c r="E1073" s="3" t="s">
        <v>4570</v>
      </c>
      <c r="F1073" s="3" t="s">
        <v>4571</v>
      </c>
      <c r="G1073" s="3" t="str">
        <f ca="1">IFERROR(__xludf.DUMMYFUNCTION("googletranslate(D1073,""en"",""ja"")"),"コリンエステラーゼ")</f>
        <v>コリンエステラーゼ</v>
      </c>
      <c r="H1073" s="3" t="str">
        <f ca="1">IFERROR(__xludf.DUMMYFUNCTION("googletranslate(E1073,""en"",""ja"")"),"生物学的標本中のコリンエステラーゼの測定。")</f>
        <v>生物学的標本中のコリンエステラーゼの測定。</v>
      </c>
      <c r="I1073" s="3" t="str">
        <f ca="1">IFERROR(__xludf.DUMMYFUNCTION("googletranslate(F1073,""en"",""ja"")"),"コリンエステラーゼの測定")</f>
        <v>コリンエステラーゼの測定</v>
      </c>
    </row>
    <row r="1074" spans="1:9" ht="30">
      <c r="A1074" s="3" t="s">
        <v>6</v>
      </c>
      <c r="B1074" s="3" t="s">
        <v>4572</v>
      </c>
      <c r="C1074" s="3" t="s">
        <v>4573</v>
      </c>
      <c r="D1074" s="3" t="s">
        <v>4574</v>
      </c>
      <c r="E1074" s="3" t="s">
        <v>4575</v>
      </c>
      <c r="F1074" s="3" t="s">
        <v>4576</v>
      </c>
      <c r="G1074" s="3" t="str">
        <f ca="1">IFERROR(__xludf.DUMMYFUNCTION("googletranslate(D1074,""en"",""ja"")"),"7-ケトコレステロール; 7-オキソコレステロール")</f>
        <v>7-ケトコレステロール; 7-オキソコレステロール</v>
      </c>
      <c r="H1074" s="3" t="str">
        <f ca="1">IFERROR(__xludf.DUMMYFUNCTION("googletranslate(E1074,""en"",""ja"")"),"生物学的標本中の 7-ケトコレステロールの測定。")</f>
        <v>生物学的標本中の 7-ケトコレステロールの測定。</v>
      </c>
      <c r="I1074" s="3" t="str">
        <f ca="1">IFERROR(__xludf.DUMMYFUNCTION("googletranslate(F1074,""en"",""ja"")"),"7-ケトコレステロール測定")</f>
        <v>7-ケトコレステロール測定</v>
      </c>
    </row>
    <row r="1075" spans="1:9" ht="30">
      <c r="A1075" s="3" t="s">
        <v>6</v>
      </c>
      <c r="B1075" s="3" t="s">
        <v>4577</v>
      </c>
      <c r="C1075" s="3" t="s">
        <v>4578</v>
      </c>
      <c r="D1075" s="3" t="s">
        <v>4578</v>
      </c>
      <c r="E1075" s="3" t="s">
        <v>4579</v>
      </c>
      <c r="F1075" s="3" t="s">
        <v>4580</v>
      </c>
      <c r="G1075" s="3" t="str">
        <f ca="1">IFERROR(__xludf.DUMMYFUNCTION("googletranslate(D1075,""en"",""ja"")"),"4-ベータ-ヒドロキシコレステロール")</f>
        <v>4-ベータ-ヒドロキシコレステロール</v>
      </c>
      <c r="H1075" s="3" t="str">
        <f ca="1">IFERROR(__xludf.DUMMYFUNCTION("googletranslate(E1075,""en"",""ja"")"),"生物学的標本中の 4-β-ヒドロキシコレステロールの測定。")</f>
        <v>生物学的標本中の 4-β-ヒドロキシコレステロールの測定。</v>
      </c>
      <c r="I1075" s="3" t="str">
        <f ca="1">IFERROR(__xludf.DUMMYFUNCTION("googletranslate(F1075,""en"",""ja"")"),"4-β-ヒドロキシコレステロールの測定")</f>
        <v>4-β-ヒドロキシコレステロールの測定</v>
      </c>
    </row>
    <row r="1076" spans="1:9" ht="60">
      <c r="A1076" s="3" t="s">
        <v>6</v>
      </c>
      <c r="B1076" s="3" t="s">
        <v>4581</v>
      </c>
      <c r="C1076" s="3" t="s">
        <v>4582</v>
      </c>
      <c r="D1076" s="3" t="s">
        <v>4583</v>
      </c>
      <c r="E1076" s="3" t="s">
        <v>4584</v>
      </c>
      <c r="F1076" s="3" t="s">
        <v>4585</v>
      </c>
      <c r="G1076" s="3" t="str">
        <f ca="1">IFERROR(__xludf.DUMMYFUNCTION("googletranslate(D1076,""en"",""ja"")"),"5α-コレスタノール;ベータコレスタノール;コレスタノール;デヒドロコレステロール;ザイモスタノール")</f>
        <v>5α-コレスタノール;ベータコレスタノール;コレスタノール;デヒドロコレステロール;ザイモスタノール</v>
      </c>
      <c r="H1076" s="3" t="str">
        <f ca="1">IFERROR(__xludf.DUMMYFUNCTION("googletranslate(E1076,""en"",""ja"")"),"生物学的標本中のコレスタノールの測定。")</f>
        <v>生物学的標本中のコレスタノールの測定。</v>
      </c>
      <c r="I1076" s="3" t="str">
        <f ca="1">IFERROR(__xludf.DUMMYFUNCTION("googletranslate(F1076,""en"",""ja"")"),"コレスタノール測定")</f>
        <v>コレスタノール測定</v>
      </c>
    </row>
    <row r="1077" spans="1:9" ht="30">
      <c r="A1077" s="3" t="s">
        <v>6</v>
      </c>
      <c r="B1077" s="3" t="s">
        <v>4586</v>
      </c>
      <c r="C1077" s="3" t="s">
        <v>4587</v>
      </c>
      <c r="D1077" s="3" t="s">
        <v>4587</v>
      </c>
      <c r="E1077" s="3" t="s">
        <v>4588</v>
      </c>
      <c r="F1077" s="3" t="s">
        <v>4589</v>
      </c>
      <c r="G1077" s="3" t="str">
        <f ca="1">IFERROR(__xludf.DUMMYFUNCTION("googletranslate(D1077,""en"",""ja"")"),"硫酸コレステロール")</f>
        <v>硫酸コレステロール</v>
      </c>
      <c r="H1077" s="3" t="str">
        <f ca="1">IFERROR(__xludf.DUMMYFUNCTION("googletranslate(E1077,""en"",""ja"")"),"生物学的標本中の硫酸コレステロールの測定。")</f>
        <v>生物学的標本中の硫酸コレステロールの測定。</v>
      </c>
      <c r="I1077" s="3" t="str">
        <f ca="1">IFERROR(__xludf.DUMMYFUNCTION("googletranslate(F1077,""en"",""ja"")"),"硫酸コレステロール測定")</f>
        <v>硫酸コレステロール測定</v>
      </c>
    </row>
    <row r="1078" spans="1:9" ht="45">
      <c r="A1078" s="3" t="s">
        <v>185</v>
      </c>
      <c r="B1078" s="3" t="s">
        <v>4590</v>
      </c>
      <c r="C1078" s="3" t="s">
        <v>4591</v>
      </c>
      <c r="D1078" s="3" t="s">
        <v>4591</v>
      </c>
      <c r="E1078" s="3" t="s">
        <v>4592</v>
      </c>
      <c r="F1078" s="3" t="s">
        <v>4591</v>
      </c>
      <c r="G1078" s="3" t="str">
        <f ca="1">IFERROR(__xludf.DUMMYFUNCTION("googletranslate(D1078,""en"",""ja"")"),"最も重度の慢性的ストレス要因")</f>
        <v>最も重度の慢性的ストレス要因</v>
      </c>
      <c r="H1078" s="3" t="str">
        <f ca="1">IFERROR(__xludf.DUMMYFUNCTION("googletranslate(E1078,""en"",""ja"")"),"慢性的な頻度でストレスを引き起こす要因、刺激、活動、または出来事。最も深刻なレベルを持ちます。")</f>
        <v>慢性的な頻度でストレスを引き起こす要因、刺激、活動、または出来事。最も深刻なレベルを持ちます。</v>
      </c>
      <c r="I1078" s="3" t="str">
        <f ca="1">IFERROR(__xludf.DUMMYFUNCTION("googletranslate(F1078,""en"",""ja"")"),"最も重度の慢性的ストレス要因")</f>
        <v>最も重度の慢性的ストレス要因</v>
      </c>
    </row>
    <row r="1079" spans="1:9">
      <c r="A1079" s="3" t="s">
        <v>51</v>
      </c>
      <c r="B1079" s="3" t="s">
        <v>4593</v>
      </c>
      <c r="C1079" s="3" t="s">
        <v>4594</v>
      </c>
      <c r="D1079" s="3" t="s">
        <v>4595</v>
      </c>
      <c r="E1079" s="3" t="s">
        <v>4596</v>
      </c>
      <c r="F1079" s="3" t="s">
        <v>4597</v>
      </c>
      <c r="G1079" s="3" t="str">
        <f ca="1">IFERROR(__xludf.DUMMYFUNCTION("googletranslate(D1079,""en"",""ja"")"),"クロム; CR")</f>
        <v>クロム; CR</v>
      </c>
      <c r="H1079" s="3" t="str">
        <f ca="1">IFERROR(__xludf.DUMMYFUNCTION("googletranslate(E1079,""en"",""ja"")"),"試験片中のクロムの測定。")</f>
        <v>試験片中のクロムの測定。</v>
      </c>
      <c r="I1079" s="3" t="str">
        <f ca="1">IFERROR(__xludf.DUMMYFUNCTION("googletranslate(F1079,""en"",""ja"")"),"クロム測定")</f>
        <v>クロム測定</v>
      </c>
    </row>
    <row r="1080" spans="1:9">
      <c r="A1080" s="3" t="s">
        <v>51</v>
      </c>
      <c r="B1080" s="3" t="s">
        <v>4598</v>
      </c>
      <c r="C1080" s="3" t="s">
        <v>4599</v>
      </c>
      <c r="D1080" s="3" t="s">
        <v>4599</v>
      </c>
      <c r="E1080" s="3" t="s">
        <v>4600</v>
      </c>
      <c r="F1080" s="3" t="s">
        <v>4601</v>
      </c>
      <c r="G1080" s="3" t="str">
        <f ca="1">IFERROR(__xludf.DUMMYFUNCTION("googletranslate(D1080,""en"",""ja"")"),"クリセン")</f>
        <v>クリセン</v>
      </c>
      <c r="H1080" s="3" t="str">
        <f ca="1">IFERROR(__xludf.DUMMYFUNCTION("googletranslate(E1080,""en"",""ja"")"),"試料中のクリセンの測定。")</f>
        <v>試料中のクリセンの測定。</v>
      </c>
      <c r="I1080" s="3" t="str">
        <f ca="1">IFERROR(__xludf.DUMMYFUNCTION("googletranslate(F1080,""en"",""ja"")"),"クリセン測定")</f>
        <v>クリセン測定</v>
      </c>
    </row>
    <row r="1081" spans="1:9" ht="30">
      <c r="A1081" s="3" t="s">
        <v>985</v>
      </c>
      <c r="B1081" s="3" t="s">
        <v>4602</v>
      </c>
      <c r="C1081" s="3" t="s">
        <v>4603</v>
      </c>
      <c r="D1081" s="3" t="s">
        <v>4603</v>
      </c>
      <c r="E1081" s="3" t="s">
        <v>4604</v>
      </c>
      <c r="F1081" s="3" t="s">
        <v>4605</v>
      </c>
      <c r="G1081" s="3" t="str">
        <f ca="1">IFERROR(__xludf.DUMMYFUNCTION("googletranslate(D1081,""en"",""ja"")"),"心室の肥大または拡大")</f>
        <v>心室の肥大または拡大</v>
      </c>
      <c r="H1081" s="3" t="str">
        <f ca="1">IFERROR(__xludf.DUMMYFUNCTION("googletranslate(E1081,""en"",""ja"")"),"心室肥大または拡大の心電図評価。")</f>
        <v>心室肥大または拡大の心電図評価。</v>
      </c>
      <c r="I1081" s="3" t="str">
        <f ca="1">IFERROR(__xludf.DUMMYFUNCTION("googletranslate(F1081,""en"",""ja"")"),"心腔肥大または拡大心電図評価")</f>
        <v>心腔肥大または拡大心電図評価</v>
      </c>
    </row>
    <row r="1082" spans="1:9" ht="30">
      <c r="A1082" s="3" t="s">
        <v>1664</v>
      </c>
      <c r="B1082" s="3" t="s">
        <v>4602</v>
      </c>
      <c r="C1082" s="3" t="s">
        <v>4603</v>
      </c>
      <c r="D1082" s="3" t="s">
        <v>4603</v>
      </c>
      <c r="E1082" s="3" t="s">
        <v>4604</v>
      </c>
      <c r="F1082" s="3" t="s">
        <v>4605</v>
      </c>
      <c r="G1082" s="3" t="str">
        <f ca="1">IFERROR(__xludf.DUMMYFUNCTION("googletranslate(D1082,""en"",""ja"")"),"心室の肥大または拡大")</f>
        <v>心室の肥大または拡大</v>
      </c>
      <c r="H1082" s="3" t="str">
        <f ca="1">IFERROR(__xludf.DUMMYFUNCTION("googletranslate(E1082,""en"",""ja"")"),"心室肥大または拡大の心電図評価。")</f>
        <v>心室肥大または拡大の心電図評価。</v>
      </c>
      <c r="I1082" s="3" t="str">
        <f ca="1">IFERROR(__xludf.DUMMYFUNCTION("googletranslate(F1082,""en"",""ja"")"),"心腔肥大または拡大心電図評価")</f>
        <v>心腔肥大または拡大心電図評価</v>
      </c>
    </row>
    <row r="1083" spans="1:9" ht="30">
      <c r="A1083" s="3" t="s">
        <v>6</v>
      </c>
      <c r="B1083" s="3" t="s">
        <v>4606</v>
      </c>
      <c r="C1083" s="3" t="s">
        <v>4607</v>
      </c>
      <c r="D1083" s="3" t="s">
        <v>4607</v>
      </c>
      <c r="E1083" s="3" t="s">
        <v>4608</v>
      </c>
      <c r="F1083" s="3" t="s">
        <v>4609</v>
      </c>
      <c r="G1083" s="3" t="str">
        <f ca="1">IFERROR(__xludf.DUMMYFUNCTION("googletranslate(D1083,""en"",""ja"")"),"キモトリプシン")</f>
        <v>キモトリプシン</v>
      </c>
      <c r="H1083" s="3" t="str">
        <f ca="1">IFERROR(__xludf.DUMMYFUNCTION("googletranslate(E1083,""en"",""ja"")"),"生物学的標本中の総キモトリプシンの測定。")</f>
        <v>生物学的標本中の総キモトリプシンの測定。</v>
      </c>
      <c r="I1083" s="3" t="str">
        <f ca="1">IFERROR(__xludf.DUMMYFUNCTION("googletranslate(F1083,""en"",""ja"")"),"キモトリプシンの測定")</f>
        <v>キモトリプシンの測定</v>
      </c>
    </row>
    <row r="1084" spans="1:9" ht="30">
      <c r="A1084" s="3" t="s">
        <v>6</v>
      </c>
      <c r="B1084" s="3" t="s">
        <v>4610</v>
      </c>
      <c r="C1084" s="3" t="s">
        <v>4611</v>
      </c>
      <c r="D1084" s="3" t="s">
        <v>4611</v>
      </c>
      <c r="E1084" s="3" t="s">
        <v>4612</v>
      </c>
      <c r="F1084" s="3" t="s">
        <v>4613</v>
      </c>
      <c r="G1084" s="3" t="str">
        <f ca="1">IFERROR(__xludf.DUMMYFUNCTION("googletranslate(D1084,""en"",""ja"")"),"循環免疫複合体")</f>
        <v>循環免疫複合体</v>
      </c>
      <c r="H1084" s="3" t="str">
        <f ca="1">IFERROR(__xludf.DUMMYFUNCTION("googletranslate(E1084,""en"",""ja"")"),"生物学的検体中の循環免疫複合体の測定。")</f>
        <v>生物学的検体中の循環免疫複合体の測定。</v>
      </c>
      <c r="I1084" s="3" t="str">
        <f ca="1">IFERROR(__xludf.DUMMYFUNCTION("googletranslate(F1084,""en"",""ja"")"),"循環免疫複合体の測定")</f>
        <v>循環免疫複合体の測定</v>
      </c>
    </row>
    <row r="1085" spans="1:9" ht="30">
      <c r="A1085" s="3" t="s">
        <v>51</v>
      </c>
      <c r="B1085" s="3" t="s">
        <v>4614</v>
      </c>
      <c r="C1085" s="3" t="s">
        <v>4615</v>
      </c>
      <c r="D1085" s="3" t="s">
        <v>4615</v>
      </c>
      <c r="E1085" s="3" t="s">
        <v>4616</v>
      </c>
      <c r="F1085" s="3" t="s">
        <v>4615</v>
      </c>
      <c r="G1085" s="3" t="str">
        <f ca="1">IFERROR(__xludf.DUMMYFUNCTION("googletranslate(D1085,""en"",""ja"")"),"タバコ紙の長さ")</f>
        <v>タバコ紙の長さ</v>
      </c>
      <c r="H1085" s="3" t="str">
        <f ca="1">IFERROR(__xludf.DUMMYFUNCTION("googletranslate(E1085,""en"",""ja"")"),"紙巻きタバコロッドを包むために使用される紙製品の長さ。")</f>
        <v>紙巻きタバコロッドを包むために使用される紙製品の長さ。</v>
      </c>
      <c r="I1085" s="3" t="str">
        <f ca="1">IFERROR(__xludf.DUMMYFUNCTION("googletranslate(F1085,""en"",""ja"")"),"タバコ紙の長さ")</f>
        <v>タバコ紙の長さ</v>
      </c>
    </row>
    <row r="1086" spans="1:9" ht="75">
      <c r="A1086" s="3" t="s">
        <v>503</v>
      </c>
      <c r="B1086" s="3" t="s">
        <v>4617</v>
      </c>
      <c r="C1086" s="3" t="s">
        <v>4618</v>
      </c>
      <c r="D1086" s="3" t="s">
        <v>4618</v>
      </c>
      <c r="E1086" s="3" t="s">
        <v>4619</v>
      </c>
      <c r="F1086" s="3" t="s">
        <v>4620</v>
      </c>
      <c r="G1086" s="3" t="str">
        <f ca="1">IFERROR(__xludf.DUMMYFUNCTION("googletranslate(D1086,""en"",""ja"")"),"接触調査インジケーター")</f>
        <v>接触調査インジケーター</v>
      </c>
      <c r="H1086" s="3" t="str">
        <f ca="1">IFERROR(__xludf.DUMMYFUNCTION("googletranslate(E1086,""en"",""ja"")"),"対象者に対して接触調査（伝染病の疑いがある、または感染が確認された人と接触した個人を接触追跡のために特定する公衆衛生活動）が実施されたかどうかに関する表示。")</f>
        <v>対象者に対して接触調査（伝染病の疑いがある、または感染が確認された人と接触した個人を接触追跡のために特定する公衆衛生活動）が実施されたかどうかに関する表示。</v>
      </c>
      <c r="I1086" s="3" t="str">
        <f ca="1">IFERROR(__xludf.DUMMYFUNCTION("googletranslate(F1086,""en"",""ja"")"),"疾病接触調査インジケーター")</f>
        <v>疾病接触調査インジケーター</v>
      </c>
    </row>
    <row r="1087" spans="1:9" ht="30">
      <c r="A1087" s="3" t="s">
        <v>51</v>
      </c>
      <c r="B1087" s="3" t="s">
        <v>4621</v>
      </c>
      <c r="C1087" s="3" t="s">
        <v>4622</v>
      </c>
      <c r="D1087" s="3" t="s">
        <v>4622</v>
      </c>
      <c r="E1087" s="3" t="s">
        <v>4623</v>
      </c>
      <c r="F1087" s="3" t="s">
        <v>4622</v>
      </c>
      <c r="G1087" s="3" t="str">
        <f ca="1">IFERROR(__xludf.DUMMYFUNCTION("googletranslate(D1087,""en"",""ja"")"),"周")</f>
        <v>周</v>
      </c>
      <c r="H1087" s="3" t="str">
        <f ca="1">IFERROR(__xludf.DUMMYFUNCTION("googletranslate(E1087,""en"",""ja"")"),"円の閉曲線の長さ。周囲の距離によって与えられる物の大きさ。 (NCI)")</f>
        <v>円の閉曲線の長さ。周囲の距離によって与えられる物の大きさ。 (NCI)</v>
      </c>
      <c r="I1087" s="3" t="str">
        <f ca="1">IFERROR(__xludf.DUMMYFUNCTION("googletranslate(F1087,""en"",""ja"")"),"周")</f>
        <v>周</v>
      </c>
    </row>
    <row r="1088" spans="1:9">
      <c r="A1088" s="3" t="s">
        <v>6</v>
      </c>
      <c r="B1088" s="3" t="s">
        <v>4624</v>
      </c>
      <c r="C1088" s="3" t="s">
        <v>4625</v>
      </c>
      <c r="D1088" s="3" t="s">
        <v>4625</v>
      </c>
      <c r="E1088" s="3" t="s">
        <v>4626</v>
      </c>
      <c r="F1088" s="3" t="s">
        <v>4627</v>
      </c>
      <c r="G1088" s="3" t="str">
        <f ca="1">IFERROR(__xludf.DUMMYFUNCTION("googletranslate(D1088,""en"",""ja"")"),"シトルリン")</f>
        <v>シトルリン</v>
      </c>
      <c r="H1088" s="3" t="str">
        <f ca="1">IFERROR(__xludf.DUMMYFUNCTION("googletranslate(E1088,""en"",""ja"")"),"生物学的標本中のシトルリンの測定。")</f>
        <v>生物学的標本中のシトルリンの測定。</v>
      </c>
      <c r="I1088" s="3" t="str">
        <f ca="1">IFERROR(__xludf.DUMMYFUNCTION("googletranslate(F1088,""en"",""ja"")"),"シトルリン測定")</f>
        <v>シトルリン測定</v>
      </c>
    </row>
    <row r="1089" spans="1:9" ht="30">
      <c r="A1089" s="3" t="s">
        <v>6</v>
      </c>
      <c r="B1089" s="3" t="s">
        <v>4628</v>
      </c>
      <c r="C1089" s="3" t="s">
        <v>4629</v>
      </c>
      <c r="D1089" s="3" t="s">
        <v>4630</v>
      </c>
      <c r="E1089" s="3" t="s">
        <v>4631</v>
      </c>
      <c r="F1089" s="3" t="s">
        <v>4632</v>
      </c>
      <c r="G1089" s="3" t="str">
        <f ca="1">IFERROR(__xludf.DUMMYFUNCTION("googletranslate(D1089,""en"",""ja"")"),"クエン酸塩/クレアチニン;クエン酸/クレアチニン")</f>
        <v>クエン酸塩/クレアチニン;クエン酸/クレアチニン</v>
      </c>
      <c r="H1089" s="3" t="str">
        <f ca="1">IFERROR(__xludf.DUMMYFUNCTION("googletranslate(E1089,""en"",""ja"")"),"生物学的標本中のクレアチニンに対するクエン酸塩の相対測定値 (比率またはパーセンテージ)。")</f>
        <v>生物学的標本中のクレアチニンに対するクエン酸塩の相対測定値 (比率またはパーセンテージ)。</v>
      </c>
      <c r="I1089" s="3" t="str">
        <f ca="1">IFERROR(__xludf.DUMMYFUNCTION("googletranslate(F1089,""en"",""ja"")"),"クエン酸塩とクレアチニンの比の測定")</f>
        <v>クエン酸塩とクレアチニンの比の測定</v>
      </c>
    </row>
    <row r="1090" spans="1:9">
      <c r="A1090" s="3" t="s">
        <v>6</v>
      </c>
      <c r="B1090" s="3" t="s">
        <v>4633</v>
      </c>
      <c r="C1090" s="3" t="s">
        <v>4634</v>
      </c>
      <c r="D1090" s="3" t="s">
        <v>4635</v>
      </c>
      <c r="E1090" s="3" t="s">
        <v>4636</v>
      </c>
      <c r="F1090" s="3" t="s">
        <v>4637</v>
      </c>
      <c r="G1090" s="3" t="str">
        <f ca="1">IFERROR(__xludf.DUMMYFUNCTION("googletranslate(D1090,""en"",""ja"")"),"クエン酸塩;クエン酸")</f>
        <v>クエン酸塩;クエン酸</v>
      </c>
      <c r="H1090" s="3" t="str">
        <f ca="1">IFERROR(__xludf.DUMMYFUNCTION("googletranslate(E1090,""en"",""ja"")"),"生物学的標本中のクエン酸塩の測定。")</f>
        <v>生物学的標本中のクエン酸塩の測定。</v>
      </c>
      <c r="I1090" s="3" t="str">
        <f ca="1">IFERROR(__xludf.DUMMYFUNCTION("googletranslate(F1090,""en"",""ja"")"),"クエン酸塩の測定")</f>
        <v>クエン酸塩の測定</v>
      </c>
    </row>
    <row r="1091" spans="1:9" ht="45">
      <c r="A1091" s="3" t="s">
        <v>6</v>
      </c>
      <c r="B1091" s="3" t="s">
        <v>4638</v>
      </c>
      <c r="C1091" s="3" t="s">
        <v>4639</v>
      </c>
      <c r="D1091" s="3" t="s">
        <v>4639</v>
      </c>
      <c r="E1091" s="3" t="s">
        <v>4640</v>
      </c>
      <c r="F1091" s="3" t="s">
        <v>4639</v>
      </c>
      <c r="G1091" s="3" t="str">
        <f ca="1">IFERROR(__xludf.DUMMYFUNCTION("googletranslate(D1091,""en"",""ja"")"),"クエン酸排泄率")</f>
        <v>クエン酸排泄率</v>
      </c>
      <c r="H1091" s="3" t="str">
        <f ca="1">IFERROR(__xludf.DUMMYFUNCTION("googletranslate(E1091,""en"",""ja"")"),"規定の時間 (例: 1 時間) にわたって生物学的標本中に排泄されるクエン酸塩の量の測定。")</f>
        <v>規定の時間 (例: 1 時間) にわたって生物学的標本中に排泄されるクエン酸塩の量の測定。</v>
      </c>
      <c r="I1091" s="3" t="str">
        <f ca="1">IFERROR(__xludf.DUMMYFUNCTION("googletranslate(F1091,""en"",""ja"")"),"クエン酸排泄率")</f>
        <v>クエン酸排泄率</v>
      </c>
    </row>
    <row r="1092" spans="1:9" ht="30">
      <c r="A1092" s="3" t="s">
        <v>67</v>
      </c>
      <c r="B1092" s="3" t="s">
        <v>4641</v>
      </c>
      <c r="C1092" s="3" t="s">
        <v>4642</v>
      </c>
      <c r="D1092" s="3" t="s">
        <v>4642</v>
      </c>
      <c r="E1092" s="3" t="s">
        <v>4643</v>
      </c>
      <c r="F1092" s="3" t="s">
        <v>4644</v>
      </c>
      <c r="G1092" s="3" t="str">
        <f ca="1">IFERROR(__xludf.DUMMYFUNCTION("googletranslate(D1092,""en"",""ja"")"),"カンピロバクター ジェジュニ")</f>
        <v>カンピロバクター ジェジュニ</v>
      </c>
      <c r="H1092" s="3" t="str">
        <f ca="1">IFERROR(__xludf.DUMMYFUNCTION("googletranslate(E1092,""en"",""ja"")"),"生物学的標本中のカンピロバクター ジェジュニの測定。")</f>
        <v>生物学的標本中のカンピロバクター ジェジュニの測定。</v>
      </c>
      <c r="I1092" s="3" t="str">
        <f ca="1">IFERROR(__xludf.DUMMYFUNCTION("googletranslate(F1092,""en"",""ja"")"),"カンピロバクター ジェジュニの測定")</f>
        <v>カンピロバクター ジェジュニの測定</v>
      </c>
    </row>
    <row r="1093" spans="1:9" ht="30">
      <c r="A1093" s="3" t="s">
        <v>6</v>
      </c>
      <c r="B1093" s="3" t="s">
        <v>4645</v>
      </c>
      <c r="C1093" s="3" t="s">
        <v>4646</v>
      </c>
      <c r="D1093" s="3" t="s">
        <v>4647</v>
      </c>
      <c r="E1093" s="3" t="s">
        <v>4648</v>
      </c>
      <c r="F1093" s="3" t="s">
        <v>4649</v>
      </c>
      <c r="G1093" s="3" t="str">
        <f ca="1">IFERROR(__xludf.DUMMYFUNCTION("googletranslate(D1093,""en"",""ja"")"),"CPK;クレアチンキナーゼ;クレアチンホスホキナーゼ")</f>
        <v>CPK;クレアチンキナーゼ;クレアチンホスホキナーゼ</v>
      </c>
      <c r="H1093" s="3" t="str">
        <f ca="1">IFERROR(__xludf.DUMMYFUNCTION("googletranslate(E1093,""en"",""ja"")"),"生物学的標本中の総クレアチンキナーゼの測定。")</f>
        <v>生物学的標本中の総クレアチンキナーゼの測定。</v>
      </c>
      <c r="I1093" s="3" t="str">
        <f ca="1">IFERROR(__xludf.DUMMYFUNCTION("googletranslate(F1093,""en"",""ja"")"),"クレアチンキナーゼ測定")</f>
        <v>クレアチンキナーゼ測定</v>
      </c>
    </row>
    <row r="1094" spans="1:9" ht="30">
      <c r="A1094" s="3" t="s">
        <v>6</v>
      </c>
      <c r="B1094" s="3" t="s">
        <v>4650</v>
      </c>
      <c r="C1094" s="3" t="s">
        <v>4651</v>
      </c>
      <c r="D1094" s="3" t="s">
        <v>4651</v>
      </c>
      <c r="E1094" s="3" t="s">
        <v>4652</v>
      </c>
      <c r="F1094" s="3" t="s">
        <v>4653</v>
      </c>
      <c r="G1094" s="3" t="str">
        <f ca="1">IFERROR(__xludf.DUMMYFUNCTION("googletranslate(D1094,""en"",""ja"")"),"クレアチンキナーゼBB")</f>
        <v>クレアチンキナーゼBB</v>
      </c>
      <c r="H1094" s="3" t="str">
        <f ca="1">IFERROR(__xludf.DUMMYFUNCTION("googletranslate(E1094,""en"",""ja"")"),"生物学的標本中のホモ接合型 B 型クレアチンキナーゼの測定。")</f>
        <v>生物学的標本中のホモ接合型 B 型クレアチンキナーゼの測定。</v>
      </c>
      <c r="I1094" s="3" t="str">
        <f ca="1">IFERROR(__xludf.DUMMYFUNCTION("googletranslate(F1094,""en"",""ja"")"),"クレアチンキナーゼBB測定")</f>
        <v>クレアチンキナーゼBB測定</v>
      </c>
    </row>
    <row r="1095" spans="1:9" ht="45">
      <c r="A1095" s="3" t="s">
        <v>6</v>
      </c>
      <c r="B1095" s="3" t="s">
        <v>4654</v>
      </c>
      <c r="C1095" s="3" t="s">
        <v>4655</v>
      </c>
      <c r="D1095" s="3" t="s">
        <v>4655</v>
      </c>
      <c r="E1095" s="3" t="s">
        <v>4656</v>
      </c>
      <c r="F1095" s="3" t="s">
        <v>4657</v>
      </c>
      <c r="G1095" s="3" t="str">
        <f ca="1">IFERROR(__xludf.DUMMYFUNCTION("googletranslate(D1095,""en"",""ja"")"),"クレアチンキナーゼBB/総クレアチンキナーゼ")</f>
        <v>クレアチンキナーゼBB/総クレアチンキナーゼ</v>
      </c>
      <c r="H1095" s="3" t="str">
        <f ca="1">IFERROR(__xludf.DUMMYFUNCTION("googletranslate(E1095,""en"",""ja"")"),"生物学的検体中の総クレアチンキナーゼに対する BB 型クレアチンキナーゼの相対測定値 (比率またはパーセンテージ)。")</f>
        <v>生物学的検体中の総クレアチンキナーゼに対する BB 型クレアチンキナーゼの相対測定値 (比率またはパーセンテージ)。</v>
      </c>
      <c r="I1095" s="3" t="str">
        <f ca="1">IFERROR(__xludf.DUMMYFUNCTION("googletranslate(F1095,""en"",""ja"")"),"クレアチンキナーゼBBと総クレアチンキナーゼの比率の測定")</f>
        <v>クレアチンキナーゼBBと総クレアチンキナーゼの比率の測定</v>
      </c>
    </row>
    <row r="1096" spans="1:9" ht="30">
      <c r="A1096" s="3" t="s">
        <v>6</v>
      </c>
      <c r="B1096" s="3" t="s">
        <v>4658</v>
      </c>
      <c r="C1096" s="3" t="s">
        <v>4659</v>
      </c>
      <c r="D1096" s="3" t="s">
        <v>4659</v>
      </c>
      <c r="E1096" s="3" t="s">
        <v>4660</v>
      </c>
      <c r="F1096" s="3" t="s">
        <v>4661</v>
      </c>
      <c r="G1096" s="3" t="str">
        <f ca="1">IFERROR(__xludf.DUMMYFUNCTION("googletranslate(D1096,""en"",""ja"")"),"クレアチンキナーゼMB")</f>
        <v>クレアチンキナーゼMB</v>
      </c>
      <c r="H1096" s="3" t="str">
        <f ca="1">IFERROR(__xludf.DUMMYFUNCTION("googletranslate(E1096,""en"",""ja"")"),"生体試料中のヘテロ接合性 MB 型クレアチンキナーゼの測定。")</f>
        <v>生体試料中のヘテロ接合性 MB 型クレアチンキナーゼの測定。</v>
      </c>
      <c r="I1096" s="3" t="str">
        <f ca="1">IFERROR(__xludf.DUMMYFUNCTION("googletranslate(F1096,""en"",""ja"")"),"クレアチンキナーゼMB測定")</f>
        <v>クレアチンキナーゼMB測定</v>
      </c>
    </row>
    <row r="1097" spans="1:9" ht="45">
      <c r="A1097" s="3" t="s">
        <v>6</v>
      </c>
      <c r="B1097" s="3" t="s">
        <v>4662</v>
      </c>
      <c r="C1097" s="3" t="s">
        <v>4663</v>
      </c>
      <c r="D1097" s="3" t="s">
        <v>4663</v>
      </c>
      <c r="E1097" s="3" t="s">
        <v>4664</v>
      </c>
      <c r="F1097" s="3" t="s">
        <v>4665</v>
      </c>
      <c r="G1097" s="3" t="str">
        <f ca="1">IFERROR(__xludf.DUMMYFUNCTION("googletranslate(D1097,""en"",""ja"")"),"クレアチンキナーゼMB/総クレアチンキナーゼ")</f>
        <v>クレアチンキナーゼMB/総クレアチンキナーゼ</v>
      </c>
      <c r="H1097" s="3" t="str">
        <f ca="1">IFERROR(__xludf.DUMMYFUNCTION("googletranslate(E1097,""en"",""ja"")"),"生物学的検体中の総クレアチンキナーゼに対する MB 型クレアチンキナーゼの相対測定値 (比率またはパーセンテージ)。")</f>
        <v>生物学的検体中の総クレアチンキナーゼに対する MB 型クレアチンキナーゼの相対測定値 (比率またはパーセンテージ)。</v>
      </c>
      <c r="I1097" s="3" t="str">
        <f ca="1">IFERROR(__xludf.DUMMYFUNCTION("googletranslate(F1097,""en"",""ja"")"),"クレアチンキナーゼMB対総クレアチンキナーゼ比の測定")</f>
        <v>クレアチンキナーゼMB対総クレアチンキナーゼ比の測定</v>
      </c>
    </row>
    <row r="1098" spans="1:9" ht="30">
      <c r="A1098" s="3" t="s">
        <v>6</v>
      </c>
      <c r="B1098" s="3" t="s">
        <v>4666</v>
      </c>
      <c r="C1098" s="3" t="s">
        <v>4667</v>
      </c>
      <c r="D1098" s="3" t="s">
        <v>4667</v>
      </c>
      <c r="E1098" s="3" t="s">
        <v>4668</v>
      </c>
      <c r="F1098" s="3" t="s">
        <v>4669</v>
      </c>
      <c r="G1098" s="3" t="str">
        <f ca="1">IFERROR(__xludf.DUMMYFUNCTION("googletranslate(D1098,""en"",""ja"")"),"クレアチンキナーゼMM")</f>
        <v>クレアチンキナーゼMM</v>
      </c>
      <c r="H1098" s="3" t="str">
        <f ca="1">IFERROR(__xludf.DUMMYFUNCTION("googletranslate(E1098,""en"",""ja"")"),"生物学的標本中のホモ接合型 M 型クレアチンキナーゼの測定。")</f>
        <v>生物学的標本中のホモ接合型 M 型クレアチンキナーゼの測定。</v>
      </c>
      <c r="I1098" s="3" t="str">
        <f ca="1">IFERROR(__xludf.DUMMYFUNCTION("googletranslate(F1098,""en"",""ja"")"),"クレアチンキナーゼMM測定")</f>
        <v>クレアチンキナーゼMM測定</v>
      </c>
    </row>
    <row r="1099" spans="1:9" ht="45">
      <c r="A1099" s="3" t="s">
        <v>6</v>
      </c>
      <c r="B1099" s="3" t="s">
        <v>4670</v>
      </c>
      <c r="C1099" s="3" t="s">
        <v>4671</v>
      </c>
      <c r="D1099" s="3" t="s">
        <v>4671</v>
      </c>
      <c r="E1099" s="3" t="s">
        <v>4672</v>
      </c>
      <c r="F1099" s="3" t="s">
        <v>4673</v>
      </c>
      <c r="G1099" s="3" t="str">
        <f ca="1">IFERROR(__xludf.DUMMYFUNCTION("googletranslate(D1099,""en"",""ja"")"),"クレアチンキナーゼMM/総クレアチンキナーゼ")</f>
        <v>クレアチンキナーゼMM/総クレアチンキナーゼ</v>
      </c>
      <c r="H1099" s="3" t="str">
        <f ca="1">IFERROR(__xludf.DUMMYFUNCTION("googletranslate(E1099,""en"",""ja"")"),"生体試料中の総クレアチンキナーゼに対する MM 型クレアチンキナーゼの相対測定値 (比率またはパーセンテージ)。")</f>
        <v>生体試料中の総クレアチンキナーゼに対する MM 型クレアチンキナーゼの相対測定値 (比率またはパーセンテージ)。</v>
      </c>
      <c r="I1099" s="3" t="str">
        <f ca="1">IFERROR(__xludf.DUMMYFUNCTION("googletranslate(F1099,""en"",""ja"")"),"クレアチンキナーゼMMと総クレアチンキナーゼの比率の測定")</f>
        <v>クレアチンキナーゼMMと総クレアチンキナーゼの比率の測定</v>
      </c>
    </row>
    <row r="1100" spans="1:9" ht="60">
      <c r="A1100" s="3" t="s">
        <v>6</v>
      </c>
      <c r="B1100" s="3" t="s">
        <v>4674</v>
      </c>
      <c r="C1100" s="3" t="s">
        <v>4675</v>
      </c>
      <c r="D1100" s="3" t="s">
        <v>4676</v>
      </c>
      <c r="E1100" s="3" t="s">
        <v>4677</v>
      </c>
      <c r="F1100" s="3" t="s">
        <v>4678</v>
      </c>
      <c r="G1100" s="3" t="str">
        <f ca="1">IFERROR(__xludf.DUMMYFUNCTION("googletranslate(D1100,""en"",""ja"")"),"CK、高分子タイプ 1/総 CK;クレアチンキナーゼ、高分子タイプ 1/総クレアチンキナーゼ")</f>
        <v>CK、高分子タイプ 1/総 CK;クレアチンキナーゼ、高分子タイプ 1/総クレアチンキナーゼ</v>
      </c>
      <c r="H1100" s="3" t="str">
        <f ca="1">IFERROR(__xludf.DUMMYFUNCTION("googletranslate(E1100,""en"",""ja"")"),"生体試料中の総クレアチンキナーゼに対する高分子 1 型クレアチンキナーゼの相対測定値 (比率またはパーセンテージ)。")</f>
        <v>生体試料中の総クレアチンキナーゼに対する高分子 1 型クレアチンキナーゼの相対測定値 (比率またはパーセンテージ)。</v>
      </c>
      <c r="I1100" s="3" t="str">
        <f ca="1">IFERROR(__xludf.DUMMYFUNCTION("googletranslate(F1100,""en"",""ja"")"),"高分子タイプ 1 クレアチンキナーゼと総クレアチンキナーゼの比の測定")</f>
        <v>高分子タイプ 1 クレアチンキナーゼと総クレアチンキナーゼの比の測定</v>
      </c>
    </row>
    <row r="1101" spans="1:9" ht="60">
      <c r="A1101" s="3" t="s">
        <v>6</v>
      </c>
      <c r="B1101" s="3" t="s">
        <v>4679</v>
      </c>
      <c r="C1101" s="3" t="s">
        <v>4680</v>
      </c>
      <c r="D1101" s="3" t="s">
        <v>4681</v>
      </c>
      <c r="E1101" s="3" t="s">
        <v>4682</v>
      </c>
      <c r="F1101" s="3" t="s">
        <v>4683</v>
      </c>
      <c r="G1101" s="3" t="str">
        <f ca="1">IFERROR(__xludf.DUMMYFUNCTION("googletranslate(D1101,""en"",""ja"")"),"CK、高分子タイプ 2/総 CK;クレアチンキナーゼ、高分子タイプ 2/総クレアチンキナーゼ")</f>
        <v>CK、高分子タイプ 2/総 CK;クレアチンキナーゼ、高分子タイプ 2/総クレアチンキナーゼ</v>
      </c>
      <c r="H1101" s="3" t="str">
        <f ca="1">IFERROR(__xludf.DUMMYFUNCTION("googletranslate(E1101,""en"",""ja"")"),"生体試料中の総クレアチンキナーゼに対する高分子 2 型クレアチンキナーゼの相対測定値 (比率またはパーセンテージ)。")</f>
        <v>生体試料中の総クレアチンキナーゼに対する高分子 2 型クレアチンキナーゼの相対測定値 (比率またはパーセンテージ)。</v>
      </c>
      <c r="I1101" s="3" t="str">
        <f ca="1">IFERROR(__xludf.DUMMYFUNCTION("googletranslate(F1101,""en"",""ja"")"),"高分子タイプ 2 クレアチンキナーゼと総クレアチンキナーゼの比の測定")</f>
        <v>高分子タイプ 2 クレアチンキナーゼと総クレアチンキナーゼの比の測定</v>
      </c>
    </row>
    <row r="1102" spans="1:9" ht="30">
      <c r="A1102" s="3" t="s">
        <v>67</v>
      </c>
      <c r="B1102" s="3" t="s">
        <v>4684</v>
      </c>
      <c r="C1102" s="3" t="s">
        <v>4685</v>
      </c>
      <c r="D1102" s="3" t="s">
        <v>4685</v>
      </c>
      <c r="E1102" s="3" t="s">
        <v>4686</v>
      </c>
      <c r="F1102" s="3" t="s">
        <v>4687</v>
      </c>
      <c r="G1102" s="3" t="str">
        <f ca="1">IFERROR(__xludf.DUMMYFUNCTION("googletranslate(D1102,""en"",""ja"")"),"シトロバクター・コセリ")</f>
        <v>シトロバクター・コセリ</v>
      </c>
      <c r="H1102" s="3" t="str">
        <f ca="1">IFERROR(__xludf.DUMMYFUNCTION("googletranslate(E1102,""en"",""ja"")"),"生物学的標本中のシトロバクター・コセリの測定。")</f>
        <v>生物学的標本中のシトロバクター・コセリの測定。</v>
      </c>
      <c r="I1102" s="3" t="str">
        <f ca="1">IFERROR(__xludf.DUMMYFUNCTION("googletranslate(F1102,""en"",""ja"")"),"シトロバクター・コセリの測定")</f>
        <v>シトロバクター・コセリの測定</v>
      </c>
    </row>
    <row r="1103" spans="1:9">
      <c r="A1103" s="3" t="s">
        <v>6</v>
      </c>
      <c r="B1103" s="3" t="s">
        <v>4688</v>
      </c>
      <c r="C1103" s="3" t="s">
        <v>4689</v>
      </c>
      <c r="D1103" s="3" t="s">
        <v>4689</v>
      </c>
      <c r="E1103" s="3" t="s">
        <v>4690</v>
      </c>
      <c r="F1103" s="3" t="s">
        <v>4691</v>
      </c>
      <c r="G1103" s="3" t="str">
        <f ca="1">IFERROR(__xludf.DUMMYFUNCTION("googletranslate(D1103,""en"",""ja"")"),"塩化")</f>
        <v>塩化</v>
      </c>
      <c r="H1103" s="3" t="str">
        <f ca="1">IFERROR(__xludf.DUMMYFUNCTION("googletranslate(E1103,""en"",""ja"")"),"生物学的標本中の塩化物の測定。")</f>
        <v>生物学的標本中の塩化物の測定。</v>
      </c>
      <c r="I1103" s="3" t="str">
        <f ca="1">IFERROR(__xludf.DUMMYFUNCTION("googletranslate(F1103,""en"",""ja"")"),"塩化物測定")</f>
        <v>塩化物測定</v>
      </c>
    </row>
    <row r="1104" spans="1:9">
      <c r="A1104" s="3" t="s">
        <v>6</v>
      </c>
      <c r="B1104" s="3" t="s">
        <v>4692</v>
      </c>
      <c r="C1104" s="3" t="s">
        <v>4693</v>
      </c>
      <c r="D1104" s="3" t="s">
        <v>4693</v>
      </c>
      <c r="E1104" s="3" t="s">
        <v>4694</v>
      </c>
      <c r="F1104" s="3" t="s">
        <v>4695</v>
      </c>
      <c r="G1104" s="3" t="str">
        <f ca="1">IFERROR(__xludf.DUMMYFUNCTION("googletranslate(D1104,""en"",""ja"")"),"明瞭さ")</f>
        <v>明瞭さ</v>
      </c>
      <c r="H1104" s="3" t="str">
        <f ca="1">IFERROR(__xludf.DUMMYFUNCTION("googletranslate(E1104,""en"",""ja"")"),"生物標本の透明度の測定。")</f>
        <v>生物標本の透明度の測定。</v>
      </c>
      <c r="I1104" s="3" t="str">
        <f ca="1">IFERROR(__xludf.DUMMYFUNCTION("googletranslate(F1104,""en"",""ja"")"),"クラリティ測定")</f>
        <v>クラリティ測定</v>
      </c>
    </row>
    <row r="1105" spans="1:9" ht="45">
      <c r="A1105" s="3" t="s">
        <v>6</v>
      </c>
      <c r="B1105" s="3" t="s">
        <v>4696</v>
      </c>
      <c r="C1105" s="3" t="s">
        <v>4697</v>
      </c>
      <c r="D1105" s="3" t="s">
        <v>4697</v>
      </c>
      <c r="E1105" s="3" t="s">
        <v>4698</v>
      </c>
      <c r="F1105" s="3" t="s">
        <v>4699</v>
      </c>
      <c r="G1105" s="3" t="str">
        <f ca="1">IFERROR(__xludf.DUMMYFUNCTION("googletranslate(D1105,""en"",""ja"")"),"塩化物クリアランス")</f>
        <v>塩化物クリアランス</v>
      </c>
      <c r="H1105" s="3" t="str">
        <f ca="1">IFERROR(__xludf.DUMMYFUNCTION("googletranslate(E1105,""en"",""ja"")"),"指定された時間単位 (例: 1 分) の尿の排泄によって塩素が除去される血清または血漿の量の測定値。")</f>
        <v>指定された時間単位 (例: 1 分) の尿の排泄によって塩素が除去される血清または血漿の量の測定値。</v>
      </c>
      <c r="I1105" s="3" t="str">
        <f ca="1">IFERROR(__xludf.DUMMYFUNCTION("googletranslate(F1105,""en"",""ja"")"),"塩化物クリアランス測定")</f>
        <v>塩化物クリアランス測定</v>
      </c>
    </row>
    <row r="1106" spans="1:9" ht="30">
      <c r="A1106" s="3" t="s">
        <v>6</v>
      </c>
      <c r="B1106" s="3" t="s">
        <v>4700</v>
      </c>
      <c r="C1106" s="3" t="s">
        <v>4701</v>
      </c>
      <c r="D1106" s="3" t="s">
        <v>4701</v>
      </c>
      <c r="E1106" s="3" t="s">
        <v>4702</v>
      </c>
      <c r="F1106" s="3" t="s">
        <v>4703</v>
      </c>
      <c r="G1106" s="3" t="str">
        <f ca="1">IFERROR(__xludf.DUMMYFUNCTION("googletranslate(D1106,""en"",""ja"")"),"塩化物/クレアチニン")</f>
        <v>塩化物/クレアチニン</v>
      </c>
      <c r="H1106" s="3" t="str">
        <f ca="1">IFERROR(__xludf.DUMMYFUNCTION("googletranslate(E1106,""en"",""ja"")"),"生物学的標本中のクレアチニンに対する塩化物の相対測定値 (比率またはパーセンテージ)。")</f>
        <v>生物学的標本中のクレアチニンに対する塩化物の相対測定値 (比率またはパーセンテージ)。</v>
      </c>
      <c r="I1106" s="3" t="str">
        <f ca="1">IFERROR(__xludf.DUMMYFUNCTION("googletranslate(F1106,""en"",""ja"")"),"塩化物とクレアチニンの比率の測定")</f>
        <v>塩化物とクレアチニンの比率の測定</v>
      </c>
    </row>
    <row r="1107" spans="1:9" ht="30">
      <c r="A1107" s="3" t="s">
        <v>6</v>
      </c>
      <c r="B1107" s="3" t="s">
        <v>4704</v>
      </c>
      <c r="C1107" s="3" t="s">
        <v>4705</v>
      </c>
      <c r="D1107" s="3" t="s">
        <v>4705</v>
      </c>
      <c r="E1107" s="3" t="s">
        <v>4706</v>
      </c>
      <c r="F1107" s="3" t="s">
        <v>4707</v>
      </c>
      <c r="G1107" s="3" t="str">
        <f ca="1">IFERROR(__xludf.DUMMYFUNCTION("googletranslate(D1107,""en"",""ja"")"),"カルシトニン")</f>
        <v>カルシトニン</v>
      </c>
      <c r="H1107" s="3" t="str">
        <f ca="1">IFERROR(__xludf.DUMMYFUNCTION("googletranslate(E1107,""en"",""ja"")"),"生物学的標本中のカルシトニン ホルモンの測定。")</f>
        <v>生物学的標本中のカルシトニン ホルモンの測定。</v>
      </c>
      <c r="I1107" s="3" t="str">
        <f ca="1">IFERROR(__xludf.DUMMYFUNCTION("googletranslate(F1107,""en"",""ja"")"),"カルシトニンの測定")</f>
        <v>カルシトニンの測定</v>
      </c>
    </row>
    <row r="1108" spans="1:9" ht="30">
      <c r="A1108" s="3" t="s">
        <v>6</v>
      </c>
      <c r="B1108" s="3" t="s">
        <v>4708</v>
      </c>
      <c r="C1108" s="3" t="s">
        <v>4709</v>
      </c>
      <c r="D1108" s="3" t="s">
        <v>4709</v>
      </c>
      <c r="E1108" s="3" t="s">
        <v>4710</v>
      </c>
      <c r="F1108" s="3" t="s">
        <v>4711</v>
      </c>
      <c r="G1108" s="3" t="str">
        <f ca="1">IFERROR(__xludf.DUMMYFUNCTION("googletranslate(D1108,""en"",""ja"")"),"カルシトリオール")</f>
        <v>カルシトリオール</v>
      </c>
      <c r="H1108" s="3" t="str">
        <f ca="1">IFERROR(__xludf.DUMMYFUNCTION("googletranslate(E1108,""en"",""ja"")"),"生物学的標本中のカルシトリオール ホルモンの測定。")</f>
        <v>生物学的標本中のカルシトリオール ホルモンの測定。</v>
      </c>
      <c r="I1108" s="3" t="str">
        <f ca="1">IFERROR(__xludf.DUMMYFUNCTION("googletranslate(F1108,""en"",""ja"")"),"カルシトリオールの測定")</f>
        <v>カルシトリオールの測定</v>
      </c>
    </row>
    <row r="1109" spans="1:9" ht="30">
      <c r="A1109" s="3" t="s">
        <v>1557</v>
      </c>
      <c r="B1109" s="3" t="s">
        <v>4712</v>
      </c>
      <c r="C1109" s="3" t="s">
        <v>4713</v>
      </c>
      <c r="D1109" s="3" t="s">
        <v>4713</v>
      </c>
      <c r="E1109" s="3" t="s">
        <v>4714</v>
      </c>
      <c r="F1109" s="3" t="s">
        <v>4713</v>
      </c>
      <c r="G1109" s="3" t="str">
        <f ca="1">IFERROR(__xludf.DUMMYFUNCTION("googletranslate(D1109,""en"",""ja"")"),"距離計用補正レンズ")</f>
        <v>距離計用補正レンズ</v>
      </c>
      <c r="H1109" s="3" t="str">
        <f ca="1">IFERROR(__xludf.DUMMYFUNCTION("googletranslate(E1109,""en"",""ja"")"),"距離を補正するために被験者が接眼レンズを装着しているかどうかを示します。")</f>
        <v>距離を補正するために被験者が接眼レンズを装着しているかどうかを示します。</v>
      </c>
      <c r="I1109" s="3" t="str">
        <f ca="1">IFERROR(__xludf.DUMMYFUNCTION("googletranslate(F1109,""en"",""ja"")"),"距離計用補正レンズ")</f>
        <v>距離計用補正レンズ</v>
      </c>
    </row>
    <row r="1110" spans="1:9" ht="30">
      <c r="A1110" s="3" t="s">
        <v>1557</v>
      </c>
      <c r="B1110" s="3" t="s">
        <v>4715</v>
      </c>
      <c r="C1110" s="3" t="s">
        <v>4716</v>
      </c>
      <c r="D1110" s="3" t="s">
        <v>4716</v>
      </c>
      <c r="E1110" s="3" t="s">
        <v>4717</v>
      </c>
      <c r="F1110" s="3" t="s">
        <v>4716</v>
      </c>
      <c r="G1110" s="3" t="str">
        <f ca="1">IFERROR(__xludf.DUMMYFUNCTION("googletranslate(D1110,""en"",""ja"")"),"距離補正レンズタイプ")</f>
        <v>距離補正レンズタイプ</v>
      </c>
      <c r="H1110" s="3" t="str">
        <f ca="1">IFERROR(__xludf.DUMMYFUNCTION("googletranslate(E1110,""en"",""ja"")"),"距離を補正するために被験者が装着する目のレンズの種類の説明。")</f>
        <v>距離を補正するために被験者が装着する目のレンズの種類の説明。</v>
      </c>
      <c r="I1110" s="3" t="str">
        <f ca="1">IFERROR(__xludf.DUMMYFUNCTION("googletranslate(F1110,""en"",""ja"")"),"距離補正レンズタイプ")</f>
        <v>距離補正レンズタイプ</v>
      </c>
    </row>
    <row r="1111" spans="1:9" ht="30">
      <c r="A1111" s="3" t="s">
        <v>51</v>
      </c>
      <c r="B1111" s="3" t="s">
        <v>4718</v>
      </c>
      <c r="C1111" s="3" t="s">
        <v>4719</v>
      </c>
      <c r="D1111" s="3" t="s">
        <v>4719</v>
      </c>
      <c r="E1111" s="3" t="s">
        <v>4720</v>
      </c>
      <c r="F1111" s="3" t="s">
        <v>4721</v>
      </c>
      <c r="G1111" s="3" t="str">
        <f ca="1">IFERROR(__xludf.DUMMYFUNCTION("googletranslate(D1111,""en"",""ja"")"),"塩素化ダイオキシンおよび/またはフラン")</f>
        <v>塩素化ダイオキシンおよび/またはフラン</v>
      </c>
      <c r="H1111" s="3" t="str">
        <f ca="1">IFERROR(__xludf.DUMMYFUNCTION("googletranslate(E1111,""en"",""ja"")"),"試料中の塩素化ダイオキシンおよび/またはフランの測定。")</f>
        <v>試料中の塩素化ダイオキシンおよび/またはフランの測定。</v>
      </c>
      <c r="I1111" s="3" t="str">
        <f ca="1">IFERROR(__xludf.DUMMYFUNCTION("googletranslate(F1111,""en"",""ja"")"),"塩素化ダイオキシンおよび/またはフランの測定")</f>
        <v>塩素化ダイオキシンおよび/またはフランの測定</v>
      </c>
    </row>
    <row r="1112" spans="1:9" ht="45">
      <c r="A1112" s="3" t="s">
        <v>6</v>
      </c>
      <c r="B1112" s="3" t="s">
        <v>4722</v>
      </c>
      <c r="C1112" s="3" t="s">
        <v>4723</v>
      </c>
      <c r="D1112" s="3" t="s">
        <v>4723</v>
      </c>
      <c r="E1112" s="3" t="s">
        <v>4724</v>
      </c>
      <c r="F1112" s="3" t="s">
        <v>4725</v>
      </c>
      <c r="G1112" s="3" t="str">
        <f ca="1">IFERROR(__xludf.DUMMYFUNCTION("googletranslate(D1112,""en"",""ja"")"),"円柱状エピセル/非扁平上エピセル")</f>
        <v>円柱状エピセル/非扁平上エピセル</v>
      </c>
      <c r="H1112" s="3" t="str">
        <f ca="1">IFERROR(__xludf.DUMMYFUNCTION("googletranslate(E1112,""en"",""ja"")"),"生物学的標本における非扁平上皮細胞に対する円柱上皮細胞の相対的な測定値 (比率またはパーセンテージ)。")</f>
        <v>生物学的標本における非扁平上皮細胞に対する円柱上皮細胞の相対的な測定値 (比率またはパーセンテージ)。</v>
      </c>
      <c r="I1112" s="3" t="str">
        <f ca="1">IFERROR(__xludf.DUMMYFUNCTION("googletranslate(F1112,""en"",""ja"")"),"円柱上皮細胞と非扁平上皮細胞の比率の測定")</f>
        <v>円柱上皮細胞と非扁平上皮細胞の比率の測定</v>
      </c>
    </row>
    <row r="1113" spans="1:9" ht="45">
      <c r="A1113" s="3" t="s">
        <v>6</v>
      </c>
      <c r="B1113" s="3" t="s">
        <v>4726</v>
      </c>
      <c r="C1113" s="3" t="s">
        <v>4727</v>
      </c>
      <c r="D1113" s="3" t="s">
        <v>4727</v>
      </c>
      <c r="E1113" s="3" t="s">
        <v>4728</v>
      </c>
      <c r="F1113" s="3" t="s">
        <v>4727</v>
      </c>
      <c r="G1113" s="3" t="str">
        <f ca="1">IFERROR(__xludf.DUMMYFUNCTION("googletranslate(D1113,""en"",""ja"")"),"塩化物排泄率")</f>
        <v>塩化物排泄率</v>
      </c>
      <c r="H1113" s="3" t="str">
        <f ca="1">IFERROR(__xludf.DUMMYFUNCTION("googletranslate(E1113,""en"",""ja"")"),"定義された期間（たとえば、1 時間）にわたって生物学的標本中に排泄される塩化物の量の測定。")</f>
        <v>定義された期間（たとえば、1 時間）にわたって生物学的標本中に排泄される塩化物の量の測定。</v>
      </c>
      <c r="I1113" s="3" t="str">
        <f ca="1">IFERROR(__xludf.DUMMYFUNCTION("googletranslate(F1113,""en"",""ja"")"),"塩化物排泄率")</f>
        <v>塩化物排泄率</v>
      </c>
    </row>
    <row r="1114" spans="1:9" ht="45">
      <c r="A1114" s="3" t="s">
        <v>1557</v>
      </c>
      <c r="B1114" s="3" t="s">
        <v>4729</v>
      </c>
      <c r="C1114" s="3" t="s">
        <v>4730</v>
      </c>
      <c r="D1114" s="3" t="s">
        <v>4730</v>
      </c>
      <c r="E1114" s="3" t="s">
        <v>4731</v>
      </c>
      <c r="F1114" s="3" t="s">
        <v>4730</v>
      </c>
      <c r="G1114" s="3" t="str">
        <f ca="1">IFERROR(__xludf.DUMMYFUNCTION("googletranslate(D1114,""en"",""ja"")"),"補正レンズインジケーター")</f>
        <v>補正レンズインジケーター</v>
      </c>
      <c r="H1114" s="3" t="str">
        <f ca="1">IFERROR(__xludf.DUMMYFUNCTION("googletranslate(E1114,""en"",""ja"")"),"あらゆるタイプの視覚障害を矯正するために、被験者が目のレンズを着用しているかどうかに関する指標。")</f>
        <v>あらゆるタイプの視覚障害を矯正するために、被験者が目のレンズを着用しているかどうかに関する指標。</v>
      </c>
      <c r="I1114" s="3" t="str">
        <f ca="1">IFERROR(__xludf.DUMMYFUNCTION("googletranslate(F1114,""en"",""ja"")"),"補正レンズインジケーター")</f>
        <v>補正レンズインジケーター</v>
      </c>
    </row>
    <row r="1115" spans="1:9" ht="30">
      <c r="A1115" s="3" t="s">
        <v>185</v>
      </c>
      <c r="B1115" s="3" t="s">
        <v>4732</v>
      </c>
      <c r="C1115" s="3" t="s">
        <v>4733</v>
      </c>
      <c r="D1115" s="3" t="s">
        <v>4733</v>
      </c>
      <c r="E1115" s="3" t="s">
        <v>4734</v>
      </c>
      <c r="F1115" s="3" t="s">
        <v>4733</v>
      </c>
      <c r="G1115" s="3" t="str">
        <f ca="1">IFERROR(__xludf.DUMMYFUNCTION("googletranslate(D1115,""en"",""ja"")"),"クリニック滞在インジケーター")</f>
        <v>クリニック滞在インジケーター</v>
      </c>
      <c r="H1115" s="3" t="str">
        <f ca="1">IFERROR(__xludf.DUMMYFUNCTION("googletranslate(E1115,""en"",""ja"")"),"対象者が医療クリニックに入院したかどうかに関する指標。")</f>
        <v>対象者が医療クリニックに入院したかどうかに関する指標。</v>
      </c>
      <c r="I1115" s="3" t="str">
        <f ca="1">IFERROR(__xludf.DUMMYFUNCTION("googletranslate(F1115,""en"",""ja"")"),"クリニック滞在インジケーター")</f>
        <v>クリニック滞在インジケーター</v>
      </c>
    </row>
    <row r="1116" spans="1:9" ht="45">
      <c r="A1116" s="3" t="s">
        <v>185</v>
      </c>
      <c r="B1116" s="3" t="s">
        <v>4735</v>
      </c>
      <c r="C1116" s="3" t="s">
        <v>4736</v>
      </c>
      <c r="D1116" s="3" t="s">
        <v>4736</v>
      </c>
      <c r="E1116" s="3" t="s">
        <v>4737</v>
      </c>
      <c r="F1116" s="3" t="s">
        <v>4738</v>
      </c>
      <c r="G1116" s="3" t="str">
        <f ca="1">IFERROR(__xludf.DUMMYFUNCTION("googletranslate(D1116,""en"",""ja"")"),"病気の臨床状態")</f>
        <v>病気の臨床状態</v>
      </c>
      <c r="H1116" s="3" t="str">
        <f ca="1">IFERROR(__xludf.DUMMYFUNCTION("googletranslate(E1116,""en"",""ja"")"),"臨床医または他の医療提供者によって評価された、対象の疾患または症状の状態の特徴付け。")</f>
        <v>臨床医または他の医療提供者によって評価された、対象の疾患または症状の状態の特徴付け。</v>
      </c>
      <c r="I1116" s="3" t="str">
        <f ca="1">IFERROR(__xludf.DUMMYFUNCTION("googletranslate(F1116,""en"",""ja"")"),"臨床状態")</f>
        <v>臨床状態</v>
      </c>
    </row>
    <row r="1117" spans="1:9" ht="30">
      <c r="A1117" s="3" t="s">
        <v>6</v>
      </c>
      <c r="B1117" s="3" t="s">
        <v>4739</v>
      </c>
      <c r="C1117" s="3" t="s">
        <v>4740</v>
      </c>
      <c r="D1117" s="3" t="s">
        <v>4740</v>
      </c>
      <c r="E1117" s="3" t="s">
        <v>4741</v>
      </c>
      <c r="F1117" s="3" t="s">
        <v>4742</v>
      </c>
      <c r="G1117" s="3" t="str">
        <f ca="1">IFERROR(__xludf.DUMMYFUNCTION("googletranslate(D1117,""en"",""ja"")"),"クロナゼパム")</f>
        <v>クロナゼパム</v>
      </c>
      <c r="H1117" s="3" t="str">
        <f ca="1">IFERROR(__xludf.DUMMYFUNCTION("googletranslate(E1117,""en"",""ja"")"),"生物学的標本中に存在するクロナゼパムの測定。")</f>
        <v>生物学的標本中に存在するクロナゼパムの測定。</v>
      </c>
      <c r="I1117" s="3" t="str">
        <f ca="1">IFERROR(__xludf.DUMMYFUNCTION("googletranslate(F1117,""en"",""ja"")"),"クロナゼパムの測定")</f>
        <v>クロナゼパムの測定</v>
      </c>
    </row>
    <row r="1118" spans="1:9">
      <c r="A1118" s="3" t="s">
        <v>6</v>
      </c>
      <c r="B1118" s="3" t="s">
        <v>4743</v>
      </c>
      <c r="C1118" s="3" t="s">
        <v>4744</v>
      </c>
      <c r="D1118" s="3" t="s">
        <v>4745</v>
      </c>
      <c r="E1118" s="3" t="s">
        <v>4746</v>
      </c>
      <c r="F1118" s="3" t="s">
        <v>4747</v>
      </c>
      <c r="G1118" s="3" t="str">
        <f ca="1">IFERROR(__xludf.DUMMYFUNCTION("googletranslate(D1118,""en"",""ja"")"),"クロバザム;クロバザム")</f>
        <v>クロバザム;クロバザム</v>
      </c>
      <c r="H1118" s="3" t="str">
        <f ca="1">IFERROR(__xludf.DUMMYFUNCTION("googletranslate(E1118,""en"",""ja"")"),"生物学的標本中のクロバザムの測定。")</f>
        <v>生物学的標本中のクロバザムの測定。</v>
      </c>
      <c r="I1118" s="3" t="str">
        <f ca="1">IFERROR(__xludf.DUMMYFUNCTION("googletranslate(F1118,""en"",""ja"")"),"クロバザムの測定")</f>
        <v>クロバザムの測定</v>
      </c>
    </row>
    <row r="1119" spans="1:9">
      <c r="A1119" s="3" t="s">
        <v>6</v>
      </c>
      <c r="B1119" s="3" t="s">
        <v>4748</v>
      </c>
      <c r="C1119" s="3" t="s">
        <v>4749</v>
      </c>
      <c r="D1119" s="3" t="s">
        <v>4749</v>
      </c>
      <c r="E1119" s="3" t="s">
        <v>4750</v>
      </c>
      <c r="F1119" s="3" t="s">
        <v>4751</v>
      </c>
      <c r="G1119" s="3" t="str">
        <f ca="1">IFERROR(__xludf.DUMMYFUNCTION("googletranslate(D1119,""en"",""ja"")"),"クロステボル")</f>
        <v>クロステボル</v>
      </c>
      <c r="H1119" s="3" t="str">
        <f ca="1">IFERROR(__xludf.DUMMYFUNCTION("googletranslate(E1119,""en"",""ja"")"),"生物学的標本中のクロステボルの測定。")</f>
        <v>生物学的標本中のクロステボルの測定。</v>
      </c>
      <c r="I1119" s="3" t="str">
        <f ca="1">IFERROR(__xludf.DUMMYFUNCTION("googletranslate(F1119,""en"",""ja"")"),"クロステボル測定")</f>
        <v>クロステボル測定</v>
      </c>
    </row>
    <row r="1120" spans="1:9" ht="45">
      <c r="A1120" s="3" t="s">
        <v>6</v>
      </c>
      <c r="B1120" s="3" t="s">
        <v>4752</v>
      </c>
      <c r="C1120" s="3" t="s">
        <v>4753</v>
      </c>
      <c r="D1120" s="3" t="s">
        <v>4754</v>
      </c>
      <c r="E1120" s="3" t="s">
        <v>4755</v>
      </c>
      <c r="F1120" s="3" t="s">
        <v>4756</v>
      </c>
      <c r="G1120" s="3" t="str">
        <f ca="1">IFERROR(__xludf.DUMMYFUNCTION("googletranslate(D1120,""en"",""ja"")"),"アルファ角度;アルファ角度;血栓形成のアルファ角度")</f>
        <v>アルファ角度;アルファ角度;血栓形成のアルファ角度</v>
      </c>
      <c r="H1120" s="3" t="str">
        <f ca="1">IFERROR(__xludf.DUMMYFUNCTION("googletranslate(E1120,""en"",""ja"")"),"血栓形成プロセス中の、トロンボエラストグラム曲線の上昇段階における傾斜角度 (20 mm の接線および正中線) の測定値。")</f>
        <v>血栓形成プロセス中の、トロンボエラストグラム曲線の上昇段階における傾斜角度 (20 mm の接線および正中線) の測定値。</v>
      </c>
      <c r="I1120" s="3" t="str">
        <f ca="1">IFERROR(__xludf.DUMMYFUNCTION("googletranslate(F1120,""en"",""ja"")"),"血栓形成アルファ角度の測定")</f>
        <v>血栓形成アルファ角度の測定</v>
      </c>
    </row>
    <row r="1121" spans="1:9">
      <c r="A1121" s="3" t="s">
        <v>6</v>
      </c>
      <c r="B1121" s="3" t="s">
        <v>4757</v>
      </c>
      <c r="C1121" s="3" t="s">
        <v>4758</v>
      </c>
      <c r="D1121" s="3" t="s">
        <v>4759</v>
      </c>
      <c r="E1121" s="3" t="s">
        <v>4760</v>
      </c>
      <c r="F1121" s="3" t="s">
        <v>4761</v>
      </c>
      <c r="G1121" s="3" t="str">
        <f ca="1">IFERROR(__xludf.DUMMYFUNCTION("googletranslate(D1121,""en"",""ja"")"),"凝固振幅;血栓の硬さ")</f>
        <v>凝固振幅;血栓の硬さ</v>
      </c>
      <c r="H1121" s="3" t="str">
        <f ca="1">IFERROR(__xludf.DUMMYFUNCTION("googletranslate(E1121,""en"",""ja"")"),"血栓の硬さの測定。")</f>
        <v>血栓の硬さの測定。</v>
      </c>
      <c r="I1121" s="3" t="str">
        <f ca="1">IFERROR(__xludf.DUMMYFUNCTION("googletranslate(F1121,""en"",""ja"")"),"血餅の硬さの測定")</f>
        <v>血餅の硬さの測定</v>
      </c>
    </row>
    <row r="1122" spans="1:9" ht="30">
      <c r="A1122" s="3" t="s">
        <v>6</v>
      </c>
      <c r="B1122" s="3" t="s">
        <v>4762</v>
      </c>
      <c r="C1122" s="3" t="s">
        <v>4763</v>
      </c>
      <c r="D1122" s="3" t="s">
        <v>4764</v>
      </c>
      <c r="E1122" s="3" t="s">
        <v>4765</v>
      </c>
      <c r="F1122" s="3" t="s">
        <v>4766</v>
      </c>
      <c r="G1122" s="3" t="str">
        <f ca="1">IFERROR(__xludf.DUMMYFUNCTION("googletranslate(D1122,""en"",""ja"")"),"最大凝固振幅;最大の凝血塊の硬さ")</f>
        <v>最大凝固振幅;最大の凝血塊の硬さ</v>
      </c>
      <c r="H1122" s="3" t="str">
        <f ca="1">IFERROR(__xludf.DUMMYFUNCTION("googletranslate(E1122,""en"",""ja"")"),"血餅の最大の硬さの測定値。")</f>
        <v>血餅の最大の硬さの測定値。</v>
      </c>
      <c r="I1122" s="3" t="str">
        <f ca="1">IFERROR(__xludf.DUMMYFUNCTION("googletranslate(F1122,""en"",""ja"")"),"最大血栓硬度測定")</f>
        <v>最大血栓硬度測定</v>
      </c>
    </row>
    <row r="1123" spans="1:9" ht="45">
      <c r="A1123" s="3" t="s">
        <v>6</v>
      </c>
      <c r="B1123" s="3" t="s">
        <v>4767</v>
      </c>
      <c r="C1123" s="3" t="s">
        <v>4768</v>
      </c>
      <c r="D1123" s="3" t="s">
        <v>4769</v>
      </c>
      <c r="E1123" s="3" t="s">
        <v>4770</v>
      </c>
      <c r="F1123" s="3" t="s">
        <v>4771</v>
      </c>
      <c r="G1123" s="3" t="str">
        <f ca="1">IFERROR(__xludf.DUMMYFUNCTION("googletranslate(D1123,""en"",""ja"")"),"CFT;血栓形成時間")</f>
        <v>CFT;血栓形成時間</v>
      </c>
      <c r="H1123" s="3" t="str">
        <f ca="1">IFERROR(__xludf.DUMMYFUNCTION("googletranslate(E1123,""en"",""ja"")"),"血栓形成の開始から血栓の硬さが20mmに達するまでの経過時間を測定します。")</f>
        <v>血栓形成の開始から血栓の硬さが20mmに達するまでの経過時間を測定します。</v>
      </c>
      <c r="I1123" s="3" t="str">
        <f ca="1">IFERROR(__xludf.DUMMYFUNCTION("googletranslate(F1123,""en"",""ja"")"),"血栓形成時間の測定")</f>
        <v>血栓形成時間の測定</v>
      </c>
    </row>
    <row r="1124" spans="1:9" ht="30">
      <c r="A1124" s="3" t="s">
        <v>6</v>
      </c>
      <c r="B1124" s="3" t="s">
        <v>4772</v>
      </c>
      <c r="C1124" s="3" t="s">
        <v>4773</v>
      </c>
      <c r="D1124" s="3" t="s">
        <v>4774</v>
      </c>
      <c r="E1124" s="3" t="s">
        <v>4775</v>
      </c>
      <c r="F1124" s="3" t="s">
        <v>4776</v>
      </c>
      <c r="G1124" s="3" t="str">
        <f ca="1">IFERROR(__xludf.DUMMYFUNCTION("googletranslate(D1124,""en"",""ja"")"),"凝固開始時間;凝固時間。 CT")</f>
        <v>凝固開始時間;凝固時間。 CT</v>
      </c>
      <c r="H1124" s="3" t="str">
        <f ca="1">IFERROR(__xludf.DUMMYFUNCTION("googletranslate(E1124,""en"",""ja"")"),"血栓活性化剤の添加から血栓形成の開始までの経過時間の測定。")</f>
        <v>血栓活性化剤の添加から血栓形成の開始までの経過時間の測定。</v>
      </c>
      <c r="I1124" s="3" t="str">
        <f ca="1">IFERROR(__xludf.DUMMYFUNCTION("googletranslate(F1124,""en"",""ja"")"),"凝固開始時間の測定")</f>
        <v>凝固開始時間の測定</v>
      </c>
    </row>
    <row r="1125" spans="1:9" ht="45">
      <c r="A1125" s="3" t="s">
        <v>6</v>
      </c>
      <c r="B1125" s="3" t="s">
        <v>4777</v>
      </c>
      <c r="C1125" s="3" t="s">
        <v>4778</v>
      </c>
      <c r="D1125" s="3" t="s">
        <v>4779</v>
      </c>
      <c r="E1125" s="3" t="s">
        <v>4780</v>
      </c>
      <c r="F1125" s="3" t="s">
        <v>4778</v>
      </c>
      <c r="G1125" s="3" t="str">
        <f ca="1">IFERROR(__xludf.DUMMYFUNCTION("googletranslate(D1125,""en"",""ja"")"),"血栓LI;凝固溶解指数")</f>
        <v>血栓LI;凝固溶解指数</v>
      </c>
      <c r="H1125" s="3" t="str">
        <f ca="1">IFERROR(__xludf.DUMMYFUNCTION("googletranslate(E1125,""en"",""ja"")"),"凝固開始時間後のある時点における最大凝固硬度値に対する、残存する凝固安定性の相対測定値（パーセンテージ）。")</f>
        <v>凝固開始時間後のある時点における最大凝固硬度値に対する、残存する凝固安定性の相対測定値（パーセンテージ）。</v>
      </c>
      <c r="I1125" s="3" t="str">
        <f ca="1">IFERROR(__xludf.DUMMYFUNCTION("googletranslate(F1125,""en"",""ja"")"),"凝固溶解指数")</f>
        <v>凝固溶解指数</v>
      </c>
    </row>
    <row r="1126" spans="1:9" ht="45">
      <c r="A1126" s="3" t="s">
        <v>6</v>
      </c>
      <c r="B1126" s="3" t="s">
        <v>4781</v>
      </c>
      <c r="C1126" s="3" t="s">
        <v>4782</v>
      </c>
      <c r="D1126" s="3" t="s">
        <v>4783</v>
      </c>
      <c r="E1126" s="3" t="s">
        <v>4784</v>
      </c>
      <c r="F1126" s="3" t="s">
        <v>4785</v>
      </c>
      <c r="G1126" s="3" t="str">
        <f ca="1">IFERROR(__xludf.DUMMYFUNCTION("googletranslate(D1126,""en"",""ja"")"),"最大の凝血塊溶解;最大溶解度")</f>
        <v>最大の凝血塊溶解;最大溶解度</v>
      </c>
      <c r="H1126" s="3" t="str">
        <f ca="1">IFERROR(__xludf.DUMMYFUNCTION("googletranslate(E1126,""en"",""ja"")"),"回転トロンボエラストメトリー検査完了時の波形の振幅の減少の相対測定値 (パーセンテージ)。")</f>
        <v>回転トロンボエラストメトリー検査完了時の波形の振幅の減少の相対測定値 (パーセンテージ)。</v>
      </c>
      <c r="I1126" s="3" t="str">
        <f ca="1">IFERROR(__xludf.DUMMYFUNCTION("googletranslate(F1126,""en"",""ja"")"),"最大凝固溶解測定")</f>
        <v>最大凝固溶解測定</v>
      </c>
    </row>
    <row r="1127" spans="1:9" ht="30">
      <c r="A1127" s="3" t="s">
        <v>6</v>
      </c>
      <c r="B1127" s="3" t="s">
        <v>4786</v>
      </c>
      <c r="C1127" s="3" t="s">
        <v>4787</v>
      </c>
      <c r="D1127" s="3" t="s">
        <v>4788</v>
      </c>
      <c r="E1127" s="3" t="s">
        <v>4789</v>
      </c>
      <c r="F1127" s="3" t="s">
        <v>4790</v>
      </c>
      <c r="G1127" s="3" t="str">
        <f ca="1">IFERROR(__xludf.DUMMYFUNCTION("googletranslate(D1127,""en"",""ja"")"),"血栓の退縮;血栓退縮、定性的")</f>
        <v>血栓の退縮;血栓退縮、定性的</v>
      </c>
      <c r="H1127" s="3" t="str">
        <f ca="1">IFERROR(__xludf.DUMMYFUNCTION("googletranslate(E1127,""en"",""ja"")"),"生物学的標本における血餅退縮の定性的評価。")</f>
        <v>生物学的標本における血餅退縮の定性的評価。</v>
      </c>
      <c r="I1127" s="3" t="str">
        <f ca="1">IFERROR(__xludf.DUMMYFUNCTION("googletranslate(F1127,""en"",""ja"")"),"定性的血栓退縮測定")</f>
        <v>定性的血栓退縮測定</v>
      </c>
    </row>
    <row r="1128" spans="1:9" ht="45">
      <c r="A1128" s="3" t="s">
        <v>6</v>
      </c>
      <c r="B1128" s="3" t="s">
        <v>4791</v>
      </c>
      <c r="C1128" s="3" t="s">
        <v>4792</v>
      </c>
      <c r="D1128" s="3" t="s">
        <v>4792</v>
      </c>
      <c r="E1128" s="3" t="s">
        <v>4793</v>
      </c>
      <c r="F1128" s="3" t="s">
        <v>4794</v>
      </c>
      <c r="G1128" s="3" t="str">
        <f ca="1">IFERROR(__xludf.DUMMYFUNCTION("googletranslate(D1128,""en"",""ja"")"),"血栓退縮時間")</f>
        <v>血栓退縮時間</v>
      </c>
      <c r="H1128" s="3" t="str">
        <f ca="1">IFERROR(__xludf.DUMMYFUNCTION("googletranslate(E1128,""en"",""ja"")"),"凝血塊がガラス収集容器の壁から引っ込む、つまり剥がれるまでにかかる時間の測定値。")</f>
        <v>凝血塊がガラス収集容器の壁から引っ込む、つまり剥がれるまでにかかる時間の測定値。</v>
      </c>
      <c r="I1128" s="3" t="str">
        <f ca="1">IFERROR(__xludf.DUMMYFUNCTION("googletranslate(F1128,""en"",""ja"")"),"血栓退縮時間の測定")</f>
        <v>血栓退縮時間の測定</v>
      </c>
    </row>
    <row r="1129" spans="1:9" ht="30">
      <c r="A1129" s="3" t="s">
        <v>6</v>
      </c>
      <c r="B1129" s="3" t="s">
        <v>4795</v>
      </c>
      <c r="C1129" s="3" t="s">
        <v>4796</v>
      </c>
      <c r="D1129" s="3" t="s">
        <v>4796</v>
      </c>
      <c r="E1129" s="3" t="s">
        <v>4797</v>
      </c>
      <c r="F1129" s="3" t="s">
        <v>4798</v>
      </c>
      <c r="G1129" s="3" t="str">
        <f ca="1">IFERROR(__xludf.DUMMYFUNCTION("googletranslate(D1129,""en"",""ja"")"),"クロルフェンテルミン")</f>
        <v>クロルフェンテルミン</v>
      </c>
      <c r="H1129" s="3" t="str">
        <f ca="1">IFERROR(__xludf.DUMMYFUNCTION("googletranslate(E1129,""en"",""ja"")"),"生物学的標本中のクロルフェンテルミンの測定。")</f>
        <v>生物学的標本中のクロルフェンテルミンの測定。</v>
      </c>
      <c r="I1129" s="3" t="str">
        <f ca="1">IFERROR(__xludf.DUMMYFUNCTION("googletranslate(F1129,""en"",""ja"")"),"クロルフェンテルミンの測定")</f>
        <v>クロルフェンテルミンの測定</v>
      </c>
    </row>
    <row r="1130" spans="1:9" ht="30">
      <c r="A1130" s="3" t="s">
        <v>6</v>
      </c>
      <c r="B1130" s="3" t="s">
        <v>4799</v>
      </c>
      <c r="C1130" s="3" t="s">
        <v>4800</v>
      </c>
      <c r="D1130" s="3" t="s">
        <v>4800</v>
      </c>
      <c r="E1130" s="3" t="s">
        <v>4801</v>
      </c>
      <c r="F1130" s="3" t="s">
        <v>4802</v>
      </c>
      <c r="G1130" s="3" t="str">
        <f ca="1">IFERROR(__xludf.DUMMYFUNCTION("googletranslate(D1130,""en"",""ja"")"),"クロルジアゼポキシド")</f>
        <v>クロルジアゼポキシド</v>
      </c>
      <c r="H1130" s="3" t="str">
        <f ca="1">IFERROR(__xludf.DUMMYFUNCTION("googletranslate(E1130,""en"",""ja"")"),"生物学的標本中に存在するクロルジアゼポキシドの測定。")</f>
        <v>生物学的標本中に存在するクロルジアゼポキシドの測定。</v>
      </c>
      <c r="I1130" s="3" t="str">
        <f ca="1">IFERROR(__xludf.DUMMYFUNCTION("googletranslate(F1130,""en"",""ja"")"),"クロルジアゼポキシドの測定")</f>
        <v>クロルジアゼポキシドの測定</v>
      </c>
    </row>
    <row r="1131" spans="1:9" ht="30">
      <c r="A1131" s="3" t="s">
        <v>6</v>
      </c>
      <c r="B1131" s="3" t="s">
        <v>4803</v>
      </c>
      <c r="C1131" s="3" t="s">
        <v>4804</v>
      </c>
      <c r="D1131" s="3" t="s">
        <v>4804</v>
      </c>
      <c r="E1131" s="3" t="s">
        <v>4805</v>
      </c>
      <c r="F1131" s="3" t="s">
        <v>4806</v>
      </c>
      <c r="G1131" s="3" t="str">
        <f ca="1">IFERROR(__xludf.DUMMYFUNCTION("googletranslate(D1131,""en"",""ja"")"),"クロラゼプト")</f>
        <v>クロラゼプト</v>
      </c>
      <c r="H1131" s="3" t="str">
        <f ca="1">IFERROR(__xludf.DUMMYFUNCTION("googletranslate(E1131,""en"",""ja"")"),"生物学的標本中に存在するクロラゼプ酸の測定。")</f>
        <v>生物学的標本中に存在するクロラゼプ酸の測定。</v>
      </c>
      <c r="I1131" s="3" t="str">
        <f ca="1">IFERROR(__xludf.DUMMYFUNCTION("googletranslate(F1131,""en"",""ja"")"),"クロラゼプ酸の測定")</f>
        <v>クロラゼプ酸の測定</v>
      </c>
    </row>
    <row r="1132" spans="1:9" ht="45">
      <c r="A1132" s="3" t="s">
        <v>6</v>
      </c>
      <c r="B1132" s="3" t="s">
        <v>4807</v>
      </c>
      <c r="C1132" s="3" t="s">
        <v>4808</v>
      </c>
      <c r="D1132" s="3" t="s">
        <v>4809</v>
      </c>
      <c r="E1132" s="3" t="s">
        <v>4810</v>
      </c>
      <c r="F1132" s="3" t="s">
        <v>4811</v>
      </c>
      <c r="G1132" s="3" t="str">
        <f ca="1">IFERROR(__xludf.DUMMYFUNCTION("googletranslate(D1132,""en"",""ja"")"),"凝固溶解時間。 ECLT;エルト;ユーグロブリンの凝固溶解時間。ユーグロブリン溶解時間")</f>
        <v>凝固溶解時間。 ECLT;エルト;ユーグロブリンの凝固溶解時間。ユーグロブリン溶解時間</v>
      </c>
      <c r="H1132" s="3" t="str">
        <f ca="1">IFERROR(__xludf.DUMMYFUNCTION("googletranslate(E1132,""en"",""ja"")"),"生物学的検体中のフィブリン凝固が溶解するのにかかる時間を測定したもの。")</f>
        <v>生物学的検体中のフィブリン凝固が溶解するのにかかる時間を測定したもの。</v>
      </c>
      <c r="I1132" s="3" t="str">
        <f ca="1">IFERROR(__xludf.DUMMYFUNCTION("googletranslate(F1132,""en"",""ja"")"),"ユーグロブリンの凝固溶解時間")</f>
        <v>ユーグロブリンの凝固溶解時間</v>
      </c>
    </row>
    <row r="1133" spans="1:9">
      <c r="A1133" s="3" t="s">
        <v>6</v>
      </c>
      <c r="B1133" s="3" t="s">
        <v>4812</v>
      </c>
      <c r="C1133" s="3" t="s">
        <v>4813</v>
      </c>
      <c r="D1133" s="3" t="s">
        <v>4813</v>
      </c>
      <c r="E1133" s="3" t="s">
        <v>4814</v>
      </c>
      <c r="F1133" s="3" t="s">
        <v>4815</v>
      </c>
      <c r="G1133" s="3" t="str">
        <f ca="1">IFERROR(__xludf.DUMMYFUNCTION("googletranslate(D1133,""en"",""ja"")"),"手掛かり細胞")</f>
        <v>手掛かり細胞</v>
      </c>
      <c r="H1133" s="3" t="str">
        <f ca="1">IFERROR(__xludf.DUMMYFUNCTION("googletranslate(E1133,""en"",""ja"")"),"生物学的標本中の手がかり細胞の測定。")</f>
        <v>生物学的標本中の手がかり細胞の測定。</v>
      </c>
      <c r="I1133" s="3" t="str">
        <f ca="1">IFERROR(__xludf.DUMMYFUNCTION("googletranslate(F1133,""en"",""ja"")"),"手掛かり細胞数")</f>
        <v>手掛かり細胞数</v>
      </c>
    </row>
    <row r="1134" spans="1:9" ht="45">
      <c r="A1134" s="3" t="s">
        <v>6</v>
      </c>
      <c r="B1134" s="3" t="s">
        <v>4816</v>
      </c>
      <c r="C1134" s="3" t="s">
        <v>4817</v>
      </c>
      <c r="D1134" s="3" t="s">
        <v>4817</v>
      </c>
      <c r="E1134" s="3" t="s">
        <v>4818</v>
      </c>
      <c r="F1134" s="3" t="s">
        <v>4819</v>
      </c>
      <c r="G1134" s="3" t="str">
        <f ca="1">IFERROR(__xludf.DUMMYFUNCTION("googletranslate(D1134,""en"",""ja"")"),"クロナゼパムおよび/または代謝物")</f>
        <v>クロナゼパムおよび/または代謝物</v>
      </c>
      <c r="H1134" s="3" t="str">
        <f ca="1">IFERROR(__xludf.DUMMYFUNCTION("googletranslate(E1134,""en"",""ja"")"),"クロナゼパムとその代謝物の両方を測定できるアッセイのための、生物学的検体に存在するクロナゼパムおよび/またはその代謝物の測定。")</f>
        <v>クロナゼパムとその代謝物の両方を測定できるアッセイのための、生物学的検体に存在するクロナゼパムおよび/またはその代謝物の測定。</v>
      </c>
      <c r="I1134" s="3" t="str">
        <f ca="1">IFERROR(__xludf.DUMMYFUNCTION("googletranslate(F1134,""en"",""ja"")"),"クロナゼパムおよび/または代謝物の測定")</f>
        <v>クロナゼパムおよび/または代謝物の測定</v>
      </c>
    </row>
    <row r="1135" spans="1:9" ht="30">
      <c r="A1135" s="3" t="s">
        <v>81</v>
      </c>
      <c r="B1135" s="3" t="s">
        <v>4820</v>
      </c>
      <c r="C1135" s="3" t="s">
        <v>4821</v>
      </c>
      <c r="D1135" s="3" t="s">
        <v>4821</v>
      </c>
      <c r="E1135" s="3" t="s">
        <v>4822</v>
      </c>
      <c r="F1135" s="3" t="s">
        <v>4823</v>
      </c>
      <c r="G1135" s="3" t="str">
        <f ca="1">IFERROR(__xludf.DUMMYFUNCTION("googletranslate(D1135,""en"",""ja"")"),"心筋肥大指標")</f>
        <v>心筋肥大指標</v>
      </c>
      <c r="H1135" s="3" t="str">
        <f ca="1">IFERROR(__xludf.DUMMYFUNCTION("googletranslate(E1135,""en"",""ja"")"),"心筋肥大があるかどうかの指標。")</f>
        <v>心筋肥大があるかどうかの指標。</v>
      </c>
      <c r="I1135" s="3" t="str">
        <f ca="1">IFERROR(__xludf.DUMMYFUNCTION("googletranslate(F1135,""en"",""ja"")"),"心腔肥大インジケーター")</f>
        <v>心腔肥大インジケーター</v>
      </c>
    </row>
    <row r="1136" spans="1:9">
      <c r="A1136" s="3" t="s">
        <v>51</v>
      </c>
      <c r="B1136" s="3" t="s">
        <v>4824</v>
      </c>
      <c r="C1136" s="3" t="s">
        <v>4825</v>
      </c>
      <c r="D1136" s="3" t="s">
        <v>4825</v>
      </c>
      <c r="E1136" s="3" t="s">
        <v>4826</v>
      </c>
      <c r="F1136" s="3" t="s">
        <v>4827</v>
      </c>
      <c r="G1136" s="3" t="str">
        <f ca="1">IFERROR(__xludf.DUMMYFUNCTION("googletranslate(D1136,""en"",""ja"")"),"一酸化炭素")</f>
        <v>一酸化炭素</v>
      </c>
      <c r="H1136" s="3" t="str">
        <f ca="1">IFERROR(__xludf.DUMMYFUNCTION("googletranslate(E1136,""en"",""ja"")"),"試料中の一酸化炭素の測定。")</f>
        <v>試料中の一酸化炭素の測定。</v>
      </c>
      <c r="I1136" s="3" t="str">
        <f ca="1">IFERROR(__xludf.DUMMYFUNCTION("googletranslate(F1136,""en"",""ja"")"),"一酸化炭素の測定")</f>
        <v>一酸化炭素の測定</v>
      </c>
    </row>
    <row r="1137" spans="1:9">
      <c r="A1137" s="3" t="s">
        <v>6</v>
      </c>
      <c r="B1137" s="3" t="s">
        <v>4824</v>
      </c>
      <c r="C1137" s="3" t="s">
        <v>4825</v>
      </c>
      <c r="D1137" s="3" t="s">
        <v>4825</v>
      </c>
      <c r="E1137" s="3" t="s">
        <v>4826</v>
      </c>
      <c r="F1137" s="3" t="s">
        <v>4827</v>
      </c>
      <c r="G1137" s="3" t="str">
        <f ca="1">IFERROR(__xludf.DUMMYFUNCTION("googletranslate(D1137,""en"",""ja"")"),"一酸化炭素")</f>
        <v>一酸化炭素</v>
      </c>
      <c r="H1137" s="3" t="str">
        <f ca="1">IFERROR(__xludf.DUMMYFUNCTION("googletranslate(E1137,""en"",""ja"")"),"試料中の一酸化炭素の測定。")</f>
        <v>試料中の一酸化炭素の測定。</v>
      </c>
      <c r="I1137" s="3" t="str">
        <f ca="1">IFERROR(__xludf.DUMMYFUNCTION("googletranslate(F1137,""en"",""ja"")"),"一酸化炭素の測定")</f>
        <v>一酸化炭素の測定</v>
      </c>
    </row>
    <row r="1138" spans="1:9" ht="45">
      <c r="A1138" s="3" t="s">
        <v>6</v>
      </c>
      <c r="B1138" s="3" t="s">
        <v>4828</v>
      </c>
      <c r="C1138" s="3" t="s">
        <v>4829</v>
      </c>
      <c r="D1138" s="3" t="s">
        <v>4830</v>
      </c>
      <c r="E1138" s="3" t="s">
        <v>4831</v>
      </c>
      <c r="F1138" s="3" t="s">
        <v>4832</v>
      </c>
      <c r="G1138" s="3" t="str">
        <f ca="1">IFERROR(__xludf.DUMMYFUNCTION("googletranslate(D1138,""en"",""ja"")"),"シチジン-ウリジン一リン酸キナーゼ 2;シチジン/ウリジン一リン酸キナーゼ 2")</f>
        <v>シチジン-ウリジン一リン酸キナーゼ 2;シチジン/ウリジン一リン酸キナーゼ 2</v>
      </c>
      <c r="H1138" s="3" t="str">
        <f ca="1">IFERROR(__xludf.DUMMYFUNCTION("googletranslate(E1138,""en"",""ja"")"),"生物学的標本中のシチジン-ウリジン一リン酸キナーゼ 2 の測定。")</f>
        <v>生物学的標本中のシチジン-ウリジン一リン酸キナーゼ 2 の測定。</v>
      </c>
      <c r="I1138" s="3" t="str">
        <f ca="1">IFERROR(__xludf.DUMMYFUNCTION("googletranslate(F1138,""en"",""ja"")"),"シチジンウリジン一リン酸キナーゼ 2 の測定")</f>
        <v>シチジンウリジン一リン酸キナーゼ 2 の測定</v>
      </c>
    </row>
    <row r="1139" spans="1:9" ht="45">
      <c r="A1139" s="3" t="s">
        <v>67</v>
      </c>
      <c r="B1139" s="3" t="s">
        <v>4833</v>
      </c>
      <c r="C1139" s="3" t="s">
        <v>4834</v>
      </c>
      <c r="D1139" s="3" t="s">
        <v>4834</v>
      </c>
      <c r="E1139" s="3" t="s">
        <v>4835</v>
      </c>
      <c r="F1139" s="3" t="s">
        <v>4836</v>
      </c>
      <c r="G1139" s="3" t="str">
        <f ca="1">IFERROR(__xludf.DUMMYFUNCTION("googletranslate(D1139,""en"",""ja"")"),"サイトメガロウィルス")</f>
        <v>サイトメガロウィルス</v>
      </c>
      <c r="H1139" s="3" t="str">
        <f ca="1">IFERROR(__xludf.DUMMYFUNCTION("googletranslate(E1139,""en"",""ja"")"),"生物学的標本において、種レベルには割り当てられていないが、サイトメガロウイルス属レベルに割り当てられている生物の測定値。")</f>
        <v>生物学的標本において、種レベルには割り当てられていないが、サイトメガロウイルス属レベルに割り当てられている生物の測定値。</v>
      </c>
      <c r="I1139" s="3" t="str">
        <f ca="1">IFERROR(__xludf.DUMMYFUNCTION("googletranslate(F1139,""en"",""ja"")"),"サイトメガロウイルス測定")</f>
        <v>サイトメガロウイルス測定</v>
      </c>
    </row>
    <row r="1140" spans="1:9" ht="30">
      <c r="A1140" s="3" t="s">
        <v>67</v>
      </c>
      <c r="B1140" s="3" t="s">
        <v>4837</v>
      </c>
      <c r="C1140" s="3" t="s">
        <v>4838</v>
      </c>
      <c r="D1140" s="3" t="s">
        <v>4838</v>
      </c>
      <c r="E1140" s="3" t="s">
        <v>4839</v>
      </c>
      <c r="F1140" s="3" t="s">
        <v>4840</v>
      </c>
      <c r="G1140" s="3" t="str">
        <f ca="1">IFERROR(__xludf.DUMMYFUNCTION("googletranslate(D1140,""en"",""ja"")"),"サイトメガロウイルス抗原")</f>
        <v>サイトメガロウイルス抗原</v>
      </c>
      <c r="H1140" s="3" t="str">
        <f ca="1">IFERROR(__xludf.DUMMYFUNCTION("googletranslate(E1140,""en"",""ja"")"),"生物学的標本中のサイトメガロウイルス抗原の測定。")</f>
        <v>生物学的標本中のサイトメガロウイルス抗原の測定。</v>
      </c>
      <c r="I1140" s="3" t="str">
        <f ca="1">IFERROR(__xludf.DUMMYFUNCTION("googletranslate(F1140,""en"",""ja"")"),"サイトメガロウイルス抗原測定")</f>
        <v>サイトメガロウイルス抗原測定</v>
      </c>
    </row>
    <row r="1141" spans="1:9" ht="30">
      <c r="A1141" s="3" t="s">
        <v>67</v>
      </c>
      <c r="B1141" s="3" t="s">
        <v>4841</v>
      </c>
      <c r="C1141" s="3" t="s">
        <v>4842</v>
      </c>
      <c r="D1141" s="3" t="s">
        <v>4842</v>
      </c>
      <c r="E1141" s="3" t="s">
        <v>4843</v>
      </c>
      <c r="F1141" s="3" t="s">
        <v>4844</v>
      </c>
      <c r="G1141" s="3" t="str">
        <f ca="1">IFERROR(__xludf.DUMMYFUNCTION("googletranslate(D1141,""en"",""ja"")"),"サイトメガロウイルス DNA")</f>
        <v>サイトメガロウイルス DNA</v>
      </c>
      <c r="H1141" s="3" t="str">
        <f ca="1">IFERROR(__xludf.DUMMYFUNCTION("googletranslate(E1141,""en"",""ja"")"),"生物学的標本中のサイトメガロウイルス DNA の測定。")</f>
        <v>生物学的標本中のサイトメガロウイルス DNA の測定。</v>
      </c>
      <c r="I1141" s="3" t="str">
        <f ca="1">IFERROR(__xludf.DUMMYFUNCTION("googletranslate(F1141,""en"",""ja"")"),"サイトメガロウイルスDNA測定")</f>
        <v>サイトメガロウイルスDNA測定</v>
      </c>
    </row>
    <row r="1142" spans="1:9" ht="45">
      <c r="A1142" s="3" t="s">
        <v>67</v>
      </c>
      <c r="B1142" s="3" t="s">
        <v>4845</v>
      </c>
      <c r="C1142" s="3" t="s">
        <v>4846</v>
      </c>
      <c r="D1142" s="3" t="s">
        <v>4847</v>
      </c>
      <c r="E1142" s="3" t="s">
        <v>4848</v>
      </c>
      <c r="F1142" s="3" t="s">
        <v>4849</v>
      </c>
      <c r="G1142" s="3" t="str">
        <f ca="1">IFERROR(__xludf.DUMMYFUNCTION("googletranslate(D1142,""en"",""ja"")"),"サイトメガロウイルスリンタンパク質 65 抗原;サイトメガロウイルス pp65 抗原")</f>
        <v>サイトメガロウイルスリンタンパク質 65 抗原;サイトメガロウイルス pp65 抗原</v>
      </c>
      <c r="H1142" s="3" t="str">
        <f ca="1">IFERROR(__xludf.DUMMYFUNCTION("googletranslate(E1142,""en"",""ja"")"),"生物学的標本中のサイトメガロウイルスリンタンパク質 65 (pp65) 抗原の測定。")</f>
        <v>生物学的標本中のサイトメガロウイルスリンタンパク質 65 (pp65) 抗原の測定。</v>
      </c>
      <c r="I1142" s="3" t="str">
        <f ca="1">IFERROR(__xludf.DUMMYFUNCTION("googletranslate(F1142,""en"",""ja"")"),"サイトメガロウイルスpp65抗原測定")</f>
        <v>サイトメガロウイルスpp65抗原測定</v>
      </c>
    </row>
    <row r="1143" spans="1:9" ht="60">
      <c r="A1143" s="3" t="s">
        <v>142</v>
      </c>
      <c r="B1143" s="3" t="s">
        <v>4850</v>
      </c>
      <c r="C1143" s="3" t="s">
        <v>4851</v>
      </c>
      <c r="D1143" s="3" t="s">
        <v>4852</v>
      </c>
      <c r="E1143" s="3" t="s">
        <v>4853</v>
      </c>
      <c r="F1143" s="3" t="s">
        <v>4854</v>
      </c>
      <c r="G1143" s="3" t="str">
        <f ca="1">IFERROR(__xludf.DUMMYFUNCTION("googletranslate(D1143,""en"",""ja"")"),"最近の性交におけるコンドームの使用指標。コンドームの使用最新のセックス Interc Ind")</f>
        <v>最近の性交におけるコンドームの使用指標。コンドームの使用最新のセックス Interc Ind</v>
      </c>
      <c r="H1143" s="3" t="str">
        <f ca="1">IFERROR(__xludf.DUMMYFUNCTION("googletranslate(E1143,""en"",""ja"")"),"最近の性交時にコンドームが使用されたかどうかに関する指標。")</f>
        <v>最近の性交時にコンドームが使用されたかどうかに関する指標。</v>
      </c>
      <c r="I1143" s="3" t="str">
        <f ca="1">IFERROR(__xludf.DUMMYFUNCTION("googletranslate(F1143,""en"",""ja"")"),"最近の性交におけるコンドームの使用指標")</f>
        <v>最近の性交におけるコンドームの使用指標</v>
      </c>
    </row>
    <row r="1144" spans="1:9" ht="30">
      <c r="A1144" s="3" t="s">
        <v>142</v>
      </c>
      <c r="B1144" s="3" t="s">
        <v>4855</v>
      </c>
      <c r="C1144" s="3" t="s">
        <v>4856</v>
      </c>
      <c r="D1144" s="3" t="s">
        <v>4857</v>
      </c>
      <c r="E1144" s="3" t="s">
        <v>4858</v>
      </c>
      <c r="F1144" s="3" t="s">
        <v>4859</v>
      </c>
      <c r="G1144" s="3" t="str">
        <f ca="1">IFERROR(__xludf.DUMMYFUNCTION("googletranslate(D1144,""en"",""ja"")"),"コンドームの使用頻度の説明;コンドームの使用頻度の説明")</f>
        <v>コンドームの使用頻度の説明;コンドームの使用頻度の説明</v>
      </c>
      <c r="H1144" s="3" t="str">
        <f ca="1">IFERROR(__xludf.DUMMYFUNCTION("googletranslate(E1144,""en"",""ja"")"),"性行為中にコンドームが使用される規則性の説明。")</f>
        <v>性行為中にコンドームが使用される規則性の説明。</v>
      </c>
      <c r="I1144" s="3" t="str">
        <f ca="1">IFERROR(__xludf.DUMMYFUNCTION("googletranslate(F1144,""en"",""ja"")"),"コンドームの使用頻度")</f>
        <v>コンドームの使用頻度</v>
      </c>
    </row>
    <row r="1145" spans="1:9" ht="45">
      <c r="A1145" s="3" t="s">
        <v>67</v>
      </c>
      <c r="B1145" s="3" t="s">
        <v>4860</v>
      </c>
      <c r="C1145" s="3" t="s">
        <v>4861</v>
      </c>
      <c r="D1145" s="3" t="s">
        <v>4861</v>
      </c>
      <c r="E1145" s="3" t="s">
        <v>4862</v>
      </c>
      <c r="F1145" s="3" t="s">
        <v>4863</v>
      </c>
      <c r="G1145" s="3" t="str">
        <f ca="1">IFERROR(__xludf.DUMMYFUNCTION("googletranslate(D1145,""en"",""ja"")"),"クリプトコッカス・ネオフォルマンス/ガッティ DNA")</f>
        <v>クリプトコッカス・ネオフォルマンス/ガッティ DNA</v>
      </c>
      <c r="H1145" s="3" t="str">
        <f ca="1">IFERROR(__xludf.DUMMYFUNCTION("googletranslate(E1145,""en"",""ja"")"),"生物学的標本中のクリプトコッカス ネオフォルマンスおよび/またはクリプトコッカス ガッティ DNA の測定。")</f>
        <v>生物学的標本中のクリプトコッカス ネオフォルマンスおよび/またはクリプトコッカス ガッティ DNA の測定。</v>
      </c>
      <c r="I1145" s="3" t="str">
        <f ca="1">IFERROR(__xludf.DUMMYFUNCTION("googletranslate(F1145,""en"",""ja"")"),"クリプトコッカス・ネオフォルマンスおよび/またはガッティのDNA測定")</f>
        <v>クリプトコッカス・ネオフォルマンスおよび/またはガッティのDNA測定</v>
      </c>
    </row>
    <row r="1146" spans="1:9" ht="30">
      <c r="A1146" s="3" t="s">
        <v>6</v>
      </c>
      <c r="B1146" s="3" t="s">
        <v>4864</v>
      </c>
      <c r="C1146" s="3" t="s">
        <v>4865</v>
      </c>
      <c r="D1146" s="3" t="s">
        <v>4865</v>
      </c>
      <c r="E1146" s="3" t="s">
        <v>4866</v>
      </c>
      <c r="F1146" s="3" t="s">
        <v>4867</v>
      </c>
      <c r="G1146" s="3" t="str">
        <f ca="1">IFERROR(__xludf.DUMMYFUNCTION("googletranslate(D1146,""en"",""ja"")"),"毛様体神経栄養因子")</f>
        <v>毛様体神経栄養因子</v>
      </c>
      <c r="H1146" s="3" t="str">
        <f ca="1">IFERROR(__xludf.DUMMYFUNCTION("googletranslate(E1146,""en"",""ja"")"),"生物学的標本中の毛様体神経栄養因子の測定。")</f>
        <v>生物学的標本中の毛様体神経栄養因子の測定。</v>
      </c>
      <c r="I1146" s="3" t="str">
        <f ca="1">IFERROR(__xludf.DUMMYFUNCTION("googletranslate(F1146,""en"",""ja"")"),"毛様体神経栄養因子の測定")</f>
        <v>毛様体神経栄養因子の測定</v>
      </c>
    </row>
    <row r="1147" spans="1:9" ht="30">
      <c r="A1147" s="3" t="s">
        <v>1557</v>
      </c>
      <c r="B1147" s="3" t="s">
        <v>4868</v>
      </c>
      <c r="C1147" s="3" t="s">
        <v>4869</v>
      </c>
      <c r="D1147" s="3" t="s">
        <v>4870</v>
      </c>
      <c r="E1147" s="3" t="s">
        <v>4871</v>
      </c>
      <c r="F1147" s="3" t="s">
        <v>4872</v>
      </c>
      <c r="G1147" s="3" t="str">
        <f ca="1">IFERROR(__xludf.DUMMYFUNCTION("googletranslate(D1147,""en"",""ja"")"),"指の距離を数える")</f>
        <v>指の距離を数える</v>
      </c>
      <c r="H1147" s="3" t="str">
        <f ca="1">IFERROR(__xludf.DUMMYFUNCTION("googletranslate(E1147,""en"",""ja"")"),"被験者が検査者の指を認識し、正確に数えることができる最も遠い距離の評価。")</f>
        <v>被験者が検査者の指を認識し、正確に数えることができる最も遠い距離の評価。</v>
      </c>
      <c r="I1147" s="3" t="str">
        <f ca="1">IFERROR(__xludf.DUMMYFUNCTION("googletranslate(F1147,""en"",""ja"")"),"指を数えるテスト")</f>
        <v>指を数えるテスト</v>
      </c>
    </row>
    <row r="1148" spans="1:9" ht="45">
      <c r="A1148" s="3" t="s">
        <v>1557</v>
      </c>
      <c r="B1148" s="3" t="s">
        <v>4873</v>
      </c>
      <c r="C1148" s="3" t="s">
        <v>4874</v>
      </c>
      <c r="D1148" s="3" t="s">
        <v>4875</v>
      </c>
      <c r="E1148" s="3" t="s">
        <v>4876</v>
      </c>
      <c r="F1148" s="3" t="s">
        <v>4874</v>
      </c>
      <c r="G1148" s="3" t="str">
        <f ca="1">IFERROR(__xludf.DUMMYFUNCTION("googletranslate(D1148,""en"",""ja"")"),"指数インジケーター")</f>
        <v>指数インジケーター</v>
      </c>
      <c r="H1148" s="3" t="str">
        <f ca="1">IFERROR(__xludf.DUMMYFUNCTION("googletranslate(E1148,""en"",""ja"")"),"被験者が事前に指定された距離で検査者の指を認識し、正確に数えることができるかどうかを示す指標。")</f>
        <v>被験者が事前に指定された距離で検査者の指を認識し、正確に数えることができるかどうかを示す指標。</v>
      </c>
      <c r="I1148" s="3" t="str">
        <f ca="1">IFERROR(__xludf.DUMMYFUNCTION("googletranslate(F1148,""en"",""ja"")"),"指を数えるインジケーター")</f>
        <v>指を数えるインジケーター</v>
      </c>
    </row>
    <row r="1149" spans="1:9" ht="30">
      <c r="A1149" s="3" t="s">
        <v>503</v>
      </c>
      <c r="B1149" s="3" t="s">
        <v>4877</v>
      </c>
      <c r="C1149" s="3" t="s">
        <v>4878</v>
      </c>
      <c r="D1149" s="3" t="s">
        <v>4878</v>
      </c>
      <c r="E1149" s="3" t="s">
        <v>4879</v>
      </c>
      <c r="F1149" s="3" t="s">
        <v>4878</v>
      </c>
      <c r="G1149" s="3" t="str">
        <f ca="1">IFERROR(__xludf.DUMMYFUNCTION("googletranslate(D1149,""en"",""ja"")"),"本籍地のある郡")</f>
        <v>本籍地のある郡</v>
      </c>
      <c r="H1149" s="3" t="str">
        <f ca="1">IFERROR(__xludf.DUMMYFUNCTION("googletranslate(E1149,""en"",""ja"")"),"個人の永住地として特定される郡。")</f>
        <v>個人の永住地として特定される郡。</v>
      </c>
      <c r="I1149" s="3" t="str">
        <f ca="1">IFERROR(__xludf.DUMMYFUNCTION("googletranslate(F1149,""en"",""ja"")"),"本籍地のある郡")</f>
        <v>本籍地のある郡</v>
      </c>
    </row>
    <row r="1150" spans="1:9" ht="30">
      <c r="A1150" s="3" t="s">
        <v>6</v>
      </c>
      <c r="B1150" s="3" t="s">
        <v>4880</v>
      </c>
      <c r="C1150" s="3" t="s">
        <v>4881</v>
      </c>
      <c r="D1150" s="3" t="s">
        <v>4881</v>
      </c>
      <c r="E1150" s="3" t="s">
        <v>4882</v>
      </c>
      <c r="F1150" s="3" t="s">
        <v>4883</v>
      </c>
      <c r="G1150" s="3" t="str">
        <f ca="1">IFERROR(__xludf.DUMMYFUNCTION("googletranslate(D1150,""en"",""ja"")"),"二酸化炭素")</f>
        <v>二酸化炭素</v>
      </c>
      <c r="H1150" s="3" t="str">
        <f ca="1">IFERROR(__xludf.DUMMYFUNCTION("googletranslate(E1150,""en"",""ja"")"),"生物標本中の二酸化炭素ガスの測定。")</f>
        <v>生物標本中の二酸化炭素ガスの測定。</v>
      </c>
      <c r="I1150" s="3" t="str">
        <f ca="1">IFERROR(__xludf.DUMMYFUNCTION("googletranslate(F1150,""en"",""ja"")"),"二酸化炭素の測定")</f>
        <v>二酸化炭素の測定</v>
      </c>
    </row>
    <row r="1151" spans="1:9" ht="60">
      <c r="A1151" s="3" t="s">
        <v>6</v>
      </c>
      <c r="B1151" s="3" t="s">
        <v>4884</v>
      </c>
      <c r="C1151" s="3" t="s">
        <v>4885</v>
      </c>
      <c r="D1151" s="3" t="s">
        <v>4886</v>
      </c>
      <c r="E1151" s="3" t="s">
        <v>4887</v>
      </c>
      <c r="F1151" s="3" t="s">
        <v>4888</v>
      </c>
      <c r="G1151" s="3" t="str">
        <f ca="1">IFERROR(__xludf.DUMMYFUNCTION("googletranslate(D1151,""en"",""ja"")"),"CI;凝固指数")</f>
        <v>CI;凝固指数</v>
      </c>
      <c r="H1151" s="3" t="str">
        <f ca="1">IFERROR(__xludf.DUMMYFUNCTION("googletranslate(E1151,""en"",""ja"")"),"生体試料の凝固効率の測定。これは、血栓形成の R 値、K 値、角度、最大振幅を考慮した数式によって計算されます。")</f>
        <v>生体試料の凝固効率の測定。これは、血栓形成の R 値、K 値、角度、最大振幅を考慮した数式によって計算されます。</v>
      </c>
      <c r="I1151" s="3" t="str">
        <f ca="1">IFERROR(__xludf.DUMMYFUNCTION("googletranslate(F1151,""en"",""ja"")"),"凝固指数測定")</f>
        <v>凝固指数測定</v>
      </c>
    </row>
    <row r="1152" spans="1:9" ht="30">
      <c r="A1152" s="3" t="s">
        <v>81</v>
      </c>
      <c r="B1152" s="3" t="s">
        <v>4889</v>
      </c>
      <c r="C1152" s="3" t="s">
        <v>4890</v>
      </c>
      <c r="D1152" s="3" t="s">
        <v>4890</v>
      </c>
      <c r="E1152" s="3" t="s">
        <v>4891</v>
      </c>
      <c r="F1152" s="3" t="s">
        <v>4890</v>
      </c>
      <c r="G1152" s="3" t="str">
        <f ca="1">IFERROR(__xludf.DUMMYFUNCTION("googletranslate(D1152,""en"",""ja"")"),"冠動脈優位性")</f>
        <v>冠動脈優位性</v>
      </c>
      <c r="H1152" s="3" t="str">
        <f ca="1">IFERROR(__xludf.DUMMYFUNCTION("googletranslate(E1152,""en"",""ja"")"),"後外側および後下行冠動脈に血液を供給する心外膜血管のパターン。")</f>
        <v>後外側および後下行冠動脈に血液を供給する心外膜血管のパターン。</v>
      </c>
      <c r="I1152" s="3" t="str">
        <f ca="1">IFERROR(__xludf.DUMMYFUNCTION("googletranslate(F1152,""en"",""ja"")"),"冠動脈優位性")</f>
        <v>冠動脈優位性</v>
      </c>
    </row>
    <row r="1153" spans="1:9">
      <c r="A1153" s="3" t="s">
        <v>51</v>
      </c>
      <c r="B1153" s="3" t="s">
        <v>4892</v>
      </c>
      <c r="C1153" s="3" t="s">
        <v>4893</v>
      </c>
      <c r="D1153" s="3" t="s">
        <v>4894</v>
      </c>
      <c r="E1153" s="3" t="s">
        <v>4895</v>
      </c>
      <c r="F1153" s="3" t="s">
        <v>4896</v>
      </c>
      <c r="G1153" s="3" t="str">
        <f ca="1">IFERROR(__xludf.DUMMYFUNCTION("googletranslate(D1153,""en"",""ja"")"),"CO;コバルト")</f>
        <v>CO;コバルト</v>
      </c>
      <c r="H1153" s="3" t="str">
        <f ca="1">IFERROR(__xludf.DUMMYFUNCTION("googletranslate(E1153,""en"",""ja"")"),"試料中のコバルトの測定。")</f>
        <v>試料中のコバルトの測定。</v>
      </c>
      <c r="I1153" s="3" t="str">
        <f ca="1">IFERROR(__xludf.DUMMYFUNCTION("googletranslate(F1153,""en"",""ja"")"),"コバルト測定")</f>
        <v>コバルト測定</v>
      </c>
    </row>
    <row r="1154" spans="1:9" ht="45">
      <c r="A1154" s="3" t="s">
        <v>6</v>
      </c>
      <c r="B1154" s="3" t="s">
        <v>4897</v>
      </c>
      <c r="C1154" s="3" t="s">
        <v>4898</v>
      </c>
      <c r="D1154" s="3" t="s">
        <v>4898</v>
      </c>
      <c r="E1154" s="3" t="s">
        <v>4899</v>
      </c>
      <c r="F1154" s="3" t="s">
        <v>4900</v>
      </c>
      <c r="G1154" s="3" t="str">
        <f ca="1">IFERROR(__xludf.DUMMYFUNCTION("googletranslate(D1154,""en"",""ja"")"),"コカインおよび/または代謝物")</f>
        <v>コカインおよび/または代謝物</v>
      </c>
      <c r="H1154" s="3" t="str">
        <f ca="1">IFERROR(__xludf.DUMMYFUNCTION("googletranslate(E1154,""en"",""ja"")"),"コカインとその代謝物の両方を測定できるアッセイのための、生物学的標本に存在するコカインおよび/またはその代謝物の測定。")</f>
        <v>コカインとその代謝物の両方を測定できるアッセイのための、生物学的標本に存在するコカインおよび/またはその代謝物の測定。</v>
      </c>
      <c r="I1154" s="3" t="str">
        <f ca="1">IFERROR(__xludf.DUMMYFUNCTION("googletranslate(F1154,""en"",""ja"")"),"コカインおよび/または代謝物の測定")</f>
        <v>コカインおよび/または代謝物の測定</v>
      </c>
    </row>
    <row r="1155" spans="1:9" ht="30">
      <c r="A1155" s="3" t="s">
        <v>6</v>
      </c>
      <c r="B1155" s="3" t="s">
        <v>4901</v>
      </c>
      <c r="C1155" s="3" t="s">
        <v>4902</v>
      </c>
      <c r="D1155" s="3" t="s">
        <v>4903</v>
      </c>
      <c r="E1155" s="3" t="s">
        <v>4904</v>
      </c>
      <c r="F1155" s="3" t="s">
        <v>4905</v>
      </c>
      <c r="G1155" s="3" t="str">
        <f ca="1">IFERROR(__xludf.DUMMYFUNCTION("googletranslate(D1155,""en"",""ja"")"),"コカエチレン;コカインエチル")</f>
        <v>コカエチレン;コカインエチル</v>
      </c>
      <c r="H1155" s="3" t="str">
        <f ca="1">IFERROR(__xludf.DUMMYFUNCTION("googletranslate(E1155,""en"",""ja"")"),"生物学的標本中に存在するコカエチレンの測定。")</f>
        <v>生物学的標本中に存在するコカエチレンの測定。</v>
      </c>
      <c r="I1155" s="3" t="str">
        <f ca="1">IFERROR(__xludf.DUMMYFUNCTION("googletranslate(F1155,""en"",""ja"")"),"コカエチレン測定")</f>
        <v>コカエチレン測定</v>
      </c>
    </row>
    <row r="1156" spans="1:9" ht="30">
      <c r="A1156" s="3" t="s">
        <v>6</v>
      </c>
      <c r="B1156" s="3" t="s">
        <v>4906</v>
      </c>
      <c r="C1156" s="3" t="s">
        <v>4907</v>
      </c>
      <c r="D1156" s="3" t="s">
        <v>4907</v>
      </c>
      <c r="E1156" s="3" t="s">
        <v>4908</v>
      </c>
      <c r="F1156" s="3" t="s">
        <v>4909</v>
      </c>
      <c r="G1156" s="3" t="str">
        <f ca="1">IFERROR(__xludf.DUMMYFUNCTION("googletranslate(D1156,""en"",""ja"")"),"コカイン")</f>
        <v>コカイン</v>
      </c>
      <c r="H1156" s="3" t="str">
        <f ca="1">IFERROR(__xludf.DUMMYFUNCTION("googletranslate(E1156,""en"",""ja"")"),"生物学的標本中に存在するコカインの測定。")</f>
        <v>生物学的標本中に存在するコカインの測定。</v>
      </c>
      <c r="I1156" s="3" t="str">
        <f ca="1">IFERROR(__xludf.DUMMYFUNCTION("googletranslate(F1156,""en"",""ja"")"),"コカインの測定")</f>
        <v>コカインの測定</v>
      </c>
    </row>
    <row r="1157" spans="1:9" ht="30">
      <c r="A1157" s="3" t="s">
        <v>6</v>
      </c>
      <c r="B1157" s="3" t="s">
        <v>4910</v>
      </c>
      <c r="C1157" s="3" t="s">
        <v>4911</v>
      </c>
      <c r="D1157" s="3" t="s">
        <v>4911</v>
      </c>
      <c r="E1157" s="3" t="s">
        <v>4912</v>
      </c>
      <c r="F1157" s="3" t="s">
        <v>4913</v>
      </c>
      <c r="G1157" s="3" t="str">
        <f ca="1">IFERROR(__xludf.DUMMYFUNCTION("googletranslate(D1157,""en"",""ja"")"),"コカインの代謝物")</f>
        <v>コカインの代謝物</v>
      </c>
      <c r="H1157" s="3" t="str">
        <f ca="1">IFERROR(__xludf.DUMMYFUNCTION("googletranslate(E1157,""en"",""ja"")"),"生物学的標本中に存在するコカイン薬物クラスの代謝産物の測定。")</f>
        <v>生物学的標本中に存在するコカイン薬物クラスの代謝産物の測定。</v>
      </c>
      <c r="I1157" s="3" t="str">
        <f ca="1">IFERROR(__xludf.DUMMYFUNCTION("googletranslate(F1157,""en"",""ja"")"),"コカイン代謝物の測定")</f>
        <v>コカイン代謝物の測定</v>
      </c>
    </row>
    <row r="1158" spans="1:9" ht="45">
      <c r="A1158" s="3" t="s">
        <v>6</v>
      </c>
      <c r="B1158" s="3" t="s">
        <v>4914</v>
      </c>
      <c r="C1158" s="3" t="s">
        <v>4915</v>
      </c>
      <c r="D1158" s="3" t="s">
        <v>4915</v>
      </c>
      <c r="E1158" s="3" t="s">
        <v>4916</v>
      </c>
      <c r="F1158" s="3" t="s">
        <v>4917</v>
      </c>
      <c r="G1158" s="3" t="str">
        <f ca="1">IFERROR(__xludf.DUMMYFUNCTION("googletranslate(D1158,""en"",""ja"")"),"コカイン ベンゾイルエクゴニン エクゴニン")</f>
        <v>コカイン ベンゾイルエクゴニン エクゴニン</v>
      </c>
      <c r="H1158" s="3" t="str">
        <f ca="1">IFERROR(__xludf.DUMMYFUNCTION("googletranslate(E1158,""en"",""ja"")"),"生物学的標本中のコカイン、ベンゾイルエクゴニン、および/またはエクゴニンの測定。")</f>
        <v>生物学的標本中のコカイン、ベンゾイルエクゴニン、および/またはエクゴニンの測定。</v>
      </c>
      <c r="I1158" s="3" t="str">
        <f ca="1">IFERROR(__xludf.DUMMYFUNCTION("googletranslate(F1158,""en"",""ja"")"),"コカイン、ベンゾイルエクゴニン、および/またはエクゴニンの測定")</f>
        <v>コカイン、ベンゾイルエクゴニン、および/またはエクゴニンの測定</v>
      </c>
    </row>
    <row r="1159" spans="1:9" ht="30">
      <c r="A1159" s="3" t="s">
        <v>6</v>
      </c>
      <c r="B1159" s="3" t="s">
        <v>4918</v>
      </c>
      <c r="C1159" s="3" t="s">
        <v>4919</v>
      </c>
      <c r="D1159" s="3" t="s">
        <v>4919</v>
      </c>
      <c r="E1159" s="3" t="s">
        <v>4920</v>
      </c>
      <c r="F1159" s="3" t="s">
        <v>4921</v>
      </c>
      <c r="G1159" s="3" t="str">
        <f ca="1">IFERROR(__xludf.DUMMYFUNCTION("googletranslate(D1159,""en"",""ja"")"),"コデイン")</f>
        <v>コデイン</v>
      </c>
      <c r="H1159" s="3" t="str">
        <f ca="1">IFERROR(__xludf.DUMMYFUNCTION("googletranslate(E1159,""en"",""ja"")"),"生物学的標本に存在するコデインの測定。")</f>
        <v>生物学的標本に存在するコデインの測定。</v>
      </c>
      <c r="I1159" s="3" t="str">
        <f ca="1">IFERROR(__xludf.DUMMYFUNCTION("googletranslate(F1159,""en"",""ja"")"),"コデインの測定")</f>
        <v>コデインの測定</v>
      </c>
    </row>
    <row r="1160" spans="1:9" ht="30">
      <c r="A1160" s="3" t="s">
        <v>1255</v>
      </c>
      <c r="B1160" s="3" t="s">
        <v>4922</v>
      </c>
      <c r="C1160" s="3" t="s">
        <v>4923</v>
      </c>
      <c r="D1160" s="3" t="s">
        <v>4923</v>
      </c>
      <c r="E1160" s="3" t="s">
        <v>4924</v>
      </c>
      <c r="F1160" s="3" t="s">
        <v>4923</v>
      </c>
      <c r="G1160" s="3" t="str">
        <f ca="1">IFERROR(__xludf.DUMMYFUNCTION("googletranslate(D1160,""en"",""ja"")"),"コイルチャンネル数")</f>
        <v>コイルチャンネル数</v>
      </c>
      <c r="H1160" s="3" t="str">
        <f ca="1">IFERROR(__xludf.DUMMYFUNCTION("googletranslate(E1160,""en"",""ja"")"),"デバイスのコイル コンポーネント内のチャネルまたは要素の数。")</f>
        <v>デバイスのコイル コンポーネント内のチャネルまたは要素の数。</v>
      </c>
      <c r="I1160" s="3" t="str">
        <f ca="1">IFERROR(__xludf.DUMMYFUNCTION("googletranslate(F1160,""en"",""ja"")"),"コイルチャンネル数")</f>
        <v>コイルチャンネル数</v>
      </c>
    </row>
    <row r="1161" spans="1:9" ht="30">
      <c r="A1161" s="3" t="s">
        <v>1255</v>
      </c>
      <c r="B1161" s="3" t="s">
        <v>4925</v>
      </c>
      <c r="C1161" s="3" t="s">
        <v>4926</v>
      </c>
      <c r="D1161" s="3" t="s">
        <v>4926</v>
      </c>
      <c r="E1161" s="3" t="s">
        <v>4927</v>
      </c>
      <c r="F1161" s="3" t="s">
        <v>4926</v>
      </c>
      <c r="G1161" s="3" t="str">
        <f ca="1">IFERROR(__xludf.DUMMYFUNCTION("googletranslate(D1161,""en"",""ja"")"),"コイル強度")</f>
        <v>コイル強度</v>
      </c>
      <c r="H1161" s="3" t="str">
        <f ca="1">IFERROR(__xludf.DUMMYFUNCTION("googletranslate(E1161,""en"",""ja"")"),"電磁コイルを通過できる最大電圧。 (NCI)")</f>
        <v>電磁コイルを通過できる最大電圧。 (NCI)</v>
      </c>
      <c r="I1161" s="3" t="str">
        <f ca="1">IFERROR(__xludf.DUMMYFUNCTION("googletranslate(F1161,""en"",""ja"")"),"コイル強度")</f>
        <v>コイル強度</v>
      </c>
    </row>
    <row r="1162" spans="1:9" ht="30">
      <c r="A1162" s="3" t="s">
        <v>6</v>
      </c>
      <c r="B1162" s="3" t="s">
        <v>4928</v>
      </c>
      <c r="C1162" s="3" t="s">
        <v>4929</v>
      </c>
      <c r="D1162" s="3" t="s">
        <v>4929</v>
      </c>
      <c r="E1162" s="3" t="s">
        <v>4930</v>
      </c>
      <c r="F1162" s="3" t="s">
        <v>4931</v>
      </c>
      <c r="G1162" s="3" t="str">
        <f ca="1">IFERROR(__xludf.DUMMYFUNCTION("googletranslate(D1162,""en"",""ja"")"),"IV型コラーゲン")</f>
        <v>IV型コラーゲン</v>
      </c>
      <c r="H1162" s="3" t="str">
        <f ca="1">IFERROR(__xludf.DUMMYFUNCTION("googletranslate(E1162,""en"",""ja"")"),"生体標本中の IV 型コラーゲンの測定。")</f>
        <v>生体標本中の IV 型コラーゲンの測定。</v>
      </c>
      <c r="I1162" s="3" t="str">
        <f ca="1">IFERROR(__xludf.DUMMYFUNCTION("googletranslate(F1162,""en"",""ja"")"),"IV型コラーゲンの測定")</f>
        <v>IV型コラーゲンの測定</v>
      </c>
    </row>
    <row r="1163" spans="1:9">
      <c r="A1163" s="3" t="s">
        <v>6</v>
      </c>
      <c r="B1163" s="3" t="s">
        <v>4932</v>
      </c>
      <c r="C1163" s="3" t="s">
        <v>4933</v>
      </c>
      <c r="D1163" s="3" t="s">
        <v>4933</v>
      </c>
      <c r="E1163" s="3" t="s">
        <v>4934</v>
      </c>
      <c r="F1163" s="3" t="s">
        <v>4935</v>
      </c>
      <c r="G1163" s="3" t="str">
        <f ca="1">IFERROR(__xludf.DUMMYFUNCTION("googletranslate(D1163,""en"",""ja"")"),"色")</f>
        <v>色</v>
      </c>
      <c r="H1163" s="3" t="str">
        <f ca="1">IFERROR(__xludf.DUMMYFUNCTION("googletranslate(E1163,""en"",""ja"")"),"生物標本の色の測定。")</f>
        <v>生物標本の色の測定。</v>
      </c>
      <c r="I1163" s="3" t="str">
        <f ca="1">IFERROR(__xludf.DUMMYFUNCTION("googletranslate(F1163,""en"",""ja"")"),"色の評価")</f>
        <v>色の評価</v>
      </c>
    </row>
    <row r="1164" spans="1:9" ht="45">
      <c r="A1164" s="3" t="s">
        <v>1557</v>
      </c>
      <c r="B1164" s="3" t="s">
        <v>4932</v>
      </c>
      <c r="C1164" s="3" t="s">
        <v>4933</v>
      </c>
      <c r="D1164" s="3" t="s">
        <v>4933</v>
      </c>
      <c r="E1164" s="3" t="s">
        <v>4936</v>
      </c>
      <c r="F1164" s="3" t="s">
        <v>4933</v>
      </c>
      <c r="G1164" s="3" t="str">
        <f ca="1">IFERROR(__xludf.DUMMYFUNCTION("googletranslate(D1164,""en"",""ja"")"),"色")</f>
        <v>色</v>
      </c>
      <c r="H1164" s="3" t="str">
        <f ca="1">IFERROR(__xludf.DUMMYFUNCTION("googletranslate(E1164,""en"",""ja"")"),"物体 (または光源) の外観。その色相、明度 (または明るさ)、および彩度に関する人間の認識の観点から説明されます。 (NCI)")</f>
        <v>物体 (または光源) の外観。その色相、明度 (または明るさ)、および彩度に関する人間の認識の観点から説明されます。 (NCI)</v>
      </c>
      <c r="I1164" s="3" t="str">
        <f ca="1">IFERROR(__xludf.DUMMYFUNCTION("googletranslate(F1164,""en"",""ja"")"),"色")</f>
        <v>色</v>
      </c>
    </row>
    <row r="1165" spans="1:9" ht="30">
      <c r="A1165" s="3" t="s">
        <v>6</v>
      </c>
      <c r="B1165" s="3" t="s">
        <v>4937</v>
      </c>
      <c r="C1165" s="3" t="s">
        <v>4938</v>
      </c>
      <c r="D1165" s="3" t="s">
        <v>4938</v>
      </c>
      <c r="E1165" s="3" t="s">
        <v>4939</v>
      </c>
      <c r="F1165" s="3" t="s">
        <v>4940</v>
      </c>
      <c r="G1165" s="3" t="str">
        <f ca="1">IFERROR(__xludf.DUMMYFUNCTION("googletranslate(D1165,""en"",""ja"")"),"軟骨オリゴマーマトリックスタンパク質")</f>
        <v>軟骨オリゴマーマトリックスタンパク質</v>
      </c>
      <c r="H1165" s="3" t="str">
        <f ca="1">IFERROR(__xludf.DUMMYFUNCTION("googletranslate(E1165,""en"",""ja"")"),"生物学的標本中の軟骨オリゴマーマトリックスタンパク質の測定。")</f>
        <v>生物学的標本中の軟骨オリゴマーマトリックスタンパク質の測定。</v>
      </c>
      <c r="I1165" s="3" t="str">
        <f ca="1">IFERROR(__xludf.DUMMYFUNCTION("googletranslate(F1165,""en"",""ja"")"),"軟骨オリゴマーマトリックスタンパク質の測定")</f>
        <v>軟骨オリゴマーマトリックスタンパク質の測定</v>
      </c>
    </row>
    <row r="1166" spans="1:9">
      <c r="A1166" s="3" t="s">
        <v>2904</v>
      </c>
      <c r="B1166" s="3" t="s">
        <v>4941</v>
      </c>
      <c r="C1166" s="3" t="s">
        <v>4942</v>
      </c>
      <c r="D1166" s="3" t="s">
        <v>4942</v>
      </c>
      <c r="E1166" s="3" t="s">
        <v>4943</v>
      </c>
      <c r="F1166" s="3" t="s">
        <v>4942</v>
      </c>
      <c r="G1166" s="3" t="str">
        <f ca="1">IFERROR(__xludf.DUMMYFUNCTION("googletranslate(D1166,""en"",""ja"")"),"構成")</f>
        <v>構成</v>
      </c>
      <c r="H1166" s="3" t="str">
        <f ca="1">IFERROR(__xludf.DUMMYFUNCTION("googletranslate(E1166,""en"",""ja"")"),"何かが作られる材料。")</f>
        <v>何かが作られる材料。</v>
      </c>
      <c r="I1166" s="3" t="str">
        <f ca="1">IFERROR(__xludf.DUMMYFUNCTION("googletranslate(F1166,""en"",""ja"")"),"構成")</f>
        <v>構成</v>
      </c>
    </row>
    <row r="1167" spans="1:9" ht="30">
      <c r="A1167" s="3" t="s">
        <v>33</v>
      </c>
      <c r="B1167" s="3" t="s">
        <v>4944</v>
      </c>
      <c r="C1167" s="3" t="s">
        <v>4945</v>
      </c>
      <c r="D1167" s="3" t="s">
        <v>4945</v>
      </c>
      <c r="E1167" s="3" t="s">
        <v>4946</v>
      </c>
      <c r="F1167" s="3" t="s">
        <v>4945</v>
      </c>
      <c r="G1167" s="3" t="str">
        <f ca="1">IFERROR(__xludf.DUMMYFUNCTION("googletranslate(D1167,""en"",""ja"")"),"集中")</f>
        <v>集中</v>
      </c>
      <c r="H1167" s="3" t="str">
        <f ca="1">IFERROR(__xludf.DUMMYFUNCTION("googletranslate(E1167,""en"",""ja"")"),"別の物質の単位体積または単位重量における、特定の物質の量。")</f>
        <v>別の物質の単位体積または単位重量における、特定の物質の量。</v>
      </c>
      <c r="I1167" s="3" t="str">
        <f ca="1">IFERROR(__xludf.DUMMYFUNCTION("googletranslate(F1167,""en"",""ja"")"),"集中")</f>
        <v>集中</v>
      </c>
    </row>
    <row r="1168" spans="1:9" ht="30">
      <c r="A1168" s="3" t="s">
        <v>6</v>
      </c>
      <c r="B1168" s="3" t="s">
        <v>4947</v>
      </c>
      <c r="C1168" s="3" t="s">
        <v>4948</v>
      </c>
      <c r="D1168" s="3" t="s">
        <v>4948</v>
      </c>
      <c r="E1168" s="3" t="s">
        <v>4949</v>
      </c>
      <c r="F1168" s="3" t="s">
        <v>4948</v>
      </c>
      <c r="G1168" s="3" t="str">
        <f ca="1">IFERROR(__xludf.DUMMYFUNCTION("googletranslate(D1168,""en"",""ja"")"),"尿伝導率")</f>
        <v>尿伝導率</v>
      </c>
      <c r="H1168" s="3" t="str">
        <f ca="1">IFERROR(__xludf.DUMMYFUNCTION("googletranslate(E1168,""en"",""ja"")"),"尿中の電解質濃度の非線形関数である尿導電率の測定値。")</f>
        <v>尿中の電解質濃度の非線形関数である尿導電率の測定値。</v>
      </c>
      <c r="I1168" s="3" t="str">
        <f ca="1">IFERROR(__xludf.DUMMYFUNCTION("googletranslate(F1168,""en"",""ja"")"),"尿伝導率")</f>
        <v>尿伝導率</v>
      </c>
    </row>
    <row r="1169" spans="1:9">
      <c r="A1169" s="3" t="s">
        <v>6</v>
      </c>
      <c r="B1169" s="3" t="s">
        <v>4950</v>
      </c>
      <c r="C1169" s="3" t="s">
        <v>4951</v>
      </c>
      <c r="D1169" s="3" t="s">
        <v>4951</v>
      </c>
      <c r="E1169" s="3" t="s">
        <v>4952</v>
      </c>
      <c r="F1169" s="3" t="s">
        <v>4951</v>
      </c>
      <c r="G1169" s="3" t="str">
        <f ca="1">IFERROR(__xludf.DUMMYFUNCTION("googletranslate(D1169,""en"",""ja"")"),"一貫性")</f>
        <v>一貫性</v>
      </c>
      <c r="H1169" s="3" t="str">
        <f ca="1">IFERROR(__xludf.DUMMYFUNCTION("googletranslate(E1169,""en"",""ja"")"),"エンティティの硬さや構造に関する説明。")</f>
        <v>エンティティの硬さや構造に関する説明。</v>
      </c>
      <c r="I1169" s="3" t="str">
        <f ca="1">IFERROR(__xludf.DUMMYFUNCTION("googletranslate(F1169,""en"",""ja"")"),"一貫性")</f>
        <v>一貫性</v>
      </c>
    </row>
    <row r="1170" spans="1:9" ht="30">
      <c r="A1170" s="3" t="s">
        <v>185</v>
      </c>
      <c r="B1170" s="3" t="s">
        <v>4953</v>
      </c>
      <c r="C1170" s="3" t="s">
        <v>4954</v>
      </c>
      <c r="D1170" s="3" t="s">
        <v>4954</v>
      </c>
      <c r="E1170" s="3" t="s">
        <v>4955</v>
      </c>
      <c r="F1170" s="3" t="s">
        <v>4956</v>
      </c>
      <c r="G1170" s="3" t="str">
        <f ca="1">IFERROR(__xludf.DUMMYFUNCTION("googletranslate(D1170,""en"",""ja"")"),"コントラスト強調フェーズ")</f>
        <v>コントラスト強調フェーズ</v>
      </c>
      <c r="H1170" s="3" t="str">
        <f ca="1">IFERROR(__xludf.DUMMYFUNCTION("googletranslate(E1170,""en"",""ja"")"),"投与後の体内の造影剤の分布の段階。")</f>
        <v>投与後の体内の造影剤の分布の段階。</v>
      </c>
      <c r="I1170" s="3" t="str">
        <f ca="1">IFERROR(__xludf.DUMMYFUNCTION("googletranslate(F1170,""en"",""ja"")"),"造影剤増強フェーズ")</f>
        <v>造影剤増強フェーズ</v>
      </c>
    </row>
    <row r="1171" spans="1:9">
      <c r="A1171" s="3" t="s">
        <v>6</v>
      </c>
      <c r="B1171" s="3" t="s">
        <v>4957</v>
      </c>
      <c r="C1171" s="3" t="s">
        <v>4958</v>
      </c>
      <c r="D1171" s="3" t="s">
        <v>4958</v>
      </c>
      <c r="E1171" s="3" t="s">
        <v>4959</v>
      </c>
      <c r="F1171" s="3" t="s">
        <v>4960</v>
      </c>
      <c r="G1171" s="3" t="str">
        <f ca="1">IFERROR(__xludf.DUMMYFUNCTION("googletranslate(D1171,""en"",""ja"")"),"コペプチン")</f>
        <v>コペプチン</v>
      </c>
      <c r="H1171" s="3" t="str">
        <f ca="1">IFERROR(__xludf.DUMMYFUNCTION("googletranslate(E1171,""en"",""ja"")"),"生物学的標本中のコペプチンの測定。")</f>
        <v>生物学的標本中のコペプチンの測定。</v>
      </c>
      <c r="I1171" s="3" t="str">
        <f ca="1">IFERROR(__xludf.DUMMYFUNCTION("googletranslate(F1171,""en"",""ja"")"),"コペプチンの測定")</f>
        <v>コペプチンの測定</v>
      </c>
    </row>
    <row r="1172" spans="1:9">
      <c r="A1172" s="3" t="s">
        <v>6</v>
      </c>
      <c r="B1172" s="3" t="s">
        <v>4961</v>
      </c>
      <c r="C1172" s="3" t="s">
        <v>4962</v>
      </c>
      <c r="D1172" s="3" t="s">
        <v>4963</v>
      </c>
      <c r="E1172" s="3" t="s">
        <v>4964</v>
      </c>
      <c r="F1172" s="3" t="s">
        <v>4965</v>
      </c>
      <c r="G1172" s="3" t="str">
        <f ca="1">IFERROR(__xludf.DUMMYFUNCTION("googletranslate(D1172,""en"",""ja"")"),"銅;銅")</f>
        <v>銅;銅</v>
      </c>
      <c r="H1172" s="3" t="str">
        <f ca="1">IFERROR(__xludf.DUMMYFUNCTION("googletranslate(E1172,""en"",""ja"")"),"生物標本中の銅の測定。")</f>
        <v>生物標本中の銅の測定。</v>
      </c>
      <c r="I1172" s="3" t="str">
        <f ca="1">IFERROR(__xludf.DUMMYFUNCTION("googletranslate(F1172,""en"",""ja"")"),"銅の測定")</f>
        <v>銅の測定</v>
      </c>
    </row>
    <row r="1173" spans="1:9">
      <c r="A1173" s="3" t="s">
        <v>6</v>
      </c>
      <c r="B1173" s="3" t="s">
        <v>4966</v>
      </c>
      <c r="C1173" s="3" t="s">
        <v>4967</v>
      </c>
      <c r="D1173" s="3" t="s">
        <v>4968</v>
      </c>
      <c r="E1173" s="3" t="s">
        <v>4969</v>
      </c>
      <c r="F1173" s="3" t="s">
        <v>4970</v>
      </c>
      <c r="G1173" s="3" t="str">
        <f ca="1">IFERROR(__xludf.DUMMYFUNCTION("googletranslate(D1173,""en"",""ja"")"),"コエンザイムQ10;ユビキノン10")</f>
        <v>コエンザイムQ10;ユビキノン10</v>
      </c>
      <c r="H1173" s="3" t="str">
        <f ca="1">IFERROR(__xludf.DUMMYFUNCTION("googletranslate(E1173,""en"",""ja"")"),"生物学的標本中のユビキノン 10 の測定。")</f>
        <v>生物学的標本中のユビキノン 10 の測定。</v>
      </c>
      <c r="I1173" s="3" t="str">
        <f ca="1">IFERROR(__xludf.DUMMYFUNCTION("googletranslate(F1173,""en"",""ja"")"),"ユビキノン10の測定")</f>
        <v>ユビキノン10の測定</v>
      </c>
    </row>
    <row r="1174" spans="1:9" ht="30">
      <c r="A1174" s="3" t="s">
        <v>6</v>
      </c>
      <c r="B1174" s="3" t="s">
        <v>4971</v>
      </c>
      <c r="C1174" s="3" t="s">
        <v>4972</v>
      </c>
      <c r="D1174" s="3" t="s">
        <v>4972</v>
      </c>
      <c r="E1174" s="3" t="s">
        <v>4973</v>
      </c>
      <c r="F1174" s="3" t="s">
        <v>4974</v>
      </c>
      <c r="G1174" s="3" t="str">
        <f ca="1">IFERROR(__xludf.DUMMYFUNCTION("googletranslate(D1174,""en"",""ja"")"),"コルチゾール/クレアチニン")</f>
        <v>コルチゾール/クレアチニン</v>
      </c>
      <c r="H1174" s="3" t="str">
        <f ca="1">IFERROR(__xludf.DUMMYFUNCTION("googletranslate(E1174,""en"",""ja"")"),"サンプル中に存在するコルチゾールとクレアチニンの相対測定値 (比率またはパーセンテージ)。")</f>
        <v>サンプル中に存在するコルチゾールとクレアチニンの相対測定値 (比率またはパーセンテージ)。</v>
      </c>
      <c r="I1174" s="3" t="str">
        <f ca="1">IFERROR(__xludf.DUMMYFUNCTION("googletranslate(F1174,""en"",""ja"")"),"コルチゾール対クレアチニン比の測定")</f>
        <v>コルチゾール対クレアチニン比の測定</v>
      </c>
    </row>
    <row r="1175" spans="1:9" ht="30">
      <c r="A1175" s="3" t="s">
        <v>6</v>
      </c>
      <c r="B1175" s="3" t="s">
        <v>4975</v>
      </c>
      <c r="C1175" s="3" t="s">
        <v>4976</v>
      </c>
      <c r="D1175" s="3" t="s">
        <v>4976</v>
      </c>
      <c r="E1175" s="3" t="s">
        <v>4977</v>
      </c>
      <c r="F1175" s="3" t="s">
        <v>4978</v>
      </c>
      <c r="G1175" s="3" t="str">
        <f ca="1">IFERROR(__xludf.DUMMYFUNCTION("googletranslate(D1175,""en"",""ja"")"),"コルチゾール、無料")</f>
        <v>コルチゾール、無料</v>
      </c>
      <c r="H1175" s="3" t="str">
        <f ca="1">IFERROR(__xludf.DUMMYFUNCTION("googletranslate(E1175,""en"",""ja"")"),"生物学的標本中の遊離、結合していないコルチゾールの測定。")</f>
        <v>生物学的標本中の遊離、結合していないコルチゾールの測定。</v>
      </c>
      <c r="I1175" s="3" t="str">
        <f ca="1">IFERROR(__xludf.DUMMYFUNCTION("googletranslate(F1175,""en"",""ja"")"),"無料のコルチゾール測定")</f>
        <v>無料のコルチゾール測定</v>
      </c>
    </row>
    <row r="1176" spans="1:9">
      <c r="A1176" s="3" t="s">
        <v>6</v>
      </c>
      <c r="B1176" s="3" t="s">
        <v>4979</v>
      </c>
      <c r="C1176" s="3" t="s">
        <v>4980</v>
      </c>
      <c r="D1176" s="3" t="s">
        <v>4981</v>
      </c>
      <c r="E1176" s="3" t="s">
        <v>4982</v>
      </c>
      <c r="F1176" s="3" t="s">
        <v>4983</v>
      </c>
      <c r="G1176" s="3" t="str">
        <f ca="1">IFERROR(__xludf.DUMMYFUNCTION("googletranslate(D1176,""en"",""ja"")"),"コルチゾール;総コルチゾール")</f>
        <v>コルチゾール;総コルチゾール</v>
      </c>
      <c r="H1176" s="3" t="str">
        <f ca="1">IFERROR(__xludf.DUMMYFUNCTION("googletranslate(E1176,""en"",""ja"")"),"生物学的標本中のコルチゾールの測定。")</f>
        <v>生物学的標本中のコルチゾールの測定。</v>
      </c>
      <c r="I1176" s="3" t="str">
        <f ca="1">IFERROR(__xludf.DUMMYFUNCTION("googletranslate(F1176,""en"",""ja"")"),"コルチゾール測定")</f>
        <v>コルチゾール測定</v>
      </c>
    </row>
    <row r="1177" spans="1:9" ht="30">
      <c r="A1177" s="3" t="s">
        <v>6</v>
      </c>
      <c r="B1177" s="3" t="s">
        <v>4984</v>
      </c>
      <c r="C1177" s="3" t="s">
        <v>4985</v>
      </c>
      <c r="D1177" s="3" t="s">
        <v>4986</v>
      </c>
      <c r="E1177" s="3" t="s">
        <v>4987</v>
      </c>
      <c r="F1177" s="3" t="s">
        <v>4988</v>
      </c>
      <c r="G1177" s="3" t="str">
        <f ca="1">IFERROR(__xludf.DUMMYFUNCTION("googletranslate(D1177,""en"",""ja"")"),"アルファコルトル。 α-コルトール")</f>
        <v>アルファコルトル。 α-コルトール</v>
      </c>
      <c r="H1177" s="3" t="str">
        <f ca="1">IFERROR(__xludf.DUMMYFUNCTION("googletranslate(E1177,""en"",""ja"")"),"生物学的標本中のアルファコルトールの測定。")</f>
        <v>生物学的標本中のアルファコルトールの測定。</v>
      </c>
      <c r="I1177" s="3" t="str">
        <f ca="1">IFERROR(__xludf.DUMMYFUNCTION("googletranslate(F1177,""en"",""ja"")"),"アルファコルトールの測定")</f>
        <v>アルファコルトールの測定</v>
      </c>
    </row>
    <row r="1178" spans="1:9" ht="30">
      <c r="A1178" s="3" t="s">
        <v>6</v>
      </c>
      <c r="B1178" s="3" t="s">
        <v>4989</v>
      </c>
      <c r="C1178" s="3" t="s">
        <v>4990</v>
      </c>
      <c r="D1178" s="3" t="s">
        <v>4991</v>
      </c>
      <c r="E1178" s="3" t="s">
        <v>4992</v>
      </c>
      <c r="F1178" s="3" t="s">
        <v>4993</v>
      </c>
      <c r="G1178" s="3" t="str">
        <f ca="1">IFERROR(__xludf.DUMMYFUNCTION("googletranslate(D1178,""en"",""ja"")"),"アルファコルトロン; α-コルトロン")</f>
        <v>アルファコルトロン; α-コルトロン</v>
      </c>
      <c r="H1178" s="3" t="str">
        <f ca="1">IFERROR(__xludf.DUMMYFUNCTION("googletranslate(E1178,""en"",""ja"")"),"生物学的標本中のアルファコルトロンの測定。")</f>
        <v>生物学的標本中のアルファコルトロンの測定。</v>
      </c>
      <c r="I1178" s="3" t="str">
        <f ca="1">IFERROR(__xludf.DUMMYFUNCTION("googletranslate(F1178,""en"",""ja"")"),"アルファコルトロンの測定")</f>
        <v>アルファコルトロンの測定</v>
      </c>
    </row>
    <row r="1179" spans="1:9">
      <c r="A1179" s="3" t="s">
        <v>6</v>
      </c>
      <c r="B1179" s="3" t="s">
        <v>4994</v>
      </c>
      <c r="C1179" s="3" t="s">
        <v>4995</v>
      </c>
      <c r="D1179" s="3" t="s">
        <v>4995</v>
      </c>
      <c r="E1179" s="3" t="s">
        <v>4996</v>
      </c>
      <c r="F1179" s="3" t="s">
        <v>4997</v>
      </c>
      <c r="G1179" s="3" t="str">
        <f ca="1">IFERROR(__xludf.DUMMYFUNCTION("googletranslate(D1179,""en"",""ja"")"),"コチニン")</f>
        <v>コチニン</v>
      </c>
      <c r="H1179" s="3" t="str">
        <f ca="1">IFERROR(__xludf.DUMMYFUNCTION("googletranslate(E1179,""en"",""ja"")"),"生物学的標本中のコチニンの測定。")</f>
        <v>生物学的標本中のコチニンの測定。</v>
      </c>
      <c r="I1179" s="3" t="str">
        <f ca="1">IFERROR(__xludf.DUMMYFUNCTION("googletranslate(F1179,""en"",""ja"")"),"コチニンの測定")</f>
        <v>コチニンの測定</v>
      </c>
    </row>
    <row r="1180" spans="1:9" ht="30">
      <c r="A1180" s="3" t="s">
        <v>6</v>
      </c>
      <c r="B1180" s="3" t="s">
        <v>4998</v>
      </c>
      <c r="C1180" s="3" t="s">
        <v>4999</v>
      </c>
      <c r="D1180" s="3" t="s">
        <v>4999</v>
      </c>
      <c r="E1180" s="3" t="s">
        <v>5000</v>
      </c>
      <c r="F1180" s="3" t="s">
        <v>5001</v>
      </c>
      <c r="G1180" s="3" t="str">
        <f ca="1">IFERROR(__xludf.DUMMYFUNCTION("googletranslate(D1180,""en"",""ja"")"),"コチニン、無料")</f>
        <v>コチニン、無料</v>
      </c>
      <c r="H1180" s="3" t="str">
        <f ca="1">IFERROR(__xludf.DUMMYFUNCTION("googletranslate(E1180,""en"",""ja"")"),"標本中の遊離（結合していない）コチニンの測定。")</f>
        <v>標本中の遊離（結合していない）コチニンの測定。</v>
      </c>
      <c r="I1180" s="3" t="str">
        <f ca="1">IFERROR(__xludf.DUMMYFUNCTION("googletranslate(F1180,""en"",""ja"")"),"無料のコチニン測定")</f>
        <v>無料のコチニン測定</v>
      </c>
    </row>
    <row r="1181" spans="1:9">
      <c r="A1181" s="3" t="s">
        <v>51</v>
      </c>
      <c r="B1181" s="3" t="s">
        <v>5002</v>
      </c>
      <c r="C1181" s="3" t="s">
        <v>5003</v>
      </c>
      <c r="D1181" s="3" t="s">
        <v>5003</v>
      </c>
      <c r="E1181" s="3" t="s">
        <v>5004</v>
      </c>
      <c r="F1181" s="3" t="s">
        <v>5005</v>
      </c>
      <c r="G1181" s="3" t="str">
        <f ca="1">IFERROR(__xludf.DUMMYFUNCTION("googletranslate(D1181,""en"",""ja"")"),"クマリン")</f>
        <v>クマリン</v>
      </c>
      <c r="H1181" s="3" t="str">
        <f ca="1">IFERROR(__xludf.DUMMYFUNCTION("googletranslate(E1181,""en"",""ja"")"),"標本中のクマリンの測定。")</f>
        <v>標本中のクマリンの測定。</v>
      </c>
      <c r="I1181" s="3" t="str">
        <f ca="1">IFERROR(__xludf.DUMMYFUNCTION("googletranslate(F1181,""en"",""ja"")"),"クマリン測定")</f>
        <v>クマリン測定</v>
      </c>
    </row>
    <row r="1182" spans="1:9" ht="30">
      <c r="A1182" s="3" t="s">
        <v>67</v>
      </c>
      <c r="B1182" s="3" t="s">
        <v>5006</v>
      </c>
      <c r="C1182" s="3" t="s">
        <v>5007</v>
      </c>
      <c r="D1182" s="3" t="s">
        <v>5007</v>
      </c>
      <c r="E1182" s="3" t="s">
        <v>5008</v>
      </c>
      <c r="F1182" s="3" t="s">
        <v>5009</v>
      </c>
      <c r="G1182" s="3" t="str">
        <f ca="1">IFERROR(__xludf.DUMMYFUNCTION("googletranslate(D1182,""en"",""ja"")"),"クリプトスポリジウム・パルバム抗原")</f>
        <v>クリプトスポリジウム・パルバム抗原</v>
      </c>
      <c r="H1182" s="3" t="str">
        <f ca="1">IFERROR(__xludf.DUMMYFUNCTION("googletranslate(E1182,""en"",""ja"")"),"生物学的標本中のクリプトスポリジウム パルバム抗原の測定。")</f>
        <v>生物学的標本中のクリプトスポリジウム パルバム抗原の測定。</v>
      </c>
      <c r="I1182" s="3" t="str">
        <f ca="1">IFERROR(__xludf.DUMMYFUNCTION("googletranslate(F1182,""en"",""ja"")"),"クリプトスポリジウム・パルバム抗原測定")</f>
        <v>クリプトスポリジウム・パルバム抗原測定</v>
      </c>
    </row>
    <row r="1183" spans="1:9" ht="30">
      <c r="A1183" s="3" t="s">
        <v>6</v>
      </c>
      <c r="B1183" s="3" t="s">
        <v>5010</v>
      </c>
      <c r="C1183" s="3" t="s">
        <v>5011</v>
      </c>
      <c r="D1183" s="3" t="s">
        <v>5012</v>
      </c>
      <c r="E1183" s="3" t="s">
        <v>5013</v>
      </c>
      <c r="F1183" s="3" t="s">
        <v>5014</v>
      </c>
      <c r="G1183" s="3" t="str">
        <f ca="1">IFERROR(__xludf.DUMMYFUNCTION("googletranslate(D1183,""en"",""ja"")"),"カルボキシペプチダーゼ B2; CPU; PCPB;タフィ")</f>
        <v>カルボキシペプチダーゼ B2; CPU; PCPB;タフィ</v>
      </c>
      <c r="H1183" s="3" t="str">
        <f ca="1">IFERROR(__xludf.DUMMYFUNCTION("googletranslate(E1183,""en"",""ja"")"),"生物学的標本中のカルボキシペプチダーゼ B2 の測定。")</f>
        <v>生物学的標本中のカルボキシペプチダーゼ B2 の測定。</v>
      </c>
      <c r="I1183" s="3" t="str">
        <f ca="1">IFERROR(__xludf.DUMMYFUNCTION("googletranslate(F1183,""en"",""ja"")"),"カルボキシペプチダーゼB2の測定")</f>
        <v>カルボキシペプチダーゼB2の測定</v>
      </c>
    </row>
    <row r="1184" spans="1:9" ht="60">
      <c r="A1184" s="3" t="s">
        <v>51</v>
      </c>
      <c r="B1184" s="3" t="s">
        <v>5015</v>
      </c>
      <c r="C1184" s="3" t="s">
        <v>5016</v>
      </c>
      <c r="D1184" s="3" t="s">
        <v>5016</v>
      </c>
      <c r="E1184" s="3" t="s">
        <v>5017</v>
      </c>
      <c r="F1184" s="3" t="s">
        <v>5016</v>
      </c>
      <c r="G1184" s="3" t="str">
        <f ca="1">IFERROR(__xludf.DUMMYFUNCTION("googletranslate(D1184,""en"",""ja"")"),"タバコ紙バンドの拡散率")</f>
        <v>タバコ紙バンドの拡散率</v>
      </c>
      <c r="H1184" s="3" t="str">
        <f ca="1">IFERROR(__xludf.DUMMYFUNCTION("googletranslate(E1184,""en"",""ja"")"),"紙巻きタバコのくすぶり能力を低下させるために使用される、一部の紙巻きタバコ紙に存在するセルロースバンド全体にわたるガスまたは粒子の拡散率の評価。")</f>
        <v>紙巻きタバコのくすぶり能力を低下させるために使用される、一部の紙巻きタバコ紙に存在するセルロースバンド全体にわたるガスまたは粒子の拡散率の評価。</v>
      </c>
      <c r="I1184" s="3" t="str">
        <f ca="1">IFERROR(__xludf.DUMMYFUNCTION("googletranslate(F1184,""en"",""ja"")"),"タバコ紙バンドの拡散率")</f>
        <v>タバコ紙バンドの拡散率</v>
      </c>
    </row>
    <row r="1185" spans="1:9" ht="60">
      <c r="A1185" s="3" t="s">
        <v>51</v>
      </c>
      <c r="B1185" s="3" t="s">
        <v>5018</v>
      </c>
      <c r="C1185" s="3" t="s">
        <v>5019</v>
      </c>
      <c r="D1185" s="3" t="s">
        <v>5019</v>
      </c>
      <c r="E1185" s="3" t="s">
        <v>5020</v>
      </c>
      <c r="F1185" s="3" t="s">
        <v>5019</v>
      </c>
      <c r="G1185" s="3" t="str">
        <f ca="1">IFERROR(__xludf.DUMMYFUNCTION("googletranslate(D1185,""en"",""ja"")"),"紙巻バンドの透過性")</f>
        <v>紙巻バンドの透過性</v>
      </c>
      <c r="H1185" s="3" t="str">
        <f ca="1">IFERROR(__xludf.DUMMYFUNCTION("googletranslate(E1185,""en"",""ja"")"),"紙巻きタバコのくすぶりやすさを低下させるために使用される、一部の紙巻きタバコ紙に存在するセルロースバンドを通るガスまたは粒子の透過性の評価。")</f>
        <v>紙巻きタバコのくすぶりやすさを低下させるために使用される、一部の紙巻きタバコ紙に存在するセルロースバンドを通るガスまたは粒子の透過性の評価。</v>
      </c>
      <c r="I1185" s="3" t="str">
        <f ca="1">IFERROR(__xludf.DUMMYFUNCTION("googletranslate(F1185,""en"",""ja"")"),"紙巻バンドの透過性")</f>
        <v>紙巻バンドの透過性</v>
      </c>
    </row>
    <row r="1186" spans="1:9" ht="45">
      <c r="A1186" s="3" t="s">
        <v>51</v>
      </c>
      <c r="B1186" s="3" t="s">
        <v>5021</v>
      </c>
      <c r="C1186" s="3" t="s">
        <v>5022</v>
      </c>
      <c r="D1186" s="3" t="s">
        <v>5022</v>
      </c>
      <c r="E1186" s="3" t="s">
        <v>5023</v>
      </c>
      <c r="F1186" s="3" t="s">
        <v>5022</v>
      </c>
      <c r="G1186" s="3" t="str">
        <f ca="1">IFERROR(__xludf.DUMMYFUNCTION("googletranslate(D1186,""en"",""ja"")"),"タバコ紙バンドの気孔率")</f>
        <v>タバコ紙バンドの気孔率</v>
      </c>
      <c r="H1186" s="3" t="str">
        <f ca="1">IFERROR(__xludf.DUMMYFUNCTION("googletranslate(E1186,""en"",""ja"")"),"紙巻きタバコのくすぶりやすさを低下させるために使用される、一部の紙巻きタバコ紙に存在するセルロースバンドの多孔性の評価。")</f>
        <v>紙巻きタバコのくすぶりやすさを低下させるために使用される、一部の紙巻きタバコ紙に存在するセルロースバンドの多孔性の評価。</v>
      </c>
      <c r="I1186" s="3" t="str">
        <f ca="1">IFERROR(__xludf.DUMMYFUNCTION("googletranslate(F1186,""en"",""ja"")"),"タバコ紙バンドの気孔率")</f>
        <v>タバコ紙バンドの気孔率</v>
      </c>
    </row>
    <row r="1187" spans="1:9" ht="60">
      <c r="A1187" s="3" t="s">
        <v>51</v>
      </c>
      <c r="B1187" s="3" t="s">
        <v>5024</v>
      </c>
      <c r="C1187" s="3" t="s">
        <v>5025</v>
      </c>
      <c r="D1187" s="3" t="s">
        <v>5025</v>
      </c>
      <c r="E1187" s="3" t="s">
        <v>5026</v>
      </c>
      <c r="F1187" s="3" t="s">
        <v>5025</v>
      </c>
      <c r="G1187" s="3" t="str">
        <f ca="1">IFERROR(__xludf.DUMMYFUNCTION("googletranslate(D1187,""en"",""ja"")"),"紙巻タバコスペース")</f>
        <v>紙巻タバコスペース</v>
      </c>
      <c r="H1187" s="3" t="str">
        <f ca="1">IFERROR(__xludf.DUMMYFUNCTION("googletranslate(E1187,""en"",""ja"")"),"紙巻きタバコのくすぶりやすさを低下させるために使用される、一部の紙巻きタバコ紙に存在する 2 つの隣接するセルロース バンド間の間隔の長さの評価。")</f>
        <v>紙巻きタバコのくすぶりやすさを低下させるために使用される、一部の紙巻きタバコ紙に存在する 2 つの隣接するセルロース バンド間の間隔の長さの評価。</v>
      </c>
      <c r="I1187" s="3" t="str">
        <f ca="1">IFERROR(__xludf.DUMMYFUNCTION("googletranslate(F1187,""en"",""ja"")"),"紙巻タバコスペース")</f>
        <v>紙巻タバコスペース</v>
      </c>
    </row>
    <row r="1188" spans="1:9" ht="45">
      <c r="A1188" s="3" t="s">
        <v>51</v>
      </c>
      <c r="B1188" s="3" t="s">
        <v>5027</v>
      </c>
      <c r="C1188" s="3" t="s">
        <v>5028</v>
      </c>
      <c r="D1188" s="3" t="s">
        <v>5028</v>
      </c>
      <c r="E1188" s="3" t="s">
        <v>5029</v>
      </c>
      <c r="F1188" s="3" t="s">
        <v>5028</v>
      </c>
      <c r="G1188" s="3" t="str">
        <f ca="1">IFERROR(__xludf.DUMMYFUNCTION("googletranslate(D1188,""en"",""ja"")"),"紙巻バンド幅")</f>
        <v>紙巻バンド幅</v>
      </c>
      <c r="H1188" s="3" t="str">
        <f ca="1">IFERROR(__xludf.DUMMYFUNCTION("googletranslate(E1188,""en"",""ja"")"),"紙巻きタバコのくすぶりやすさを低下させるために使用される、一部の紙巻きタバコ紙に存在するセルロースバンドの幅の評価。")</f>
        <v>紙巻きタバコのくすぶりやすさを低下させるために使用される、一部の紙巻きタバコ紙に存在するセルロースバンドの幅の評価。</v>
      </c>
      <c r="I1188" s="3" t="str">
        <f ca="1">IFERROR(__xludf.DUMMYFUNCTION("googletranslate(F1188,""en"",""ja"")"),"紙巻バンド幅")</f>
        <v>紙巻バンド幅</v>
      </c>
    </row>
    <row r="1189" spans="1:9" ht="30">
      <c r="A1189" s="3" t="s">
        <v>103</v>
      </c>
      <c r="B1189" s="3" t="s">
        <v>5030</v>
      </c>
      <c r="C1189" s="3" t="s">
        <v>5031</v>
      </c>
      <c r="D1189" s="3" t="s">
        <v>5031</v>
      </c>
      <c r="E1189" s="3" t="s">
        <v>5032</v>
      </c>
      <c r="F1189" s="3" t="s">
        <v>5033</v>
      </c>
      <c r="G1189" s="3" t="str">
        <f ca="1">IFERROR(__xludf.DUMMYFUNCTION("googletranslate(D1189,""en"",""ja"")"),"クローン形質細胞")</f>
        <v>クローン形質細胞</v>
      </c>
      <c r="H1189" s="3" t="str">
        <f ca="1">IFERROR(__xludf.DUMMYFUNCTION("googletranslate(E1189,""en"",""ja"")"),"生物学的標本中のクローン形質細胞の測定。")</f>
        <v>生物学的標本中のクローン形質細胞の測定。</v>
      </c>
      <c r="I1189" s="3" t="str">
        <f ca="1">IFERROR(__xludf.DUMMYFUNCTION("googletranslate(F1189,""en"",""ja"")"),"クローン形質細胞数")</f>
        <v>クローン形質細胞数</v>
      </c>
    </row>
    <row r="1190" spans="1:9" ht="30">
      <c r="A1190" s="3" t="s">
        <v>103</v>
      </c>
      <c r="B1190" s="3" t="s">
        <v>5034</v>
      </c>
      <c r="C1190" s="3" t="s">
        <v>5035</v>
      </c>
      <c r="D1190" s="3" t="s">
        <v>5035</v>
      </c>
      <c r="E1190" s="3" t="s">
        <v>5036</v>
      </c>
      <c r="F1190" s="3" t="s">
        <v>5037</v>
      </c>
      <c r="G1190" s="3" t="str">
        <f ca="1">IFERROR(__xludf.DUMMYFUNCTION("googletranslate(D1190,""en"",""ja"")"),"クローン形質細胞/総細胞数")</f>
        <v>クローン形質細胞/総細胞数</v>
      </c>
      <c r="H1190" s="3" t="str">
        <f ca="1">IFERROR(__xludf.DUMMYFUNCTION("googletranslate(E1190,""en"",""ja"")"),"生物学的標本の全細胞に対するクローン形質細胞の相対的な測定値 (比率またはパーセンテージ)。")</f>
        <v>生物学的標本の全細胞に対するクローン形質細胞の相対的な測定値 (比率またはパーセンテージ)。</v>
      </c>
      <c r="I1190" s="3" t="str">
        <f ca="1">IFERROR(__xludf.DUMMYFUNCTION("googletranslate(F1190,""en"",""ja"")"),"クローン形質細胞と全細胞の比率の測定")</f>
        <v>クローン形質細胞と全細胞の比率の測定</v>
      </c>
    </row>
    <row r="1191" spans="1:9" ht="30">
      <c r="A1191" s="3" t="s">
        <v>6</v>
      </c>
      <c r="B1191" s="3" t="s">
        <v>5038</v>
      </c>
      <c r="C1191" s="3" t="s">
        <v>5039</v>
      </c>
      <c r="D1191" s="3" t="s">
        <v>5039</v>
      </c>
      <c r="E1191" s="3" t="s">
        <v>5040</v>
      </c>
      <c r="F1191" s="3" t="s">
        <v>5041</v>
      </c>
      <c r="G1191" s="3" t="str">
        <f ca="1">IFERROR(__xludf.DUMMYFUNCTION("googletranslate(D1191,""en"",""ja"")"),"C-ペプチド/クレアチニン")</f>
        <v>C-ペプチド/クレアチニン</v>
      </c>
      <c r="H1191" s="3" t="str">
        <f ca="1">IFERROR(__xludf.DUMMYFUNCTION("googletranslate(E1191,""en"",""ja"")"),"生物学的標本中のクレアチニンに対する C ペプチドの相対測定値 (比率またはパーセンテージ)。")</f>
        <v>生物学的標本中のクレアチニンに対する C ペプチドの相対測定値 (比率またはパーセンテージ)。</v>
      </c>
      <c r="I1191" s="3" t="str">
        <f ca="1">IFERROR(__xludf.DUMMYFUNCTION("googletranslate(F1191,""en"",""ja"")"),"C-ペプチドとクレアチニンの比率の測定")</f>
        <v>C-ペプチドとクレアチニンの比率の測定</v>
      </c>
    </row>
    <row r="1192" spans="1:9" ht="45">
      <c r="A1192" s="3" t="s">
        <v>6</v>
      </c>
      <c r="B1192" s="3" t="s">
        <v>5042</v>
      </c>
      <c r="C1192" s="3" t="s">
        <v>5043</v>
      </c>
      <c r="D1192" s="3" t="s">
        <v>5043</v>
      </c>
      <c r="E1192" s="3" t="s">
        <v>5044</v>
      </c>
      <c r="F1192" s="3" t="s">
        <v>5043</v>
      </c>
      <c r="G1192" s="3" t="str">
        <f ca="1">IFERROR(__xludf.DUMMYFUNCTION("googletranslate(D1192,""en"",""ja"")"),"C-ペプチド排泄率")</f>
        <v>C-ペプチド排泄率</v>
      </c>
      <c r="H1192" s="3" t="str">
        <f ca="1">IFERROR(__xludf.DUMMYFUNCTION("googletranslate(E1192,""en"",""ja"")"),"規定の時間 (例: 1 時間) にわたって生物学的検体中に排泄される C ペプチドの量の測定。")</f>
        <v>規定の時間 (例: 1 時間) にわたって生物学的検体中に排泄される C ペプチドの量の測定。</v>
      </c>
      <c r="I1192" s="3" t="str">
        <f ca="1">IFERROR(__xludf.DUMMYFUNCTION("googletranslate(F1192,""en"",""ja"")"),"C-ペプチド排泄率")</f>
        <v>C-ペプチド排泄率</v>
      </c>
    </row>
    <row r="1193" spans="1:9" ht="30">
      <c r="A1193" s="3" t="s">
        <v>6</v>
      </c>
      <c r="B1193" s="3" t="s">
        <v>5045</v>
      </c>
      <c r="C1193" s="3" t="s">
        <v>5046</v>
      </c>
      <c r="D1193" s="3" t="s">
        <v>5046</v>
      </c>
      <c r="E1193" s="3" t="s">
        <v>5047</v>
      </c>
      <c r="F1193" s="3" t="s">
        <v>5048</v>
      </c>
      <c r="G1193" s="3" t="str">
        <f ca="1">IFERROR(__xludf.DUMMYFUNCTION("googletranslate(D1193,""en"",""ja"")"),"C-ペプチド")</f>
        <v>C-ペプチド</v>
      </c>
      <c r="H1193" s="3" t="str">
        <f ca="1">IFERROR(__xludf.DUMMYFUNCTION("googletranslate(E1193,""en"",""ja"")"),"生物学的標本中のインスリンの C (接続) ペプチドの測定。")</f>
        <v>生物学的標本中のインスリンの C (接続) ペプチドの測定。</v>
      </c>
      <c r="I1193" s="3" t="str">
        <f ca="1">IFERROR(__xludf.DUMMYFUNCTION("googletranslate(F1193,""en"",""ja"")"),"C-ペプチド測定")</f>
        <v>C-ペプチド測定</v>
      </c>
    </row>
    <row r="1194" spans="1:9" ht="30">
      <c r="A1194" s="3" t="s">
        <v>118</v>
      </c>
      <c r="B1194" s="3" t="s">
        <v>5049</v>
      </c>
      <c r="C1194" s="3" t="s">
        <v>5050</v>
      </c>
      <c r="D1194" s="3" t="s">
        <v>5050</v>
      </c>
      <c r="E1194" s="3" t="s">
        <v>5051</v>
      </c>
      <c r="F1194" s="3" t="s">
        <v>5052</v>
      </c>
      <c r="G1194" s="3" t="str">
        <f ca="1">IFERROR(__xludf.DUMMYFUNCTION("googletranslate(D1194,""en"",""ja"")"),"毛細管再充填時間")</f>
        <v>毛細管再充填時間</v>
      </c>
      <c r="H1194" s="3" t="str">
        <f ca="1">IFERROR(__xludf.DUMMYFUNCTION("googletranslate(E1194,""en"",""ja"")"),"圧力ブランチング後、毛細血管床に血液が再充填されるまでにかかる時間。")</f>
        <v>圧力ブランチング後、毛細血管床に血液が再充填されるまでにかかる時間。</v>
      </c>
      <c r="I1194" s="3" t="str">
        <f ca="1">IFERROR(__xludf.DUMMYFUNCTION("googletranslate(F1194,""en"",""ja"")"),"キャピラリ再充填テスト")</f>
        <v>キャピラリ再充填テスト</v>
      </c>
    </row>
    <row r="1195" spans="1:9" ht="30">
      <c r="A1195" s="3" t="s">
        <v>67</v>
      </c>
      <c r="B1195" s="3" t="s">
        <v>5053</v>
      </c>
      <c r="C1195" s="3" t="s">
        <v>5054</v>
      </c>
      <c r="D1195" s="3" t="s">
        <v>5054</v>
      </c>
      <c r="E1195" s="3" t="s">
        <v>5055</v>
      </c>
      <c r="F1195" s="3" t="s">
        <v>5056</v>
      </c>
      <c r="G1195" s="3" t="str">
        <f ca="1">IFERROR(__xludf.DUMMYFUNCTION("googletranslate(D1195,""en"",""ja"")"),"肺炎クラミジア")</f>
        <v>肺炎クラミジア</v>
      </c>
      <c r="H1195" s="3" t="str">
        <f ca="1">IFERROR(__xludf.DUMMYFUNCTION("googletranslate(E1195,""en"",""ja"")"),"生物学的標本中の肺炎クラミジアの測定。")</f>
        <v>生物学的標本中の肺炎クラミジアの測定。</v>
      </c>
      <c r="I1195" s="3" t="str">
        <f ca="1">IFERROR(__xludf.DUMMYFUNCTION("googletranslate(F1195,""en"",""ja"")"),"肺炎クラミジアの測定")</f>
        <v>肺炎クラミジアの測定</v>
      </c>
    </row>
    <row r="1196" spans="1:9" ht="30">
      <c r="A1196" s="3" t="s">
        <v>67</v>
      </c>
      <c r="B1196" s="3" t="s">
        <v>5057</v>
      </c>
      <c r="C1196" s="3" t="s">
        <v>5058</v>
      </c>
      <c r="D1196" s="3" t="s">
        <v>5058</v>
      </c>
      <c r="E1196" s="3" t="s">
        <v>5059</v>
      </c>
      <c r="F1196" s="3" t="s">
        <v>5060</v>
      </c>
      <c r="G1196" s="3" t="str">
        <f ca="1">IFERROR(__xludf.DUMMYFUNCTION("googletranslate(D1196,""en"",""ja"")"),"肺炎クラミジアのDNA")</f>
        <v>肺炎クラミジアのDNA</v>
      </c>
      <c r="H1196" s="3" t="str">
        <f ca="1">IFERROR(__xludf.DUMMYFUNCTION("googletranslate(E1196,""en"",""ja"")"),"生物学的標本中の肺炎クラミジア DNA の測定。")</f>
        <v>生物学的標本中の肺炎クラミジア DNA の測定。</v>
      </c>
      <c r="I1196" s="3" t="str">
        <f ca="1">IFERROR(__xludf.DUMMYFUNCTION("googletranslate(F1196,""en"",""ja"")"),"肺炎クラミジアDNA測定")</f>
        <v>肺炎クラミジアDNA測定</v>
      </c>
    </row>
    <row r="1197" spans="1:9" ht="30">
      <c r="A1197" s="3" t="s">
        <v>67</v>
      </c>
      <c r="B1197" s="3" t="s">
        <v>5061</v>
      </c>
      <c r="C1197" s="3" t="s">
        <v>5062</v>
      </c>
      <c r="D1197" s="3" t="s">
        <v>5062</v>
      </c>
      <c r="E1197" s="3" t="s">
        <v>5063</v>
      </c>
      <c r="F1197" s="3" t="s">
        <v>5064</v>
      </c>
      <c r="G1197" s="3" t="str">
        <f ca="1">IFERROR(__xludf.DUMMYFUNCTION("googletranslate(D1197,""en"",""ja"")"),"肺炎クラミジアの核酸")</f>
        <v>肺炎クラミジアの核酸</v>
      </c>
      <c r="H1197" s="3" t="str">
        <f ca="1">IFERROR(__xludf.DUMMYFUNCTION("googletranslate(E1197,""en"",""ja"")"),"生物学的検体中の肺炎クラミジアの核酸の測定。")</f>
        <v>生物学的検体中の肺炎クラミジアの核酸の測定。</v>
      </c>
      <c r="I1197" s="3" t="str">
        <f ca="1">IFERROR(__xludf.DUMMYFUNCTION("googletranslate(F1197,""en"",""ja"")"),"肺炎クラミジアの核酸測定")</f>
        <v>肺炎クラミジアの核酸測定</v>
      </c>
    </row>
    <row r="1198" spans="1:9" ht="30">
      <c r="A1198" s="3" t="s">
        <v>5065</v>
      </c>
      <c r="B1198" s="3" t="s">
        <v>5066</v>
      </c>
      <c r="C1198" s="3" t="s">
        <v>5067</v>
      </c>
      <c r="D1198" s="3" t="s">
        <v>5068</v>
      </c>
      <c r="E1198" s="3" t="s">
        <v>5069</v>
      </c>
      <c r="F1198" s="3" t="s">
        <v>5070</v>
      </c>
      <c r="G1198" s="3" t="str">
        <f ca="1">IFERROR(__xludf.DUMMYFUNCTION("googletranslate(D1198,""en"",""ja"")"),"コピー数の増幅;遺伝子コピー数の増幅")</f>
        <v>コピー数の増幅;遺伝子コピー数の増幅</v>
      </c>
      <c r="H1198" s="3" t="str">
        <f ca="1">IFERROR(__xludf.DUMMYFUNCTION("googletranslate(E1198,""en"",""ja"")"),"ゲノム内の遺伝子の複製数の増加の評価。")</f>
        <v>ゲノム内の遺伝子の複製数の増加の評価。</v>
      </c>
      <c r="I1198" s="3" t="str">
        <f ca="1">IFERROR(__xludf.DUMMYFUNCTION("googletranslate(F1198,""en"",""ja"")"),"コピー数増幅の評価")</f>
        <v>コピー数増幅の評価</v>
      </c>
    </row>
    <row r="1199" spans="1:9" ht="30">
      <c r="A1199" s="3" t="s">
        <v>5065</v>
      </c>
      <c r="B1199" s="3" t="s">
        <v>5071</v>
      </c>
      <c r="C1199" s="3" t="s">
        <v>5072</v>
      </c>
      <c r="D1199" s="3" t="s">
        <v>5073</v>
      </c>
      <c r="E1199" s="3" t="s">
        <v>5074</v>
      </c>
      <c r="F1199" s="3" t="s">
        <v>5075</v>
      </c>
      <c r="G1199" s="3" t="str">
        <f ca="1">IFERROR(__xludf.DUMMYFUNCTION("googletranslate(D1199,""en"",""ja"")"),"コピー数の変異。遺伝子コピー数の変動")</f>
        <v>コピー数の変異。遺伝子コピー数の変動</v>
      </c>
      <c r="H1199" s="3" t="str">
        <f ca="1">IFERROR(__xludf.DUMMYFUNCTION("googletranslate(E1199,""en"",""ja"")"),"ゲノム内の遺伝子の複製数の変動の評価。")</f>
        <v>ゲノム内の遺伝子の複製数の変動の評価。</v>
      </c>
      <c r="I1199" s="3" t="str">
        <f ca="1">IFERROR(__xludf.DUMMYFUNCTION("googletranslate(F1199,""en"",""ja"")"),"コピー数変異の評価")</f>
        <v>コピー数変異の評価</v>
      </c>
    </row>
    <row r="1200" spans="1:9" ht="30">
      <c r="A1200" s="3" t="s">
        <v>67</v>
      </c>
      <c r="B1200" s="3" t="s">
        <v>5076</v>
      </c>
      <c r="C1200" s="3" t="s">
        <v>5077</v>
      </c>
      <c r="D1200" s="3" t="s">
        <v>5077</v>
      </c>
      <c r="E1200" s="3" t="s">
        <v>5078</v>
      </c>
      <c r="F1200" s="3" t="s">
        <v>5079</v>
      </c>
      <c r="G1200" s="3" t="str">
        <f ca="1">IFERROR(__xludf.DUMMYFUNCTION("googletranslate(D1200,""en"",""ja"")"),"クラミドフィラ・オウム病のDNA")</f>
        <v>クラミドフィラ・オウム病のDNA</v>
      </c>
      <c r="H1200" s="3" t="str">
        <f ca="1">IFERROR(__xludf.DUMMYFUNCTION("googletranslate(E1200,""en"",""ja"")"),"生物学的標本中の Chlamydophila psittaci DNA の測定。")</f>
        <v>生物学的標本中の Chlamydophila psittaci DNA の測定。</v>
      </c>
      <c r="I1200" s="3" t="str">
        <f ca="1">IFERROR(__xludf.DUMMYFUNCTION("googletranslate(F1200,""en"",""ja"")"),"Chlamydophila psittaci DNA測定")</f>
        <v>Chlamydophila psittaci DNA測定</v>
      </c>
    </row>
    <row r="1201" spans="1:9" ht="45">
      <c r="A1201" s="3" t="s">
        <v>51</v>
      </c>
      <c r="B1201" s="3" t="s">
        <v>5080</v>
      </c>
      <c r="C1201" s="3" t="s">
        <v>5081</v>
      </c>
      <c r="D1201" s="3" t="s">
        <v>5082</v>
      </c>
      <c r="E1201" s="3" t="s">
        <v>5083</v>
      </c>
      <c r="F1201" s="3" t="s">
        <v>5084</v>
      </c>
      <c r="G1201" s="3" t="str">
        <f ca="1">IFERROR(__xludf.DUMMYFUNCTION("googletranslate(D1201,""en"",""ja"")"),"アセピレン;シクロペンタ(c,d)ピレン;シクロペンタ[c,d]ピレン")</f>
        <v>アセピレン;シクロペンタ(c,d)ピレン;シクロペンタ[c,d]ピレン</v>
      </c>
      <c r="H1201" s="3" t="str">
        <f ca="1">IFERROR(__xludf.DUMMYFUNCTION("googletranslate(E1201,""en"",""ja"")"),"試料中のシクロペンタ[c,d]ピレンの測定。")</f>
        <v>試料中のシクロペンタ[c,d]ピレンの測定。</v>
      </c>
      <c r="I1201" s="3" t="str">
        <f ca="1">IFERROR(__xludf.DUMMYFUNCTION("googletranslate(F1201,""en"",""ja"")"),"シクロペンタ[c,d]ピレンの測定")</f>
        <v>シクロペンタ[c,d]ピレンの測定</v>
      </c>
    </row>
    <row r="1202" spans="1:9" ht="60">
      <c r="A1202" s="3" t="s">
        <v>67</v>
      </c>
      <c r="B1202" s="3" t="s">
        <v>5085</v>
      </c>
      <c r="C1202" s="3" t="s">
        <v>5086</v>
      </c>
      <c r="D1202" s="3" t="s">
        <v>5087</v>
      </c>
      <c r="E1202" s="3" t="s">
        <v>5088</v>
      </c>
      <c r="F1202" s="3" t="s">
        <v>5089</v>
      </c>
      <c r="G1202" s="3" t="str">
        <f ca="1">IFERROR(__xludf.DUMMYFUNCTION("googletranslate(D1202,""en"",""ja"")"),"アシネトバクター、カルバペネム耐性。カルバペネム耐性アシネトバクター")</f>
        <v>アシネトバクター、カルバペネム耐性。カルバペネム耐性アシネトバクター</v>
      </c>
      <c r="H1202" s="3" t="str">
        <f ca="1">IFERROR(__xludf.DUMMYFUNCTION("googletranslate(E1202,""en"",""ja"")"),"種レベルには割り当てられていないが、エンテロコッカス属レベルに割り当てられており、生物学的標本においてカルバペネム耐性もある生物の測定値。")</f>
        <v>種レベルには割り当てられていないが、エンテロコッカス属レベルに割り当てられており、生物学的標本においてカルバペネム耐性もある生物の測定値。</v>
      </c>
      <c r="I1202" s="3" t="str">
        <f ca="1">IFERROR(__xludf.DUMMYFUNCTION("googletranslate(F1202,""en"",""ja"")"),"カルバペネム耐性アシネトバクターの測定")</f>
        <v>カルバペネム耐性アシネトバクターの測定</v>
      </c>
    </row>
    <row r="1203" spans="1:9" ht="30">
      <c r="A1203" s="3" t="s">
        <v>6</v>
      </c>
      <c r="B1203" s="3" t="s">
        <v>5090</v>
      </c>
      <c r="C1203" s="3" t="s">
        <v>5091</v>
      </c>
      <c r="D1203" s="3" t="s">
        <v>5091</v>
      </c>
      <c r="E1203" s="3" t="s">
        <v>5092</v>
      </c>
      <c r="F1203" s="3" t="s">
        <v>5093</v>
      </c>
      <c r="G1203" s="3" t="str">
        <f ca="1">IFERROR(__xludf.DUMMYFUNCTION("googletranslate(D1203,""en"",""ja"")"),"カルバマゼピン")</f>
        <v>カルバマゼピン</v>
      </c>
      <c r="H1203" s="3" t="str">
        <f ca="1">IFERROR(__xludf.DUMMYFUNCTION("googletranslate(E1203,""en"",""ja"")"),"生物学的標本中のカルバマゼピンの測定。")</f>
        <v>生物学的標本中のカルバマゼピンの測定。</v>
      </c>
      <c r="I1203" s="3" t="str">
        <f ca="1">IFERROR(__xludf.DUMMYFUNCTION("googletranslate(F1203,""en"",""ja"")"),"カルバマゼピンの測定")</f>
        <v>カルバマゼピンの測定</v>
      </c>
    </row>
    <row r="1204" spans="1:9" ht="60">
      <c r="A1204" s="3" t="s">
        <v>67</v>
      </c>
      <c r="B1204" s="3" t="s">
        <v>5094</v>
      </c>
      <c r="C1204" s="3" t="s">
        <v>5095</v>
      </c>
      <c r="D1204" s="3" t="s">
        <v>5095</v>
      </c>
      <c r="E1204" s="3" t="s">
        <v>5096</v>
      </c>
      <c r="F1204" s="3" t="s">
        <v>5097</v>
      </c>
      <c r="G1204" s="3" t="str">
        <f ca="1">IFERROR(__xludf.DUMMYFUNCTION("googletranslate(D1204,""en"",""ja"")"),"エンテロバクテラル目、カルバペネム耐性")</f>
        <v>エンテロバクテラル目、カルバペネム耐性</v>
      </c>
      <c r="H1204" s="3" t="str">
        <f ca="1">IFERROR(__xludf.DUMMYFUNCTION("googletranslate(E1204,""en"",""ja"")"),"種レベルには割り当てられていないが、エンテロバクテラル目レベルに割り当てられており、生物学的標本においてカルバペネム耐性もある生物の測定値。")</f>
        <v>種レベルには割り当てられていないが、エンテロバクテラル目レベルに割り当てられており、生物学的標本においてカルバペネム耐性もある生物の測定値。</v>
      </c>
      <c r="I1204" s="3" t="str">
        <f ca="1">IFERROR(__xludf.DUMMYFUNCTION("googletranslate(F1204,""en"",""ja"")"),"カルバペネム耐性腸内細菌の測定")</f>
        <v>カルバペネム耐性腸内細菌の測定</v>
      </c>
    </row>
    <row r="1205" spans="1:9">
      <c r="A1205" s="3" t="s">
        <v>6</v>
      </c>
      <c r="B1205" s="3" t="s">
        <v>5098</v>
      </c>
      <c r="C1205" s="3" t="s">
        <v>5099</v>
      </c>
      <c r="D1205" s="3" t="s">
        <v>5099</v>
      </c>
      <c r="E1205" s="3" t="s">
        <v>5100</v>
      </c>
      <c r="F1205" s="3" t="s">
        <v>5101</v>
      </c>
      <c r="G1205" s="3" t="str">
        <f ca="1">IFERROR(__xludf.DUMMYFUNCTION("googletranslate(D1205,""en"",""ja"")"),"クレアチニン")</f>
        <v>クレアチニン</v>
      </c>
      <c r="H1205" s="3" t="str">
        <f ca="1">IFERROR(__xludf.DUMMYFUNCTION("googletranslate(E1205,""en"",""ja"")"),"生物学的標本中のクレアチニンの測定。")</f>
        <v>生物学的標本中のクレアチニンの測定。</v>
      </c>
      <c r="I1205" s="3" t="str">
        <f ca="1">IFERROR(__xludf.DUMMYFUNCTION("googletranslate(F1205,""en"",""ja"")"),"クレアチニン測定")</f>
        <v>クレアチニン測定</v>
      </c>
    </row>
    <row r="1206" spans="1:9" ht="45">
      <c r="A1206" s="3" t="s">
        <v>6</v>
      </c>
      <c r="B1206" s="3" t="s">
        <v>5102</v>
      </c>
      <c r="C1206" s="3" t="s">
        <v>5103</v>
      </c>
      <c r="D1206" s="3" t="s">
        <v>5103</v>
      </c>
      <c r="E1206" s="3" t="s">
        <v>5104</v>
      </c>
      <c r="F1206" s="3" t="s">
        <v>5103</v>
      </c>
      <c r="G1206" s="3" t="str">
        <f ca="1">IFERROR(__xludf.DUMMYFUNCTION("googletranslate(D1206,""en"",""ja"")"),"クレアチニンクリアランス")</f>
        <v>クレアチニンクリアランス</v>
      </c>
      <c r="H1206" s="3" t="str">
        <f ca="1">IFERROR(__xludf.DUMMYFUNCTION("googletranslate(E1206,""en"",""ja"")"),"指定された時間単位 (例: 1 分) の尿の排泄によってクレアチニンが除去される血清または血漿の量の測定値。")</f>
        <v>指定された時間単位 (例: 1 分) の尿の排泄によってクレアチニンが除去される血清または血漿の量の測定値。</v>
      </c>
      <c r="I1206" s="3" t="str">
        <f ca="1">IFERROR(__xludf.DUMMYFUNCTION("googletranslate(F1206,""en"",""ja"")"),"クレアチニンクリアランス")</f>
        <v>クレアチニンクリアランス</v>
      </c>
    </row>
    <row r="1207" spans="1:9" ht="45">
      <c r="A1207" s="3" t="s">
        <v>6</v>
      </c>
      <c r="B1207" s="3" t="s">
        <v>5105</v>
      </c>
      <c r="C1207" s="3" t="s">
        <v>5106</v>
      </c>
      <c r="D1207" s="3" t="s">
        <v>5106</v>
      </c>
      <c r="E1207" s="3" t="s">
        <v>5107</v>
      </c>
      <c r="F1207" s="3" t="s">
        <v>5106</v>
      </c>
      <c r="G1207" s="3" t="str">
        <f ca="1">IFERROR(__xludf.DUMMYFUNCTION("googletranslate(D1207,""en"",""ja"")"),"クレアチニン排泄率")</f>
        <v>クレアチニン排泄率</v>
      </c>
      <c r="H1207" s="3" t="str">
        <f ca="1">IFERROR(__xludf.DUMMYFUNCTION("googletranslate(E1207,""en"",""ja"")"),"規定の時間 (例: 1 時間) にわたって生物学的標本中に排泄されるクレアチニンの量の測定。")</f>
        <v>規定の時間 (例: 1 時間) にわたって生物学的標本中に排泄されるクレアチニンの量の測定。</v>
      </c>
      <c r="I1207" s="3" t="str">
        <f ca="1">IFERROR(__xludf.DUMMYFUNCTION("googletranslate(F1207,""en"",""ja"")"),"クレアチニン排泄率")</f>
        <v>クレアチニン排泄率</v>
      </c>
    </row>
    <row r="1208" spans="1:9">
      <c r="A1208" s="3" t="s">
        <v>159</v>
      </c>
      <c r="B1208" s="3" t="s">
        <v>5108</v>
      </c>
      <c r="C1208" s="3" t="s">
        <v>5109</v>
      </c>
      <c r="D1208" s="3" t="s">
        <v>5109</v>
      </c>
      <c r="E1208" s="3" t="s">
        <v>5110</v>
      </c>
      <c r="F1208" s="3" t="s">
        <v>5111</v>
      </c>
      <c r="G1208" s="3" t="str">
        <f ca="1">IFERROR(__xludf.DUMMYFUNCTION("googletranslate(D1208,""en"",""ja"")"),"クレアチン")</f>
        <v>クレアチン</v>
      </c>
      <c r="H1208" s="3" t="str">
        <f ca="1">IFERROR(__xludf.DUMMYFUNCTION("googletranslate(E1208,""en"",""ja"")"),"生物学的標本中のクレアチンの測定。")</f>
        <v>生物学的標本中のクレアチンの測定。</v>
      </c>
      <c r="I1208" s="3" t="str">
        <f ca="1">IFERROR(__xludf.DUMMYFUNCTION("googletranslate(F1208,""en"",""ja"")"),"クレアチン測定")</f>
        <v>クレアチン測定</v>
      </c>
    </row>
    <row r="1209" spans="1:9">
      <c r="A1209" s="3" t="s">
        <v>6</v>
      </c>
      <c r="B1209" s="3" t="s">
        <v>5112</v>
      </c>
      <c r="C1209" s="3" t="s">
        <v>5113</v>
      </c>
      <c r="D1209" s="3" t="s">
        <v>5113</v>
      </c>
      <c r="E1209" s="3" t="s">
        <v>5114</v>
      </c>
      <c r="F1209" s="3" t="s">
        <v>5115</v>
      </c>
      <c r="G1209" s="3" t="str">
        <f ca="1">IFERROR(__xludf.DUMMYFUNCTION("googletranslate(D1209,""en"",""ja"")"),"作成されたセル")</f>
        <v>作成されたセル</v>
      </c>
      <c r="H1209" s="3" t="str">
        <f ca="1">IFERROR(__xludf.DUMMYFUNCTION("googletranslate(E1209,""en"",""ja"")"),"生物学的標本中の鋸歯状細胞の測定。")</f>
        <v>生物学的標本中の鋸歯状細胞の測定。</v>
      </c>
      <c r="I1209" s="3" t="str">
        <f ca="1">IFERROR(__xludf.DUMMYFUNCTION("googletranslate(F1209,""en"",""ja"")"),"形成セルの測定")</f>
        <v>形成セルの測定</v>
      </c>
    </row>
    <row r="1210" spans="1:9" ht="60">
      <c r="A1210" s="3" t="s">
        <v>51</v>
      </c>
      <c r="B1210" s="3" t="s">
        <v>5116</v>
      </c>
      <c r="C1210" s="3" t="s">
        <v>5117</v>
      </c>
      <c r="D1210" s="3" t="s">
        <v>5118</v>
      </c>
      <c r="E1210" s="3" t="s">
        <v>5119</v>
      </c>
      <c r="F1210" s="3" t="s">
        <v>5120</v>
      </c>
      <c r="G1210" s="3" t="str">
        <f ca="1">IFERROR(__xludf.DUMMYFUNCTION("googletranslate(D1210,""en"",""ja"")"),"ベンゾール;クレゾール;クレゾール (o-、m-、および p-クレゾール);クレゾール酸;ヒドロキシトルエン;トルエノール")</f>
        <v>ベンゾール;クレゾール;クレゾール (o-、m-、および p-クレゾール);クレゾール酸;ヒドロキシトルエン;トルエノール</v>
      </c>
      <c r="H1210" s="3" t="str">
        <f ca="1">IFERROR(__xludf.DUMMYFUNCTION("googletranslate(E1210,""en"",""ja"")"),"試験片中の総クレゾール (o-、m-、p-クレゾール) の測定値。")</f>
        <v>試験片中の総クレゾール (o-、m-、p-クレゾール) の測定値。</v>
      </c>
      <c r="I1210" s="3" t="str">
        <f ca="1">IFERROR(__xludf.DUMMYFUNCTION("googletranslate(F1210,""en"",""ja"")"),"クレゾール測定")</f>
        <v>クレゾール測定</v>
      </c>
    </row>
    <row r="1211" spans="1:9" ht="45">
      <c r="A1211" s="3" t="s">
        <v>6</v>
      </c>
      <c r="B1211" s="3" t="s">
        <v>5121</v>
      </c>
      <c r="C1211" s="3" t="s">
        <v>5122</v>
      </c>
      <c r="D1211" s="3" t="s">
        <v>5123</v>
      </c>
      <c r="E1211" s="3" t="s">
        <v>5124</v>
      </c>
      <c r="F1211" s="3" t="s">
        <v>5125</v>
      </c>
      <c r="G1211" s="3" t="str">
        <f ca="1">IFERROR(__xludf.DUMMYFUNCTION("googletranslate(D1211,""en"",""ja"")"),"コルチコトロピン放出因子;副腎皮質刺激ホルモン放出ホルモン")</f>
        <v>コルチコトロピン放出因子;副腎皮質刺激ホルモン放出ホルモン</v>
      </c>
      <c r="H1211" s="3" t="str">
        <f ca="1">IFERROR(__xludf.DUMMYFUNCTION("googletranslate(E1211,""en"",""ja"")"),"生物学的標本中の副腎皮質刺激ホルモン放出ホルモンの測定。")</f>
        <v>生物学的標本中の副腎皮質刺激ホルモン放出ホルモンの測定。</v>
      </c>
      <c r="I1211" s="3" t="str">
        <f ca="1">IFERROR(__xludf.DUMMYFUNCTION("googletranslate(F1211,""en"",""ja"")"),"副腎皮質刺激ホルモン放出ホルモンの測定")</f>
        <v>副腎皮質刺激ホルモン放出ホルモンの測定</v>
      </c>
    </row>
    <row r="1212" spans="1:9" ht="45">
      <c r="A1212" s="3" t="s">
        <v>67</v>
      </c>
      <c r="B1212" s="3" t="s">
        <v>5126</v>
      </c>
      <c r="C1212" s="3" t="s">
        <v>5127</v>
      </c>
      <c r="D1212" s="3" t="s">
        <v>5128</v>
      </c>
      <c r="E1212" s="3" t="s">
        <v>5129</v>
      </c>
      <c r="F1212" s="3" t="s">
        <v>5130</v>
      </c>
      <c r="G1212" s="3" t="str">
        <f ca="1">IFERROR(__xludf.DUMMYFUNCTION("googletranslate(D1212,""en"",""ja"")"),"肺炎桿菌、カルバペネム耐性。肺炎桿菌、カルバペネム耐性")</f>
        <v>肺炎桿菌、カルバペネム耐性。肺炎桿菌、カルバペネム耐性</v>
      </c>
      <c r="H1212" s="3" t="str">
        <f ca="1">IFERROR(__xludf.DUMMYFUNCTION("googletranslate(E1212,""en"",""ja"")"),"生物学的検体中の肺炎桿菌のカルバペネム耐性株の測定。")</f>
        <v>生物学的検体中の肺炎桿菌のカルバペネム耐性株の測定。</v>
      </c>
      <c r="I1212" s="3" t="str">
        <f ca="1">IFERROR(__xludf.DUMMYFUNCTION("googletranslate(F1212,""en"",""ja"")"),"カルバペネム耐性肺炎桿菌の測定")</f>
        <v>カルバペネム耐性肺炎桿菌の測定</v>
      </c>
    </row>
    <row r="1213" spans="1:9" ht="30">
      <c r="A1213" s="3" t="s">
        <v>6</v>
      </c>
      <c r="B1213" s="3" t="s">
        <v>5131</v>
      </c>
      <c r="C1213" s="3" t="s">
        <v>5132</v>
      </c>
      <c r="D1213" s="3" t="s">
        <v>5133</v>
      </c>
      <c r="E1213" s="3" t="s">
        <v>5134</v>
      </c>
      <c r="F1213" s="3" t="s">
        <v>5135</v>
      </c>
      <c r="G1213" s="3" t="str">
        <f ca="1">IFERROR(__xludf.DUMMYFUNCTION("googletranslate(D1213,""en"",""ja"")"),"セルロプラスミン;セルロプラスミン")</f>
        <v>セルロプラスミン;セルロプラスミン</v>
      </c>
      <c r="H1213" s="3" t="str">
        <f ca="1">IFERROR(__xludf.DUMMYFUNCTION("googletranslate(E1213,""en"",""ja"")"),"生物学的標本中のセルロプラスミンの測定。")</f>
        <v>生物学的標本中のセルロプラスミンの測定。</v>
      </c>
      <c r="I1213" s="3" t="str">
        <f ca="1">IFERROR(__xludf.DUMMYFUNCTION("googletranslate(F1213,""en"",""ja"")"),"セルロプラスミンの測定")</f>
        <v>セルロプラスミンの測定</v>
      </c>
    </row>
    <row r="1214" spans="1:9" ht="30">
      <c r="A1214" s="3" t="s">
        <v>6</v>
      </c>
      <c r="B1214" s="3" t="s">
        <v>5136</v>
      </c>
      <c r="C1214" s="3" t="s">
        <v>5137</v>
      </c>
      <c r="D1214" s="3" t="s">
        <v>5137</v>
      </c>
      <c r="E1214" s="3" t="s">
        <v>5138</v>
      </c>
      <c r="F1214" s="3" t="s">
        <v>5139</v>
      </c>
      <c r="G1214" s="3" t="str">
        <f ca="1">IFERROR(__xludf.DUMMYFUNCTION("googletranslate(D1214,""en"",""ja"")"),"カルニチンエステル")</f>
        <v>カルニチンエステル</v>
      </c>
      <c r="H1214" s="3" t="str">
        <f ca="1">IFERROR(__xludf.DUMMYFUNCTION("googletranslate(E1214,""en"",""ja"")"),"生物学的標本中の総カルニチンエステルの測定。")</f>
        <v>生物学的標本中の総カルニチンエステルの測定。</v>
      </c>
      <c r="I1214" s="3" t="str">
        <f ca="1">IFERROR(__xludf.DUMMYFUNCTION("googletranslate(F1214,""en"",""ja"")"),"カルニチンエステルの測定")</f>
        <v>カルニチンエステルの測定</v>
      </c>
    </row>
    <row r="1215" spans="1:9" ht="30">
      <c r="A1215" s="3" t="s">
        <v>67</v>
      </c>
      <c r="B1215" s="3" t="s">
        <v>5140</v>
      </c>
      <c r="C1215" s="3" t="s">
        <v>5141</v>
      </c>
      <c r="D1215" s="3" t="s">
        <v>5142</v>
      </c>
      <c r="E1215" s="3" t="s">
        <v>5143</v>
      </c>
      <c r="F1215" s="3" t="s">
        <v>5144</v>
      </c>
      <c r="G1215" s="3" t="str">
        <f ca="1">IFERROR(__xludf.DUMMYFUNCTION("googletranslate(D1215,""en"",""ja"")"),"コロナウイルス科。コロナウイルス")</f>
        <v>コロナウイルス科。コロナウイルス</v>
      </c>
      <c r="H1215" s="3" t="str">
        <f ca="1">IFERROR(__xludf.DUMMYFUNCTION("googletranslate(E1215,""en"",""ja"")"),"生物学的標本中のコロナウイルス科の測定。")</f>
        <v>生物学的標本中のコロナウイルス科の測定。</v>
      </c>
      <c r="I1215" s="3" t="str">
        <f ca="1">IFERROR(__xludf.DUMMYFUNCTION("googletranslate(F1215,""en"",""ja"")"),"コロナウイルス科の測定")</f>
        <v>コロナウイルス科の測定</v>
      </c>
    </row>
    <row r="1216" spans="1:9" ht="30">
      <c r="A1216" s="3" t="s">
        <v>67</v>
      </c>
      <c r="B1216" s="3" t="s">
        <v>5145</v>
      </c>
      <c r="C1216" s="3" t="s">
        <v>5146</v>
      </c>
      <c r="D1216" s="3" t="s">
        <v>5146</v>
      </c>
      <c r="E1216" s="3" t="s">
        <v>5147</v>
      </c>
      <c r="F1216" s="3" t="s">
        <v>5148</v>
      </c>
      <c r="G1216" s="3" t="str">
        <f ca="1">IFERROR(__xludf.DUMMYFUNCTION("googletranslate(D1216,""en"",""ja"")"),"コロナウイルスRNA")</f>
        <v>コロナウイルスRNA</v>
      </c>
      <c r="H1216" s="3" t="str">
        <f ca="1">IFERROR(__xludf.DUMMYFUNCTION("googletranslate(E1216,""en"",""ja"")"),"生物学的標本中のコロナウイルス科の任意のメンバーからの RNA の測定。")</f>
        <v>生物学的標本中のコロナウイルス科の任意のメンバーからの RNA の測定。</v>
      </c>
      <c r="I1216" s="3" t="str">
        <f ca="1">IFERROR(__xludf.DUMMYFUNCTION("googletranslate(F1216,""en"",""ja"")"),"コロナウイルスRNA測定")</f>
        <v>コロナウイルスRNA測定</v>
      </c>
    </row>
    <row r="1217" spans="1:9">
      <c r="A1217" s="3" t="s">
        <v>6</v>
      </c>
      <c r="B1217" s="3" t="s">
        <v>5149</v>
      </c>
      <c r="C1217" s="3" t="s">
        <v>5150</v>
      </c>
      <c r="D1217" s="3" t="s">
        <v>5150</v>
      </c>
      <c r="E1217" s="3" t="s">
        <v>5151</v>
      </c>
      <c r="F1217" s="3" t="s">
        <v>5152</v>
      </c>
      <c r="G1217" s="3" t="str">
        <f ca="1">IFERROR(__xludf.DUMMYFUNCTION("googletranslate(D1217,""en"",""ja"")"),"クロトンアルデヒド")</f>
        <v>クロトンアルデヒド</v>
      </c>
      <c r="H1217" s="3" t="str">
        <f ca="1">IFERROR(__xludf.DUMMYFUNCTION("googletranslate(E1217,""en"",""ja"")"),"試料中のクロトンアルデヒドの測定。")</f>
        <v>試料中のクロトンアルデヒドの測定。</v>
      </c>
      <c r="I1217" s="3" t="str">
        <f ca="1">IFERROR(__xludf.DUMMYFUNCTION("googletranslate(F1217,""en"",""ja"")"),"クロトンアルデヒドの測定")</f>
        <v>クロトンアルデヒドの測定</v>
      </c>
    </row>
    <row r="1218" spans="1:9">
      <c r="A1218" s="3" t="s">
        <v>51</v>
      </c>
      <c r="B1218" s="3" t="s">
        <v>5149</v>
      </c>
      <c r="C1218" s="3" t="s">
        <v>5150</v>
      </c>
      <c r="D1218" s="3" t="s">
        <v>5150</v>
      </c>
      <c r="E1218" s="3" t="s">
        <v>5151</v>
      </c>
      <c r="F1218" s="3" t="s">
        <v>5152</v>
      </c>
      <c r="G1218" s="3" t="str">
        <f ca="1">IFERROR(__xludf.DUMMYFUNCTION("googletranslate(D1218,""en"",""ja"")"),"クロトンアルデヒド")</f>
        <v>クロトンアルデヒド</v>
      </c>
      <c r="H1218" s="3" t="str">
        <f ca="1">IFERROR(__xludf.DUMMYFUNCTION("googletranslate(E1218,""en"",""ja"")"),"試料中のクロトンアルデヒドの測定。")</f>
        <v>試料中のクロトンアルデヒドの測定。</v>
      </c>
      <c r="I1218" s="3" t="str">
        <f ca="1">IFERROR(__xludf.DUMMYFUNCTION("googletranslate(F1218,""en"",""ja"")"),"クロトンアルデヒドの測定")</f>
        <v>クロトンアルデヒドの測定</v>
      </c>
    </row>
    <row r="1219" spans="1:9" ht="30">
      <c r="A1219" s="3" t="s">
        <v>6</v>
      </c>
      <c r="B1219" s="3" t="s">
        <v>5153</v>
      </c>
      <c r="C1219" s="3" t="s">
        <v>5154</v>
      </c>
      <c r="D1219" s="3" t="s">
        <v>5154</v>
      </c>
      <c r="E1219" s="3" t="s">
        <v>5155</v>
      </c>
      <c r="F1219" s="3" t="s">
        <v>5156</v>
      </c>
      <c r="G1219" s="3" t="str">
        <f ca="1">IFERROR(__xludf.DUMMYFUNCTION("googletranslate(D1219,""en"",""ja"")"),"C反応性タンパク質")</f>
        <v>C反応性タンパク質</v>
      </c>
      <c r="H1219" s="3" t="str">
        <f ca="1">IFERROR(__xludf.DUMMYFUNCTION("googletranslate(E1219,""en"",""ja"")"),"生物学的標本中の C 反応性タンパク質の測定。")</f>
        <v>生物学的標本中の C 反応性タンパク質の測定。</v>
      </c>
      <c r="I1219" s="3" t="str">
        <f ca="1">IFERROR(__xludf.DUMMYFUNCTION("googletranslate(F1219,""en"",""ja"")"),"C反応性タンパク質の測定")</f>
        <v>C反応性タンパク質の測定</v>
      </c>
    </row>
    <row r="1220" spans="1:9">
      <c r="A1220" s="3" t="s">
        <v>6</v>
      </c>
      <c r="B1220" s="3" t="s">
        <v>5157</v>
      </c>
      <c r="C1220" s="3" t="s">
        <v>5158</v>
      </c>
      <c r="D1220" s="3" t="s">
        <v>5158</v>
      </c>
      <c r="E1220" s="3" t="s">
        <v>5159</v>
      </c>
      <c r="F1220" s="3" t="s">
        <v>5160</v>
      </c>
      <c r="G1220" s="3" t="str">
        <f ca="1">IFERROR(__xludf.DUMMYFUNCTION("googletranslate(D1220,""en"",""ja"")"),"カリソプロドール")</f>
        <v>カリソプロドール</v>
      </c>
      <c r="H1220" s="3" t="str">
        <f ca="1">IFERROR(__xludf.DUMMYFUNCTION("googletranslate(E1220,""en"",""ja"")"),"生物学的標本中のカリソプロドールの測定。")</f>
        <v>生物学的標本中のカリソプロドールの測定。</v>
      </c>
      <c r="I1220" s="3" t="str">
        <f ca="1">IFERROR(__xludf.DUMMYFUNCTION("googletranslate(F1220,""en"",""ja"")"),"カリソプロドールの測定")</f>
        <v>カリソプロドールの測定</v>
      </c>
    </row>
    <row r="1221" spans="1:9" ht="45">
      <c r="A1221" s="3" t="s">
        <v>6</v>
      </c>
      <c r="B1221" s="3" t="s">
        <v>5161</v>
      </c>
      <c r="C1221" s="3" t="s">
        <v>5162</v>
      </c>
      <c r="D1221" s="3" t="s">
        <v>5162</v>
      </c>
      <c r="E1221" s="3" t="s">
        <v>5163</v>
      </c>
      <c r="F1221" s="3" t="s">
        <v>5162</v>
      </c>
      <c r="G1221" s="3" t="str">
        <f ca="1">IFERROR(__xludf.DUMMYFUNCTION("googletranslate(D1221,""en"",""ja"")"),"BSA用に調整されたクレアチニンクリアランス")</f>
        <v>BSA用に調整されたクレアチニンクリアランス</v>
      </c>
      <c r="H1221" s="3" t="str">
        <f ca="1">IFERROR(__xludf.DUMMYFUNCTION("googletranslate(E1221,""en"",""ja"")"),"体表面積に合わせて調整された、指定された時間単位 (例: 1 分) の尿の排泄によってクレアチニンが除去される血清または血漿の量の測定値。")</f>
        <v>体表面積に合わせて調整された、指定された時間単位 (例: 1 分) の尿の排泄によってクレアチニンが除去される血清または血漿の量の測定値。</v>
      </c>
      <c r="I1221" s="3" t="str">
        <f ca="1">IFERROR(__xludf.DUMMYFUNCTION("googletranslate(F1221,""en"",""ja"")"),"BSA用に調整されたクレアチニンクリアランス")</f>
        <v>BSA用に調整されたクレアチニンクリアランス</v>
      </c>
    </row>
    <row r="1222" spans="1:9" ht="45">
      <c r="A1222" s="3" t="s">
        <v>6</v>
      </c>
      <c r="B1222" s="3" t="s">
        <v>5164</v>
      </c>
      <c r="C1222" s="3" t="s">
        <v>5165</v>
      </c>
      <c r="D1222" s="3" t="s">
        <v>5165</v>
      </c>
      <c r="E1222" s="3" t="s">
        <v>5166</v>
      </c>
      <c r="F1222" s="3" t="s">
        <v>5167</v>
      </c>
      <c r="G1222" s="3" t="str">
        <f ca="1">IFERROR(__xludf.DUMMYFUNCTION("googletranslate(D1222,""en"",""ja"")"),"クレアチニンクリアランス、推定値")</f>
        <v>クレアチニンクリアランス、推定値</v>
      </c>
      <c r="H1222" s="3" t="str">
        <f ca="1">IFERROR(__xludf.DUMMYFUNCTION("googletranslate(E1222,""en"",""ja"")"),"指定された時間単位 (例: 1 分) の尿の排泄によってクレアチニンが除去される血清または血漿の量の推定値。")</f>
        <v>指定された時間単位 (例: 1 分) の尿の排泄によってクレアチニンが除去される血清または血漿の量の推定値。</v>
      </c>
      <c r="I1222" s="3" t="str">
        <f ca="1">IFERROR(__xludf.DUMMYFUNCTION("googletranslate(F1222,""en"",""ja"")"),"推定クレアチニンクリアランス")</f>
        <v>推定クレアチニンクリアランス</v>
      </c>
    </row>
    <row r="1223" spans="1:9" ht="45">
      <c r="A1223" s="3" t="s">
        <v>6</v>
      </c>
      <c r="B1223" s="3" t="s">
        <v>5168</v>
      </c>
      <c r="C1223" s="3" t="s">
        <v>5169</v>
      </c>
      <c r="D1223" s="3" t="s">
        <v>5169</v>
      </c>
      <c r="E1223" s="3" t="s">
        <v>5170</v>
      </c>
      <c r="F1223" s="3" t="s">
        <v>5171</v>
      </c>
      <c r="G1223" s="3" t="str">
        <f ca="1">IFERROR(__xludf.DUMMYFUNCTION("googletranslate(D1223,""en"",""ja"")"),"コルチコステロン/クレアチニン")</f>
        <v>コルチコステロン/クレアチニン</v>
      </c>
      <c r="H1223" s="3" t="str">
        <f ca="1">IFERROR(__xludf.DUMMYFUNCTION("googletranslate(E1223,""en"",""ja"")"),"サンプル中に存在するコルチコステロンとクレアチニンの相対測定値 (比率またはパーセンテージ)。")</f>
        <v>サンプル中に存在するコルチコステロンとクレアチニンの相対測定値 (比率またはパーセンテージ)。</v>
      </c>
      <c r="I1223" s="3" t="str">
        <f ca="1">IFERROR(__xludf.DUMMYFUNCTION("googletranslate(F1223,""en"",""ja"")"),"コルチコステロンとクレアチニンの比率の測定")</f>
        <v>コルチコステロンとクレアチニンの比率の測定</v>
      </c>
    </row>
    <row r="1224" spans="1:9" ht="45">
      <c r="A1224" s="3" t="s">
        <v>6</v>
      </c>
      <c r="B1224" s="3" t="s">
        <v>5172</v>
      </c>
      <c r="C1224" s="3" t="s">
        <v>5173</v>
      </c>
      <c r="D1224" s="3" t="s">
        <v>5173</v>
      </c>
      <c r="E1224" s="3" t="s">
        <v>5174</v>
      </c>
      <c r="F1224" s="3" t="s">
        <v>5175</v>
      </c>
      <c r="G1224" s="3" t="str">
        <f ca="1">IFERROR(__xludf.DUMMYFUNCTION("googletranslate(D1224,""en"",""ja"")"),"コルチゾール、自由排泄率")</f>
        <v>コルチゾール、自由排泄率</v>
      </c>
      <c r="H1224" s="3" t="str">
        <f ca="1">IFERROR(__xludf.DUMMYFUNCTION("googletranslate(E1224,""en"",""ja"")"),"規定の時間 (例: 1 時間) にわたって生物学的標本中に排泄される遊離コルチゾールの量の測定。")</f>
        <v>規定の時間 (例: 1 時間) にわたって生物学的標本中に排泄される遊離コルチゾールの量の測定。</v>
      </c>
      <c r="I1224" s="3" t="str">
        <f ca="1">IFERROR(__xludf.DUMMYFUNCTION("googletranslate(F1224,""en"",""ja"")"),"遊離コルチゾール排泄率")</f>
        <v>遊離コルチゾール排泄率</v>
      </c>
    </row>
    <row r="1225" spans="1:9" ht="30">
      <c r="A1225" s="3" t="s">
        <v>6</v>
      </c>
      <c r="B1225" s="3" t="s">
        <v>5176</v>
      </c>
      <c r="C1225" s="3" t="s">
        <v>5177</v>
      </c>
      <c r="D1225" s="3" t="s">
        <v>5177</v>
      </c>
      <c r="E1225" s="3" t="s">
        <v>5178</v>
      </c>
      <c r="F1225" s="3" t="s">
        <v>5179</v>
      </c>
      <c r="G1225" s="3" t="str">
        <f ca="1">IFERROR(__xludf.DUMMYFUNCTION("googletranslate(D1225,""en"",""ja"")"),"カロチン")</f>
        <v>カロチン</v>
      </c>
      <c r="H1225" s="3" t="str">
        <f ca="1">IFERROR(__xludf.DUMMYFUNCTION("googletranslate(E1225,""en"",""ja"")"),"生物学的標本中の総カロテンの測定。")</f>
        <v>生物学的標本中の総カロテンの測定。</v>
      </c>
      <c r="I1225" s="3" t="str">
        <f ca="1">IFERROR(__xludf.DUMMYFUNCTION("googletranslate(F1225,""en"",""ja"")"),"カロテン測定")</f>
        <v>カロテン測定</v>
      </c>
    </row>
    <row r="1226" spans="1:9">
      <c r="A1226" s="3" t="s">
        <v>6</v>
      </c>
      <c r="B1226" s="3" t="s">
        <v>5180</v>
      </c>
      <c r="C1226" s="3" t="s">
        <v>5181</v>
      </c>
      <c r="D1226" s="3" t="s">
        <v>5181</v>
      </c>
      <c r="E1226" s="3" t="s">
        <v>5182</v>
      </c>
      <c r="F1226" s="3" t="s">
        <v>5183</v>
      </c>
      <c r="G1226" s="3" t="str">
        <f ca="1">IFERROR(__xludf.DUMMYFUNCTION("googletranslate(D1226,""en"",""ja"")"),"コルチコステロン")</f>
        <v>コルチコステロン</v>
      </c>
      <c r="H1226" s="3" t="str">
        <f ca="1">IFERROR(__xludf.DUMMYFUNCTION("googletranslate(E1226,""en"",""ja"")"),"生物学的標本中のコルチコステロンの測定。")</f>
        <v>生物学的標本中のコルチコステロンの測定。</v>
      </c>
      <c r="I1226" s="3" t="str">
        <f ca="1">IFERROR(__xludf.DUMMYFUNCTION("googletranslate(F1226,""en"",""ja"")"),"コルチコステロンの測定")</f>
        <v>コルチコステロンの測定</v>
      </c>
    </row>
    <row r="1227" spans="1:9" ht="30">
      <c r="A1227" s="3" t="s">
        <v>51</v>
      </c>
      <c r="B1227" s="3" t="s">
        <v>5184</v>
      </c>
      <c r="C1227" s="3" t="s">
        <v>5185</v>
      </c>
      <c r="D1227" s="3" t="s">
        <v>5185</v>
      </c>
      <c r="E1227" s="3" t="s">
        <v>5186</v>
      </c>
      <c r="F1227" s="3" t="s">
        <v>5185</v>
      </c>
      <c r="G1227" s="3" t="str">
        <f ca="1">IFERROR(__xludf.DUMMYFUNCTION("googletranslate(D1227,""en"",""ja"")"),"カートリッジ容量")</f>
        <v>カートリッジ容量</v>
      </c>
      <c r="H1227" s="3" t="str">
        <f ca="1">IFERROR(__xludf.DUMMYFUNCTION("googletranslate(E1227,""en"",""ja"")"),"液体またはその他の物質を保持する、より大きな装置の一部である容器の容積。")</f>
        <v>液体またはその他の物質を保持する、より大きな装置の一部である容器の容積。</v>
      </c>
      <c r="I1227" s="3" t="str">
        <f ca="1">IFERROR(__xludf.DUMMYFUNCTION("googletranslate(F1227,""en"",""ja"")"),"カートリッジ容量")</f>
        <v>カートリッジ容量</v>
      </c>
    </row>
    <row r="1228" spans="1:9" ht="30">
      <c r="A1228" s="3" t="s">
        <v>118</v>
      </c>
      <c r="B1228" s="3" t="s">
        <v>5187</v>
      </c>
      <c r="C1228" s="3" t="s">
        <v>5188</v>
      </c>
      <c r="D1228" s="3" t="s">
        <v>5188</v>
      </c>
      <c r="E1228" s="3" t="s">
        <v>5189</v>
      </c>
      <c r="F1228" s="3" t="s">
        <v>5190</v>
      </c>
      <c r="G1228" s="3" t="str">
        <f ca="1">IFERROR(__xludf.DUMMYFUNCTION("googletranslate(D1228,""en"",""ja"")"),"クラウンからヒールまでの長さ")</f>
        <v>クラウンからヒールまでの長さ</v>
      </c>
      <c r="H1228" s="3" t="str">
        <f ca="1">IFERROR(__xludf.DUMMYFUNCTION("googletranslate(E1228,""en"",""ja"")"),"頭頂部からかかとの底までの体の長さの測定値。")</f>
        <v>頭頂部からかかとの底までの体の長さの測定値。</v>
      </c>
      <c r="I1228" s="3" t="str">
        <f ca="1">IFERROR(__xludf.DUMMYFUNCTION("googletranslate(F1228,""en"",""ja"")"),"クラウンからヒールまでの長さ")</f>
        <v>クラウンからヒールまでの長さ</v>
      </c>
    </row>
    <row r="1229" spans="1:9" ht="45">
      <c r="A1229" s="3" t="s">
        <v>6</v>
      </c>
      <c r="B1229" s="3" t="s">
        <v>5191</v>
      </c>
      <c r="C1229" s="3" t="s">
        <v>5192</v>
      </c>
      <c r="D1229" s="3" t="s">
        <v>5192</v>
      </c>
      <c r="E1229" s="3" t="s">
        <v>5193</v>
      </c>
      <c r="F1229" s="3" t="s">
        <v>5194</v>
      </c>
      <c r="G1229" s="3" t="str">
        <f ca="1">IFERROR(__xludf.DUMMYFUNCTION("googletranslate(D1229,""en"",""ja"")"),"クリオグロブリン量/血清量")</f>
        <v>クリオグロブリン量/血清量</v>
      </c>
      <c r="H1229" s="3" t="str">
        <f ca="1">IFERROR(__xludf.DUMMYFUNCTION("googletranslate(E1229,""en"",""ja"")"),"生物学的標本中の総血清体積に対するクリオグロブリンの体積の相対測定値 (比率またはパーセンテージ)。")</f>
        <v>生物学的標本中の総血清体積に対するクリオグロブリンの体積の相対測定値 (比率またはパーセンテージ)。</v>
      </c>
      <c r="I1229" s="3" t="str">
        <f ca="1">IFERROR(__xludf.DUMMYFUNCTION("googletranslate(F1229,""en"",""ja"")"),"クリオグロブリン量と血清量の比の測定")</f>
        <v>クリオグロブリン量と血清量の比の測定</v>
      </c>
    </row>
    <row r="1230" spans="1:9" ht="30">
      <c r="A1230" s="3" t="s">
        <v>6</v>
      </c>
      <c r="B1230" s="3" t="s">
        <v>5195</v>
      </c>
      <c r="C1230" s="3" t="s">
        <v>5196</v>
      </c>
      <c r="D1230" s="3" t="s">
        <v>5196</v>
      </c>
      <c r="E1230" s="3" t="s">
        <v>5197</v>
      </c>
      <c r="F1230" s="3" t="s">
        <v>5198</v>
      </c>
      <c r="G1230" s="3" t="str">
        <f ca="1">IFERROR(__xludf.DUMMYFUNCTION("googletranslate(D1230,""en"",""ja"")"),"クリオフィブリノーゲン")</f>
        <v>クリオフィブリノーゲン</v>
      </c>
      <c r="H1230" s="3" t="str">
        <f ca="1">IFERROR(__xludf.DUMMYFUNCTION("googletranslate(E1230,""en"",""ja"")"),"生物学的標本中の凍結フィブリノーゲンの測定。")</f>
        <v>生物学的標本中の凍結フィブリノーゲンの測定。</v>
      </c>
      <c r="I1230" s="3" t="str">
        <f ca="1">IFERROR(__xludf.DUMMYFUNCTION("googletranslate(F1230,""en"",""ja"")"),"凍結フィブリノーゲンの測定")</f>
        <v>凍結フィブリノーゲンの測定</v>
      </c>
    </row>
    <row r="1231" spans="1:9">
      <c r="A1231" s="3" t="s">
        <v>6</v>
      </c>
      <c r="B1231" s="3" t="s">
        <v>5199</v>
      </c>
      <c r="C1231" s="3" t="s">
        <v>5200</v>
      </c>
      <c r="D1231" s="3" t="s">
        <v>5200</v>
      </c>
      <c r="E1231" s="3" t="s">
        <v>5201</v>
      </c>
      <c r="F1231" s="3" t="s">
        <v>5202</v>
      </c>
      <c r="G1231" s="3" t="str">
        <f ca="1">IFERROR(__xludf.DUMMYFUNCTION("googletranslate(D1231,""en"",""ja"")"),"クリオグロブリン")</f>
        <v>クリオグロブリン</v>
      </c>
      <c r="H1231" s="3" t="str">
        <f ca="1">IFERROR(__xludf.DUMMYFUNCTION("googletranslate(E1231,""en"",""ja"")"),"生物学的標本中のクリオグロブリンの測定。")</f>
        <v>生物学的標本中のクリオグロブリンの測定。</v>
      </c>
      <c r="I1231" s="3" t="str">
        <f ca="1">IFERROR(__xludf.DUMMYFUNCTION("googletranslate(F1231,""en"",""ja"")"),"クリオグロブリン測定")</f>
        <v>クリオグロブリン測定</v>
      </c>
    </row>
    <row r="1232" spans="1:9" ht="30">
      <c r="A1232" s="3" t="s">
        <v>67</v>
      </c>
      <c r="B1232" s="3" t="s">
        <v>5203</v>
      </c>
      <c r="C1232" s="3" t="s">
        <v>5204</v>
      </c>
      <c r="D1232" s="3" t="s">
        <v>5204</v>
      </c>
      <c r="E1232" s="3" t="s">
        <v>5205</v>
      </c>
      <c r="F1232" s="3" t="s">
        <v>5206</v>
      </c>
      <c r="G1232" s="3" t="str">
        <f ca="1">IFERROR(__xludf.DUMMYFUNCTION("googletranslate(D1232,""en"",""ja"")"),"クリプトコッカス抗原")</f>
        <v>クリプトコッカス抗原</v>
      </c>
      <c r="H1232" s="3" t="str">
        <f ca="1">IFERROR(__xludf.DUMMYFUNCTION("googletranslate(E1232,""en"",""ja"")"),"生物学的標本中のクリプトコッカス属の任意のメンバーからの抗原の測定。")</f>
        <v>生物学的標本中のクリプトコッカス属の任意のメンバーからの抗原の測定。</v>
      </c>
      <c r="I1232" s="3" t="str">
        <f ca="1">IFERROR(__xludf.DUMMYFUNCTION("googletranslate(F1232,""en"",""ja"")"),"クリプトコッカス抗原測定")</f>
        <v>クリプトコッカス抗原測定</v>
      </c>
    </row>
    <row r="1233" spans="1:9" ht="30">
      <c r="A1233" s="3" t="s">
        <v>67</v>
      </c>
      <c r="B1233" s="3" t="s">
        <v>5207</v>
      </c>
      <c r="C1233" s="3" t="s">
        <v>5208</v>
      </c>
      <c r="D1233" s="3" t="s">
        <v>5208</v>
      </c>
      <c r="E1233" s="3" t="s">
        <v>5209</v>
      </c>
      <c r="F1233" s="3" t="s">
        <v>5210</v>
      </c>
      <c r="G1233" s="3" t="str">
        <f ca="1">IFERROR(__xludf.DUMMYFUNCTION("googletranslate(D1233,""en"",""ja"")"),"クリプトスポリジウム DNA")</f>
        <v>クリプトスポリジウム DNA</v>
      </c>
      <c r="H1233" s="3" t="str">
        <f ca="1">IFERROR(__xludf.DUMMYFUNCTION("googletranslate(E1233,""en"",""ja"")"),"生物学的標本中のクリプトスポリジウム属のメンバーからの DNA の測定。")</f>
        <v>生物学的標本中のクリプトスポリジウム属のメンバーからの DNA の測定。</v>
      </c>
      <c r="I1233" s="3" t="str">
        <f ca="1">IFERROR(__xludf.DUMMYFUNCTION("googletranslate(F1233,""en"",""ja"")"),"クリプトスポリジウム DNA 測定")</f>
        <v>クリプトスポリジウム DNA 測定</v>
      </c>
    </row>
    <row r="1234" spans="1:9" ht="30">
      <c r="A1234" s="3" t="s">
        <v>6</v>
      </c>
      <c r="B1234" s="3" t="s">
        <v>5211</v>
      </c>
      <c r="C1234" s="3" t="s">
        <v>5212</v>
      </c>
      <c r="D1234" s="3" t="s">
        <v>5213</v>
      </c>
      <c r="E1234" s="3" t="s">
        <v>5214</v>
      </c>
      <c r="F1234" s="3" t="s">
        <v>5215</v>
      </c>
      <c r="G1234" s="3" t="str">
        <f ca="1">IFERROR(__xludf.DUMMYFUNCTION("googletranslate(D1234,""en"",""ja"")"),"結晶。クリスタル不在インジケーター")</f>
        <v>結晶。クリスタル不在インジケーター</v>
      </c>
      <c r="H1234" s="3" t="str">
        <f ca="1">IFERROR(__xludf.DUMMYFUNCTION("googletranslate(E1234,""en"",""ja"")"),"結晶が生物学的標本で検索されたが見つからなかったことを示します。")</f>
        <v>結晶が生物学的標本で検索されたが見つからなかったことを示します。</v>
      </c>
      <c r="I1234" s="3" t="str">
        <f ca="1">IFERROR(__xludf.DUMMYFUNCTION("googletranslate(F1234,""en"",""ja"")"),"クリスタル不在インジケーター")</f>
        <v>クリスタル不在インジケーター</v>
      </c>
    </row>
    <row r="1235" spans="1:9" ht="30">
      <c r="A1235" s="3" t="s">
        <v>6</v>
      </c>
      <c r="B1235" s="3" t="s">
        <v>5216</v>
      </c>
      <c r="C1235" s="3" t="s">
        <v>5217</v>
      </c>
      <c r="D1235" s="3" t="s">
        <v>5217</v>
      </c>
      <c r="E1235" s="3" t="s">
        <v>5218</v>
      </c>
      <c r="F1235" s="3" t="s">
        <v>5219</v>
      </c>
      <c r="G1235" s="3" t="str">
        <f ca="1">IFERROR(__xludf.DUMMYFUNCTION("googletranslate(D1235,""en"",""ja"")"),"細菌円柱")</f>
        <v>細菌円柱</v>
      </c>
      <c r="H1235" s="3" t="str">
        <f ca="1">IFERROR(__xludf.DUMMYFUNCTION("googletranslate(E1235,""en"",""ja"")"),"生物学的標本に存在する細菌円柱の測定。")</f>
        <v>生物学的標本に存在する細菌円柱の測定。</v>
      </c>
      <c r="I1235" s="3" t="str">
        <f ca="1">IFERROR(__xludf.DUMMYFUNCTION("googletranslate(F1235,""en"",""ja"")"),"細菌円柱測定")</f>
        <v>細菌円柱測定</v>
      </c>
    </row>
    <row r="1236" spans="1:9">
      <c r="A1236" s="3" t="s">
        <v>6</v>
      </c>
      <c r="B1236" s="3" t="s">
        <v>5220</v>
      </c>
      <c r="C1236" s="3" t="s">
        <v>5221</v>
      </c>
      <c r="D1236" s="3" t="s">
        <v>5221</v>
      </c>
      <c r="E1236" s="3" t="s">
        <v>5222</v>
      </c>
      <c r="F1236" s="3" t="s">
        <v>5223</v>
      </c>
      <c r="G1236" s="3" t="str">
        <f ca="1">IFERROR(__xludf.DUMMYFUNCTION("googletranslate(D1236,""en"",""ja"")"),"ブロードキャスト")</f>
        <v>ブロードキャスト</v>
      </c>
      <c r="H1236" s="3" t="str">
        <f ca="1">IFERROR(__xludf.DUMMYFUNCTION("googletranslate(E1236,""en"",""ja"")"),"生物学的標本のブロードキャストの測定。")</f>
        <v>生物学的標本のブロードキャストの測定。</v>
      </c>
      <c r="I1236" s="3" t="str">
        <f ca="1">IFERROR(__xludf.DUMMYFUNCTION("googletranslate(F1236,""en"",""ja"")"),"ブロードキャストの測定")</f>
        <v>ブロードキャストの測定</v>
      </c>
    </row>
    <row r="1237" spans="1:9" ht="45">
      <c r="A1237" s="3" t="s">
        <v>6</v>
      </c>
      <c r="B1237" s="3" t="s">
        <v>5224</v>
      </c>
      <c r="C1237" s="3" t="s">
        <v>5225</v>
      </c>
      <c r="D1237" s="3" t="s">
        <v>5225</v>
      </c>
      <c r="E1237" s="3" t="s">
        <v>5226</v>
      </c>
      <c r="F1237" s="3" t="s">
        <v>5227</v>
      </c>
      <c r="G1237" s="3" t="str">
        <f ca="1">IFERROR(__xludf.DUMMYFUNCTION("googletranslate(D1237,""en"",""ja"")"),"セルラーキャスト")</f>
        <v>セルラーキャスト</v>
      </c>
      <c r="H1237" s="3" t="str">
        <f ca="1">IFERROR(__xludf.DUMMYFUNCTION("googletranslate(E1237,""en"",""ja"")"),"生物学的標本に存在する細胞（白血球、赤血球、上皮および細菌）円柱の測定。")</f>
        <v>生物学的標本に存在する細胞（白血球、赤血球、上皮および細菌）円柱の測定。</v>
      </c>
      <c r="I1237" s="3" t="str">
        <f ca="1">IFERROR(__xludf.DUMMYFUNCTION("googletranslate(F1237,""en"",""ja"")"),"細胞円柱測定")</f>
        <v>細胞円柱測定</v>
      </c>
    </row>
    <row r="1238" spans="1:9" ht="30">
      <c r="A1238" s="3" t="s">
        <v>6</v>
      </c>
      <c r="B1238" s="3" t="s">
        <v>5228</v>
      </c>
      <c r="C1238" s="3" t="s">
        <v>5229</v>
      </c>
      <c r="D1238" s="3" t="s">
        <v>5230</v>
      </c>
      <c r="E1238" s="3" t="s">
        <v>5231</v>
      </c>
      <c r="F1238" s="3" t="s">
        <v>5232</v>
      </c>
      <c r="G1238" s="3" t="str">
        <f ca="1">IFERROR(__xludf.DUMMYFUNCTION("googletranslate(D1238,""en"",""ja"")"),"円柱状キャスト; Cylindroid 疑似キャスト")</f>
        <v>円柱状キャスト; Cylindroid 疑似キャスト</v>
      </c>
      <c r="H1238" s="3" t="str">
        <f ca="1">IFERROR(__xludf.DUMMYFUNCTION("googletranslate(E1238,""en"",""ja"")"),"生物学的標本の円柱型（先端が先細になっている型）の測定。")</f>
        <v>生物学的標本の円柱型（先端が先細になっている型）の測定。</v>
      </c>
      <c r="I1238" s="3" t="str">
        <f ca="1">IFERROR(__xludf.DUMMYFUNCTION("googletranslate(F1238,""en"",""ja"")"),"円柱鋳造測定")</f>
        <v>円柱鋳造測定</v>
      </c>
    </row>
    <row r="1239" spans="1:9" ht="30">
      <c r="A1239" s="3" t="s">
        <v>81</v>
      </c>
      <c r="B1239" s="3" t="s">
        <v>5233</v>
      </c>
      <c r="C1239" s="3" t="s">
        <v>5234</v>
      </c>
      <c r="D1239" s="3" t="s">
        <v>5234</v>
      </c>
      <c r="E1239" s="3" t="s">
        <v>5235</v>
      </c>
      <c r="F1239" s="3" t="s">
        <v>5234</v>
      </c>
      <c r="G1239" s="3" t="str">
        <f ca="1">IFERROR(__xludf.DUMMYFUNCTION("googletranslate(D1239,""en"",""ja"")"),"断面直径")</f>
        <v>断面直径</v>
      </c>
      <c r="H1239" s="3" t="str">
        <f ca="1">IFERROR(__xludf.DUMMYFUNCTION("googletranslate(E1239,""en"",""ja"")"),"長軸に垂直な平面に沿って取られた構造の測定値。")</f>
        <v>長軸に垂直な平面に沿って取られた構造の測定値。</v>
      </c>
      <c r="I1239" s="3" t="str">
        <f ca="1">IFERROR(__xludf.DUMMYFUNCTION("googletranslate(F1239,""en"",""ja"")"),"断面直径")</f>
        <v>断面直径</v>
      </c>
    </row>
    <row r="1240" spans="1:9" ht="45">
      <c r="A1240" s="3" t="s">
        <v>81</v>
      </c>
      <c r="B1240" s="3" t="s">
        <v>5236</v>
      </c>
      <c r="C1240" s="3" t="s">
        <v>5237</v>
      </c>
      <c r="D1240" s="3" t="s">
        <v>5238</v>
      </c>
      <c r="E1240" s="3" t="s">
        <v>5239</v>
      </c>
      <c r="F1240" s="3" t="s">
        <v>5240</v>
      </c>
      <c r="G1240" s="3" t="str">
        <f ca="1">IFERROR(__xludf.DUMMYFUNCTION("googletranslate(D1240,""en"",""ja"")"),"クロス秒直径、EVD;断面直径、心室拡張末期")</f>
        <v>クロス秒直径、EVD;断面直径、心室拡張末期</v>
      </c>
      <c r="H1240" s="3" t="str">
        <f ca="1">IFERROR(__xludf.DUMMYFUNCTION("googletranslate(E1240,""en"",""ja"")"),"心室拡張末期で測定された心臓血管構造の断面直径。")</f>
        <v>心室拡張末期で測定された心臓血管構造の断面直径。</v>
      </c>
      <c r="I1240" s="3" t="str">
        <f ca="1">IFERROR(__xludf.DUMMYFUNCTION("googletranslate(F1240,""en"",""ja"")"),"心室拡張末期の断面直径")</f>
        <v>心室拡張末期の断面直径</v>
      </c>
    </row>
    <row r="1241" spans="1:9" ht="45">
      <c r="A1241" s="3" t="s">
        <v>81</v>
      </c>
      <c r="B1241" s="3" t="s">
        <v>5241</v>
      </c>
      <c r="C1241" s="3" t="s">
        <v>5242</v>
      </c>
      <c r="D1241" s="3" t="s">
        <v>5243</v>
      </c>
      <c r="E1241" s="3" t="s">
        <v>5244</v>
      </c>
      <c r="F1241" s="3" t="s">
        <v>5245</v>
      </c>
      <c r="G1241" s="3" t="str">
        <f ca="1">IFERROR(__xludf.DUMMYFUNCTION("googletranslate(D1241,""en"",""ja"")"),"クロス秒直径、EVS;断面直径、心室収縮末期")</f>
        <v>クロス秒直径、EVS;断面直径、心室収縮末期</v>
      </c>
      <c r="H1241" s="3" t="str">
        <f ca="1">IFERROR(__xludf.DUMMYFUNCTION("googletranslate(E1241,""en"",""ja"")"),"心室収縮末期に測定された心血管構造の断面直径。")</f>
        <v>心室収縮末期に測定された心血管構造の断面直径。</v>
      </c>
      <c r="I1241" s="3" t="str">
        <f ca="1">IFERROR(__xludf.DUMMYFUNCTION("googletranslate(F1241,""en"",""ja"")"),"心室収縮末期の断面直径")</f>
        <v>心室収縮末期の断面直径</v>
      </c>
    </row>
    <row r="1242" spans="1:9" ht="45">
      <c r="A1242" s="3" t="s">
        <v>81</v>
      </c>
      <c r="B1242" s="3" t="s">
        <v>5246</v>
      </c>
      <c r="C1242" s="3" t="s">
        <v>5247</v>
      </c>
      <c r="D1242" s="3" t="s">
        <v>5248</v>
      </c>
      <c r="E1242" s="3" t="s">
        <v>5249</v>
      </c>
      <c r="F1242" s="3" t="s">
        <v>5250</v>
      </c>
      <c r="G1242" s="3" t="str">
        <f ca="1">IFERROR(__xludf.DUMMYFUNCTION("googletranslate(D1242,""en"",""ja"")"),"クロス秒直径、MVS;断面直径、心室中期収縮期")</f>
        <v>クロス秒直径、MVS;断面直径、心室中期収縮期</v>
      </c>
      <c r="H1242" s="3" t="str">
        <f ca="1">IFERROR(__xludf.DUMMYFUNCTION("googletranslate(E1242,""en"",""ja"")"),"心室収縮期中期で測定された心血管構造の断面直径。")</f>
        <v>心室収縮期中期で測定された心血管構造の断面直径。</v>
      </c>
      <c r="I1242" s="3" t="str">
        <f ca="1">IFERROR(__xludf.DUMMYFUNCTION("googletranslate(F1242,""en"",""ja"")"),"心室収縮中期における断面直径")</f>
        <v>心室収縮中期における断面直径</v>
      </c>
    </row>
    <row r="1243" spans="1:9" ht="30">
      <c r="A1243" s="3" t="s">
        <v>6</v>
      </c>
      <c r="B1243" s="3" t="s">
        <v>5251</v>
      </c>
      <c r="C1243" s="3" t="s">
        <v>5252</v>
      </c>
      <c r="D1243" s="3" t="s">
        <v>5252</v>
      </c>
      <c r="E1243" s="3" t="s">
        <v>5253</v>
      </c>
      <c r="F1243" s="3" t="s">
        <v>5254</v>
      </c>
      <c r="G1243" s="3" t="str">
        <f ca="1">IFERROR(__xludf.DUMMYFUNCTION("googletranslate(D1243,""en"",""ja"")"),"上皮円柱")</f>
        <v>上皮円柱</v>
      </c>
      <c r="H1243" s="3" t="str">
        <f ca="1">IFERROR(__xludf.DUMMYFUNCTION("googletranslate(E1243,""en"",""ja"")"),"生物学的標本に存在する上皮細胞円柱の測定。")</f>
        <v>生物学的標本に存在する上皮細胞円柱の測定。</v>
      </c>
      <c r="I1243" s="3" t="str">
        <f ca="1">IFERROR(__xludf.DUMMYFUNCTION("googletranslate(F1243,""en"",""ja"")"),"上皮鋳造測定")</f>
        <v>上皮鋳造測定</v>
      </c>
    </row>
    <row r="1244" spans="1:9" ht="90">
      <c r="A1244" s="3" t="s">
        <v>6</v>
      </c>
      <c r="B1244" s="3" t="s">
        <v>5255</v>
      </c>
      <c r="C1244" s="3" t="s">
        <v>5256</v>
      </c>
      <c r="D1244" s="3" t="s">
        <v>5257</v>
      </c>
      <c r="E1244" s="3" t="s">
        <v>5258</v>
      </c>
      <c r="F1244" s="3" t="s">
        <v>5259</v>
      </c>
      <c r="G1244" s="3" t="str">
        <f ca="1">IFERROR(__xludf.DUMMYFUNCTION("googletranslate(D1244,""en"",""ja"")"),"846-エピトープ;アグリカン コンドロイチン硫酸エピトープ 846;コンドロイチン硫酸エピトープ 846;コンドロイチン硫酸プロテオグリカン 1 エピトープ 846; CS846")</f>
        <v>846-エピトープ;アグリカン コンドロイチン硫酸エピトープ 846;コンドロイチン硫酸エピトープ 846;コンドロイチン硫酸プロテオグリカン 1 エピトープ 846; CS846</v>
      </c>
      <c r="H1244" s="3" t="str">
        <f ca="1">IFERROR(__xludf.DUMMYFUNCTION("googletranslate(E1244,""en"",""ja"")"),"生物学的標本のアグリカンのコンドロイチン硫酸鎖に存在する 846 個のエピトープの測定。")</f>
        <v>生物学的標本のアグリカンのコンドロイチン硫酸鎖に存在する 846 個のエピトープの測定。</v>
      </c>
      <c r="I1244" s="3" t="str">
        <f ca="1">IFERROR(__xludf.DUMMYFUNCTION("googletranslate(F1244,""en"",""ja"")"),"アグリカン コンドロイチン硫酸エピトープ 846 の測定")</f>
        <v>アグリカン コンドロイチン硫酸エピトープ 846 の測定</v>
      </c>
    </row>
    <row r="1245" spans="1:9" ht="30">
      <c r="A1245" s="3" t="s">
        <v>6</v>
      </c>
      <c r="B1245" s="3" t="s">
        <v>5260</v>
      </c>
      <c r="C1245" s="3" t="s">
        <v>5261</v>
      </c>
      <c r="D1245" s="3" t="s">
        <v>5261</v>
      </c>
      <c r="E1245" s="3" t="s">
        <v>5262</v>
      </c>
      <c r="F1245" s="3" t="s">
        <v>5263</v>
      </c>
      <c r="G1245" s="3" t="str">
        <f ca="1">IFERROR(__xludf.DUMMYFUNCTION("googletranslate(D1245,""en"",""ja"")"),"腎上皮円柱")</f>
        <v>腎上皮円柱</v>
      </c>
      <c r="H1245" s="3" t="str">
        <f ca="1">IFERROR(__xludf.DUMMYFUNCTION("googletranslate(E1245,""en"",""ja"")"),"生体標本の腎上皮細胞鋳型の測定。")</f>
        <v>生体標本の腎上皮細胞鋳型の測定。</v>
      </c>
      <c r="I1245" s="3" t="str">
        <f ca="1">IFERROR(__xludf.DUMMYFUNCTION("googletranslate(F1245,""en"",""ja"")"),"腎上皮円柱の測定")</f>
        <v>腎上皮円柱の測定</v>
      </c>
    </row>
    <row r="1246" spans="1:9" ht="30">
      <c r="A1246" s="3" t="s">
        <v>6</v>
      </c>
      <c r="B1246" s="3" t="s">
        <v>5264</v>
      </c>
      <c r="C1246" s="3" t="s">
        <v>5265</v>
      </c>
      <c r="D1246" s="3" t="s">
        <v>5265</v>
      </c>
      <c r="E1246" s="3" t="s">
        <v>5266</v>
      </c>
      <c r="F1246" s="3" t="s">
        <v>5267</v>
      </c>
      <c r="G1246" s="3" t="str">
        <f ca="1">IFERROR(__xludf.DUMMYFUNCTION("googletranslate(D1246,""en"",""ja"")"),"腎尿細管上皮円柱")</f>
        <v>腎尿細管上皮円柱</v>
      </c>
      <c r="H1246" s="3" t="str">
        <f ca="1">IFERROR(__xludf.DUMMYFUNCTION("googletranslate(E1246,""en"",""ja"")"),"生体標本の尿細管上皮細胞鋳型の測定。")</f>
        <v>生体標本の尿細管上皮細胞鋳型の測定。</v>
      </c>
      <c r="I1246" s="3" t="str">
        <f ca="1">IFERROR(__xludf.DUMMYFUNCTION("googletranslate(F1246,""en"",""ja"")"),"腎尿細管上皮円柱の測定")</f>
        <v>腎尿細管上皮円柱の測定</v>
      </c>
    </row>
    <row r="1247" spans="1:9" ht="30">
      <c r="A1247" s="3" t="s">
        <v>6</v>
      </c>
      <c r="B1247" s="3" t="s">
        <v>5268</v>
      </c>
      <c r="C1247" s="3" t="s">
        <v>5269</v>
      </c>
      <c r="D1247" s="3" t="s">
        <v>5269</v>
      </c>
      <c r="E1247" s="3" t="s">
        <v>5270</v>
      </c>
      <c r="F1247" s="3" t="s">
        <v>5271</v>
      </c>
      <c r="G1247" s="3" t="str">
        <f ca="1">IFERROR(__xludf.DUMMYFUNCTION("googletranslate(D1247,""en"",""ja"")"),"脂肪円柱")</f>
        <v>脂肪円柱</v>
      </c>
      <c r="H1247" s="3" t="str">
        <f ca="1">IFERROR(__xludf.DUMMYFUNCTION("googletranslate(E1247,""en"",""ja"")"),"生物学的標本に存在する脂肪円柱の測定。")</f>
        <v>生物学的標本に存在する脂肪円柱の測定。</v>
      </c>
      <c r="I1247" s="3" t="str">
        <f ca="1">IFERROR(__xludf.DUMMYFUNCTION("googletranslate(F1247,""en"",""ja"")"),"脂肪円柱測定")</f>
        <v>脂肪円柱測定</v>
      </c>
    </row>
    <row r="1248" spans="1:9" ht="30">
      <c r="A1248" s="3" t="s">
        <v>6</v>
      </c>
      <c r="B1248" s="3" t="s">
        <v>5272</v>
      </c>
      <c r="C1248" s="3" t="s">
        <v>5273</v>
      </c>
      <c r="D1248" s="3" t="s">
        <v>5274</v>
      </c>
      <c r="E1248" s="3" t="s">
        <v>5275</v>
      </c>
      <c r="F1248" s="3" t="s">
        <v>5276</v>
      </c>
      <c r="G1248" s="3" t="str">
        <f ca="1">IFERROR(__xludf.DUMMYFUNCTION("googletranslate(D1248,""en"",""ja"")"),"CSF IgG インデックス; CSFインデックス; IgG インデックス")</f>
        <v>CSF IgG インデックス; CSFインデックス; IgG インデックス</v>
      </c>
      <c r="H1248" s="3" t="str">
        <f ca="1">IFERROR(__xludf.DUMMYFUNCTION("googletranslate(E1248,""en"",""ja"")"),"脳脊髄液中のアルブミンに対する IgG の、血清中のアルブミンに対する IgG の相対測定値 (比)。")</f>
        <v>脳脊髄液中のアルブミンに対する IgG の、血清中のアルブミンに対する IgG の相対測定値 (比)。</v>
      </c>
      <c r="I1248" s="3" t="str">
        <f ca="1">IFERROR(__xludf.DUMMYFUNCTION("googletranslate(F1248,""en"",""ja"")"),"IgG インデックス")</f>
        <v>IgG インデックス</v>
      </c>
    </row>
    <row r="1249" spans="1:9" ht="30">
      <c r="A1249" s="3" t="s">
        <v>6</v>
      </c>
      <c r="B1249" s="3" t="s">
        <v>5277</v>
      </c>
      <c r="C1249" s="3" t="s">
        <v>5278</v>
      </c>
      <c r="D1249" s="3" t="s">
        <v>5278</v>
      </c>
      <c r="E1249" s="3" t="s">
        <v>5279</v>
      </c>
      <c r="F1249" s="3" t="s">
        <v>5280</v>
      </c>
      <c r="G1249" s="3" t="str">
        <f ca="1">IFERROR(__xludf.DUMMYFUNCTION("googletranslate(D1249,""en"",""ja"")"),"粒状キャスト")</f>
        <v>粒状キャスト</v>
      </c>
      <c r="H1249" s="3" t="str">
        <f ca="1">IFERROR(__xludf.DUMMYFUNCTION("googletranslate(E1249,""en"",""ja"")"),"生物学的標本に存在する粒状 (粗いおよび細かい) 円柱の測定。")</f>
        <v>生物学的標本に存在する粒状 (粗いおよび細かい) 円柱の測定。</v>
      </c>
      <c r="I1249" s="3" t="str">
        <f ca="1">IFERROR(__xludf.DUMMYFUNCTION("googletranslate(F1249,""en"",""ja"")"),"粒状鋳造測定")</f>
        <v>粒状鋳造測定</v>
      </c>
    </row>
    <row r="1250" spans="1:9" ht="30">
      <c r="A1250" s="3" t="s">
        <v>6</v>
      </c>
      <c r="B1250" s="3" t="s">
        <v>5281</v>
      </c>
      <c r="C1250" s="3" t="s">
        <v>5282</v>
      </c>
      <c r="D1250" s="3" t="s">
        <v>5282</v>
      </c>
      <c r="E1250" s="3" t="s">
        <v>5283</v>
      </c>
      <c r="F1250" s="3" t="s">
        <v>5284</v>
      </c>
      <c r="G1250" s="3" t="str">
        <f ca="1">IFERROR(__xludf.DUMMYFUNCTION("googletranslate(D1250,""en"",""ja"")"),"粒状粗鋳物")</f>
        <v>粒状粗鋳物</v>
      </c>
      <c r="H1250" s="3" t="str">
        <f ca="1">IFERROR(__xludf.DUMMYFUNCTION("googletranslate(E1250,""en"",""ja"")"),"生物学的標本に存在する粗い粒状円柱の測定。")</f>
        <v>生物学的標本に存在する粗い粒状円柱の測定。</v>
      </c>
      <c r="I1250" s="3" t="str">
        <f ca="1">IFERROR(__xludf.DUMMYFUNCTION("googletranslate(F1250,""en"",""ja"")"),"粗粒鋳造品の測定")</f>
        <v>粗粒鋳造品の測定</v>
      </c>
    </row>
    <row r="1251" spans="1:9" ht="30">
      <c r="A1251" s="3" t="s">
        <v>6</v>
      </c>
      <c r="B1251" s="3" t="s">
        <v>5285</v>
      </c>
      <c r="C1251" s="3" t="s">
        <v>5286</v>
      </c>
      <c r="D1251" s="3" t="s">
        <v>5286</v>
      </c>
      <c r="E1251" s="3" t="s">
        <v>5287</v>
      </c>
      <c r="F1251" s="3" t="s">
        <v>5288</v>
      </c>
      <c r="G1251" s="3" t="str">
        <f ca="1">IFERROR(__xludf.DUMMYFUNCTION("googletranslate(D1251,""en"",""ja"")"),"粒状微細キャスト")</f>
        <v>粒状微細キャスト</v>
      </c>
      <c r="H1251" s="3" t="str">
        <f ca="1">IFERROR(__xludf.DUMMYFUNCTION("googletranslate(E1251,""en"",""ja"")"),"生物学的標本中に存在する微粒子円柱の測定。")</f>
        <v>生物学的標本中に存在する微粒子円柱の測定。</v>
      </c>
      <c r="I1251" s="3" t="str">
        <f ca="1">IFERROR(__xludf.DUMMYFUNCTION("googletranslate(F1251,""en"",""ja"")"),"粒状微細鋳造測定")</f>
        <v>粒状微細鋳造測定</v>
      </c>
    </row>
    <row r="1252" spans="1:9" ht="30">
      <c r="A1252" s="3" t="s">
        <v>6</v>
      </c>
      <c r="B1252" s="3" t="s">
        <v>5289</v>
      </c>
      <c r="C1252" s="3" t="s">
        <v>5290</v>
      </c>
      <c r="D1252" s="3" t="s">
        <v>5290</v>
      </c>
      <c r="E1252" s="3" t="s">
        <v>5291</v>
      </c>
      <c r="F1252" s="3" t="s">
        <v>5292</v>
      </c>
      <c r="G1252" s="3" t="str">
        <f ca="1">IFERROR(__xludf.DUMMYFUNCTION("googletranslate(D1252,""en"",""ja"")"),"ヒアリン円柱")</f>
        <v>ヒアリン円柱</v>
      </c>
      <c r="H1252" s="3" t="str">
        <f ca="1">IFERROR(__xludf.DUMMYFUNCTION("googletranslate(E1252,""en"",""ja"")"),"生物学的標本に存在する硝子円柱の測定。")</f>
        <v>生物学的標本に存在する硝子円柱の測定。</v>
      </c>
      <c r="I1252" s="3" t="str">
        <f ca="1">IFERROR(__xludf.DUMMYFUNCTION("googletranslate(F1252,""en"",""ja"")"),"硝子円柱測定")</f>
        <v>硝子円柱測定</v>
      </c>
    </row>
    <row r="1253" spans="1:9" ht="30">
      <c r="A1253" s="3" t="s">
        <v>6</v>
      </c>
      <c r="B1253" s="3" t="s">
        <v>5293</v>
      </c>
      <c r="C1253" s="3" t="s">
        <v>5294</v>
      </c>
      <c r="D1253" s="3" t="s">
        <v>5294</v>
      </c>
      <c r="E1253" s="3" t="s">
        <v>5295</v>
      </c>
      <c r="F1253" s="3" t="s">
        <v>5294</v>
      </c>
      <c r="G1253" s="3" t="str">
        <f ca="1">IFERROR(__xludf.DUMMYFUNCTION("googletranslate(D1253,""en"",""ja"")"),"硝子顆粒円柱")</f>
        <v>硝子顆粒円柱</v>
      </c>
      <c r="H1253" s="3" t="str">
        <f ca="1">IFERROR(__xludf.DUMMYFUNCTION("googletranslate(E1253,""en"",""ja"")"),"生物学的標本の硝子顆粒円柱の測定。")</f>
        <v>生物学的標本の硝子顆粒円柱の測定。</v>
      </c>
      <c r="I1253" s="3" t="str">
        <f ca="1">IFERROR(__xludf.DUMMYFUNCTION("googletranslate(F1253,""en"",""ja"")"),"硝子顆粒円柱")</f>
        <v>硝子顆粒円柱</v>
      </c>
    </row>
    <row r="1254" spans="1:9" ht="30">
      <c r="A1254" s="3" t="s">
        <v>6</v>
      </c>
      <c r="B1254" s="3" t="s">
        <v>5296</v>
      </c>
      <c r="C1254" s="3" t="s">
        <v>5297</v>
      </c>
      <c r="D1254" s="3" t="s">
        <v>5297</v>
      </c>
      <c r="E1254" s="3" t="s">
        <v>5298</v>
      </c>
      <c r="F1254" s="3" t="s">
        <v>5299</v>
      </c>
      <c r="G1254" s="3" t="str">
        <f ca="1">IFERROR(__xludf.DUMMYFUNCTION("googletranslate(D1254,""en"",""ja"")"),"混合キャスト")</f>
        <v>混合キャスト</v>
      </c>
      <c r="H1254" s="3" t="str">
        <f ca="1">IFERROR(__xludf.DUMMYFUNCTION("googletranslate(E1254,""en"",""ja"")"),"生物学的標本中に存在する混合型 (細胞型の混合物を含む) 円柱の測定値。")</f>
        <v>生物学的標本中に存在する混合型 (細胞型の混合物を含む) 円柱の測定値。</v>
      </c>
      <c r="I1254" s="3" t="str">
        <f ca="1">IFERROR(__xludf.DUMMYFUNCTION("googletranslate(F1254,""en"",""ja"")"),"混合キャスト数")</f>
        <v>混合キャスト数</v>
      </c>
    </row>
    <row r="1255" spans="1:9" ht="30">
      <c r="A1255" s="3" t="s">
        <v>6</v>
      </c>
      <c r="B1255" s="3" t="s">
        <v>5300</v>
      </c>
      <c r="C1255" s="3" t="s">
        <v>5301</v>
      </c>
      <c r="D1255" s="3" t="s">
        <v>5302</v>
      </c>
      <c r="E1255" s="3" t="s">
        <v>5303</v>
      </c>
      <c r="F1255" s="3" t="s">
        <v>5304</v>
      </c>
      <c r="G1255" s="3" t="str">
        <f ca="1">IFERROR(__xludf.DUMMYFUNCTION("googletranslate(D1255,""en"",""ja"")"),"非ヒアリン円柱。非ヒアリン円柱。病的ギプス")</f>
        <v>非ヒアリン円柱。非ヒアリン円柱。病的ギプス</v>
      </c>
      <c r="H1255" s="3" t="str">
        <f ca="1">IFERROR(__xludf.DUMMYFUNCTION("googletranslate(E1255,""en"",""ja"")"),"生物学的標本に存在する病理学的 (非硝子体) 円柱の測定。")</f>
        <v>生物学的標本に存在する病理学的 (非硝子体) 円柱の測定。</v>
      </c>
      <c r="I1255" s="3" t="str">
        <f ca="1">IFERROR(__xludf.DUMMYFUNCTION("googletranslate(F1255,""en"",""ja"")"),"病的円柱測定")</f>
        <v>病的円柱測定</v>
      </c>
    </row>
    <row r="1256" spans="1:9" ht="30">
      <c r="A1256" s="3" t="s">
        <v>81</v>
      </c>
      <c r="B1256" s="3" t="s">
        <v>5305</v>
      </c>
      <c r="C1256" s="3" t="s">
        <v>5306</v>
      </c>
      <c r="D1256" s="3" t="s">
        <v>5306</v>
      </c>
      <c r="E1256" s="3" t="s">
        <v>5307</v>
      </c>
      <c r="F1256" s="3" t="s">
        <v>5306</v>
      </c>
      <c r="G1256" s="3" t="str">
        <f ca="1">IFERROR(__xludf.DUMMYFUNCTION("googletranslate(D1256,""en"",""ja"")"),"カスプドーミングインジケーター")</f>
        <v>カスプドーミングインジケーター</v>
      </c>
      <c r="H1256" s="3" t="str">
        <f ca="1">IFERROR(__xludf.DUMMYFUNCTION("googletranslate(E1256,""en"",""ja"")"),"心臓弁尖のドーミングがあるかどうかに関する指標。")</f>
        <v>心臓弁尖のドーミングがあるかどうかに関する指標。</v>
      </c>
      <c r="I1256" s="3" t="str">
        <f ca="1">IFERROR(__xludf.DUMMYFUNCTION("googletranslate(F1256,""en"",""ja"")"),"カスプドーミングインジケーター")</f>
        <v>カスプドーミングインジケーター</v>
      </c>
    </row>
    <row r="1257" spans="1:9" ht="30">
      <c r="A1257" s="3" t="s">
        <v>81</v>
      </c>
      <c r="B1257" s="3" t="s">
        <v>5308</v>
      </c>
      <c r="C1257" s="3" t="s">
        <v>5309</v>
      </c>
      <c r="D1257" s="3" t="s">
        <v>5309</v>
      </c>
      <c r="E1257" s="3" t="s">
        <v>5310</v>
      </c>
      <c r="F1257" s="3" t="s">
        <v>5309</v>
      </c>
      <c r="G1257" s="3" t="str">
        <f ca="1">IFERROR(__xludf.DUMMYFUNCTION("googletranslate(D1257,""en"",""ja"")"),"カスプドーミングの重症度")</f>
        <v>カスプドーミングの重症度</v>
      </c>
      <c r="H1257" s="3" t="str">
        <f ca="1">IFERROR(__xludf.DUMMYFUNCTION("googletranslate(E1257,""en"",""ja"")"),"心臓弁尖のドーミングの重症度の評価。")</f>
        <v>心臓弁尖のドーミングの重症度の評価。</v>
      </c>
      <c r="I1257" s="3" t="str">
        <f ca="1">IFERROR(__xludf.DUMMYFUNCTION("googletranslate(F1257,""en"",""ja"")"),"カスプドーミングの重症度")</f>
        <v>カスプドーミングの重症度</v>
      </c>
    </row>
    <row r="1258" spans="1:9" ht="30">
      <c r="A1258" s="3" t="s">
        <v>81</v>
      </c>
      <c r="B1258" s="3" t="s">
        <v>5311</v>
      </c>
      <c r="C1258" s="3" t="s">
        <v>5312</v>
      </c>
      <c r="D1258" s="3" t="s">
        <v>5312</v>
      </c>
      <c r="E1258" s="3" t="s">
        <v>5313</v>
      </c>
      <c r="F1258" s="3" t="s">
        <v>5312</v>
      </c>
      <c r="G1258" s="3" t="str">
        <f ca="1">IFERROR(__xludf.DUMMYFUNCTION("googletranslate(D1258,""en"",""ja"")"),"カスプフレイルインジケーター")</f>
        <v>カスプフレイルインジケーター</v>
      </c>
      <c r="H1258" s="3" t="str">
        <f ca="1">IFERROR(__xludf.DUMMYFUNCTION("googletranslate(E1258,""en"",""ja"")"),"心臓弁尖の動揺があるかどうかを示す指標。")</f>
        <v>心臓弁尖の動揺があるかどうかを示す指標。</v>
      </c>
      <c r="I1258" s="3" t="str">
        <f ca="1">IFERROR(__xludf.DUMMYFUNCTION("googletranslate(F1258,""en"",""ja"")"),"カスプフレイルインジケーター")</f>
        <v>カスプフレイルインジケーター</v>
      </c>
    </row>
    <row r="1259" spans="1:9">
      <c r="A1259" s="3" t="s">
        <v>81</v>
      </c>
      <c r="B1259" s="3" t="s">
        <v>5314</v>
      </c>
      <c r="C1259" s="3" t="s">
        <v>5315</v>
      </c>
      <c r="D1259" s="3" t="s">
        <v>5315</v>
      </c>
      <c r="E1259" s="3" t="s">
        <v>5316</v>
      </c>
      <c r="F1259" s="3" t="s">
        <v>5315</v>
      </c>
      <c r="G1259" s="3" t="str">
        <f ca="1">IFERROR(__xludf.DUMMYFUNCTION("googletranslate(D1259,""en"",""ja"")"),"カスプフレイルの重症度")</f>
        <v>カスプフレイルの重症度</v>
      </c>
      <c r="H1259" s="3" t="str">
        <f ca="1">IFERROR(__xludf.DUMMYFUNCTION("googletranslate(E1259,""en"",""ja"")"),"動揺する心臓弁尖の重症度の評価。")</f>
        <v>動揺する心臓弁尖の重症度の評価。</v>
      </c>
      <c r="I1259" s="3" t="str">
        <f ca="1">IFERROR(__xludf.DUMMYFUNCTION("googletranslate(F1259,""en"",""ja"")"),"カスプフレイルの重症度")</f>
        <v>カスプフレイルの重症度</v>
      </c>
    </row>
    <row r="1260" spans="1:9" ht="30">
      <c r="A1260" s="3" t="s">
        <v>81</v>
      </c>
      <c r="B1260" s="3" t="s">
        <v>5317</v>
      </c>
      <c r="C1260" s="3" t="s">
        <v>5318</v>
      </c>
      <c r="D1260" s="3" t="s">
        <v>5318</v>
      </c>
      <c r="E1260" s="3" t="s">
        <v>5319</v>
      </c>
      <c r="F1260" s="3" t="s">
        <v>5318</v>
      </c>
      <c r="G1260" s="3" t="str">
        <f ca="1">IFERROR(__xludf.DUMMYFUNCTION("googletranslate(D1260,""en"",""ja"")"),"カスプフレイルのタイミング")</f>
        <v>カスプフレイルのタイミング</v>
      </c>
      <c r="H1260" s="3" t="str">
        <f ca="1">IFERROR(__xludf.DUMMYFUNCTION("googletranslate(E1260,""en"",""ja"")"),"心周期中の 1 つまたは複数の心臓弁尖のフレイルが発生する時点。")</f>
        <v>心周期中の 1 つまたは複数の心臓弁尖のフレイルが発生する時点。</v>
      </c>
      <c r="I1260" s="3" t="str">
        <f ca="1">IFERROR(__xludf.DUMMYFUNCTION("googletranslate(F1260,""en"",""ja"")"),"カスプフレイルのタイミング")</f>
        <v>カスプフレイルのタイミング</v>
      </c>
    </row>
    <row r="1261" spans="1:9" ht="30">
      <c r="A1261" s="3" t="s">
        <v>6</v>
      </c>
      <c r="B1261" s="3" t="s">
        <v>5320</v>
      </c>
      <c r="C1261" s="3" t="s">
        <v>5321</v>
      </c>
      <c r="D1261" s="3" t="s">
        <v>5322</v>
      </c>
      <c r="E1261" s="3" t="s">
        <v>5323</v>
      </c>
      <c r="F1261" s="3" t="s">
        <v>5324</v>
      </c>
      <c r="G1261" s="3" t="str">
        <f ca="1">IFERROR(__xludf.DUMMYFUNCTION("googletranslate(D1261,""en"",""ja"")"),"顔料キャスト;色素沈着したキャスト")</f>
        <v>顔料キャスト;色素沈着したキャスト</v>
      </c>
      <c r="H1261" s="3" t="str">
        <f ca="1">IFERROR(__xludf.DUMMYFUNCTION("googletranslate(E1261,""en"",""ja"")"),"生物学的標本に存在する色素キャストの測定。")</f>
        <v>生物学的標本に存在する色素キャストの測定。</v>
      </c>
      <c r="I1261" s="3" t="str">
        <f ca="1">IFERROR(__xludf.DUMMYFUNCTION("googletranslate(F1261,""en"",""ja"")"),"顔料キャスト測定")</f>
        <v>顔料キャスト測定</v>
      </c>
    </row>
    <row r="1262" spans="1:9" ht="30">
      <c r="A1262" s="3" t="s">
        <v>67</v>
      </c>
      <c r="B1262" s="3" t="s">
        <v>5325</v>
      </c>
      <c r="C1262" s="3" t="s">
        <v>5326</v>
      </c>
      <c r="D1262" s="3" t="s">
        <v>5326</v>
      </c>
      <c r="E1262" s="3" t="s">
        <v>5327</v>
      </c>
      <c r="F1262" s="3" t="s">
        <v>5328</v>
      </c>
      <c r="G1262" s="3" t="str">
        <f ca="1">IFERROR(__xludf.DUMMYFUNCTION("googletranslate(D1262,""en"",""ja"")"),"クリプトスポリジウム抗原")</f>
        <v>クリプトスポリジウム抗原</v>
      </c>
      <c r="H1262" s="3" t="str">
        <f ca="1">IFERROR(__xludf.DUMMYFUNCTION("googletranslate(E1262,""en"",""ja"")"),"生物学的標本中のクリプトスポリジウム属の任意のメンバーからの抗原の測定。")</f>
        <v>生物学的標本中のクリプトスポリジウム属の任意のメンバーからの抗原の測定。</v>
      </c>
      <c r="I1262" s="3" t="str">
        <f ca="1">IFERROR(__xludf.DUMMYFUNCTION("googletranslate(F1262,""en"",""ja"")"),"クリプトスポリジウム抗原測定")</f>
        <v>クリプトスポリジウム抗原測定</v>
      </c>
    </row>
    <row r="1263" spans="1:9" ht="30">
      <c r="A1263" s="3" t="s">
        <v>81</v>
      </c>
      <c r="B1263" s="3" t="s">
        <v>5329</v>
      </c>
      <c r="C1263" s="3" t="s">
        <v>5330</v>
      </c>
      <c r="D1263" s="3" t="s">
        <v>5330</v>
      </c>
      <c r="E1263" s="3" t="s">
        <v>5331</v>
      </c>
      <c r="F1263" s="3" t="s">
        <v>5330</v>
      </c>
      <c r="G1263" s="3" t="str">
        <f ca="1">IFERROR(__xludf.DUMMYFUNCTION("googletranslate(D1263,""en"",""ja"")"),"咬頭脱出インジケーター")</f>
        <v>咬頭脱出インジケーター</v>
      </c>
      <c r="H1263" s="3" t="str">
        <f ca="1">IFERROR(__xludf.DUMMYFUNCTION("googletranslate(E1263,""en"",""ja"")"),"心臓弁尖の脱出があるかどうかの指標。")</f>
        <v>心臓弁尖の脱出があるかどうかの指標。</v>
      </c>
      <c r="I1263" s="3" t="str">
        <f ca="1">IFERROR(__xludf.DUMMYFUNCTION("googletranslate(F1263,""en"",""ja"")"),"咬頭脱出インジケーター")</f>
        <v>咬頭脱出インジケーター</v>
      </c>
    </row>
    <row r="1264" spans="1:9" ht="30">
      <c r="A1264" s="3" t="s">
        <v>81</v>
      </c>
      <c r="B1264" s="3" t="s">
        <v>5332</v>
      </c>
      <c r="C1264" s="3" t="s">
        <v>5333</v>
      </c>
      <c r="D1264" s="3" t="s">
        <v>5333</v>
      </c>
      <c r="E1264" s="3" t="s">
        <v>5334</v>
      </c>
      <c r="F1264" s="3" t="s">
        <v>5333</v>
      </c>
      <c r="G1264" s="3" t="str">
        <f ca="1">IFERROR(__xludf.DUMMYFUNCTION("googletranslate(D1264,""en"",""ja"")"),"尖頭脱出の重症度")</f>
        <v>尖頭脱出の重症度</v>
      </c>
      <c r="H1264" s="3" t="str">
        <f ca="1">IFERROR(__xludf.DUMMYFUNCTION("googletranslate(E1264,""en"",""ja"")"),"脱出した心臓弁尖の重症度の評価。")</f>
        <v>脱出した心臓弁尖の重症度の評価。</v>
      </c>
      <c r="I1264" s="3" t="str">
        <f ca="1">IFERROR(__xludf.DUMMYFUNCTION("googletranslate(F1264,""en"",""ja"")"),"尖頭脱出の重症度")</f>
        <v>尖頭脱出の重症度</v>
      </c>
    </row>
    <row r="1265" spans="1:9" ht="30">
      <c r="A1265" s="3" t="s">
        <v>81</v>
      </c>
      <c r="B1265" s="3" t="s">
        <v>5335</v>
      </c>
      <c r="C1265" s="3" t="s">
        <v>5336</v>
      </c>
      <c r="D1265" s="3" t="s">
        <v>5336</v>
      </c>
      <c r="E1265" s="3" t="s">
        <v>5337</v>
      </c>
      <c r="F1265" s="3" t="s">
        <v>5336</v>
      </c>
      <c r="G1265" s="3" t="str">
        <f ca="1">IFERROR(__xludf.DUMMYFUNCTION("googletranslate(D1265,""en"",""ja"")"),"咬頭脱出のタイミング")</f>
        <v>咬頭脱出のタイミング</v>
      </c>
      <c r="H1265" s="3" t="str">
        <f ca="1">IFERROR(__xludf.DUMMYFUNCTION("googletranslate(E1265,""en"",""ja"")"),"心周期中の 1 つまたは複数の心臓弁尖の脱出が発生する時点。")</f>
        <v>心周期中の 1 つまたは複数の心臓弁尖の脱出が発生する時点。</v>
      </c>
      <c r="I1265" s="3" t="str">
        <f ca="1">IFERROR(__xludf.DUMMYFUNCTION("googletranslate(F1265,""en"",""ja"")"),"咬頭脱出のタイミング")</f>
        <v>咬頭脱出のタイミング</v>
      </c>
    </row>
    <row r="1266" spans="1:9" ht="30">
      <c r="A1266" s="3" t="s">
        <v>81</v>
      </c>
      <c r="B1266" s="3" t="s">
        <v>5338</v>
      </c>
      <c r="C1266" s="3" t="s">
        <v>5339</v>
      </c>
      <c r="D1266" s="3" t="s">
        <v>5339</v>
      </c>
      <c r="E1266" s="3" t="s">
        <v>5340</v>
      </c>
      <c r="F1266" s="3" t="s">
        <v>5339</v>
      </c>
      <c r="G1266" s="3" t="str">
        <f ca="1">IFERROR(__xludf.DUMMYFUNCTION("googletranslate(D1266,""en"",""ja"")"),"カスプ制限運動インジケーター")</f>
        <v>カスプ制限運動インジケーター</v>
      </c>
      <c r="H1266" s="3" t="str">
        <f ca="1">IFERROR(__xludf.DUMMYFUNCTION("googletranslate(E1266,""en"",""ja"")"),"心臓弁尖の動きが制限されているかどうかを示す指標。")</f>
        <v>心臓弁尖の動きが制限されているかどうかを示す指標。</v>
      </c>
      <c r="I1266" s="3" t="str">
        <f ca="1">IFERROR(__xludf.DUMMYFUNCTION("googletranslate(F1266,""en"",""ja"")"),"カスプ制限運動インジケーター")</f>
        <v>カスプ制限運動インジケーター</v>
      </c>
    </row>
    <row r="1267" spans="1:9" ht="30">
      <c r="A1267" s="3" t="s">
        <v>81</v>
      </c>
      <c r="B1267" s="3" t="s">
        <v>5341</v>
      </c>
      <c r="C1267" s="3" t="s">
        <v>5342</v>
      </c>
      <c r="D1267" s="3" t="s">
        <v>5342</v>
      </c>
      <c r="E1267" s="3" t="s">
        <v>5343</v>
      </c>
      <c r="F1267" s="3" t="s">
        <v>5342</v>
      </c>
      <c r="G1267" s="3" t="str">
        <f ca="1">IFERROR(__xludf.DUMMYFUNCTION("googletranslate(D1267,""en"",""ja"")"),"カスプ制限動作の重大度")</f>
        <v>カスプ制限動作の重大度</v>
      </c>
      <c r="H1267" s="3" t="str">
        <f ca="1">IFERROR(__xludf.DUMMYFUNCTION("googletranslate(E1267,""en"",""ja"")"),"心臓弁尖の運動制限の重症度の評価。")</f>
        <v>心臓弁尖の運動制限の重症度の評価。</v>
      </c>
      <c r="I1267" s="3" t="str">
        <f ca="1">IFERROR(__xludf.DUMMYFUNCTION("googletranslate(F1267,""en"",""ja"")"),"カスプ制限動作の重大度")</f>
        <v>カスプ制限動作の重大度</v>
      </c>
    </row>
    <row r="1268" spans="1:9" ht="30">
      <c r="A1268" s="3" t="s">
        <v>81</v>
      </c>
      <c r="B1268" s="3" t="s">
        <v>5344</v>
      </c>
      <c r="C1268" s="3" t="s">
        <v>5345</v>
      </c>
      <c r="D1268" s="3" t="s">
        <v>5345</v>
      </c>
      <c r="E1268" s="3" t="s">
        <v>5346</v>
      </c>
      <c r="F1268" s="3" t="s">
        <v>5345</v>
      </c>
      <c r="G1268" s="3" t="str">
        <f ca="1">IFERROR(__xludf.DUMMYFUNCTION("googletranslate(D1268,""en"",""ja"")"),"カスプテザリングインジケーター")</f>
        <v>カスプテザリングインジケーター</v>
      </c>
      <c r="H1268" s="3" t="str">
        <f ca="1">IFERROR(__xludf.DUMMYFUNCTION("googletranslate(E1268,""en"",""ja"")"),"心臓弁尖の係留があるかどうかに関する指標。")</f>
        <v>心臓弁尖の係留があるかどうかに関する指標。</v>
      </c>
      <c r="I1268" s="3" t="str">
        <f ca="1">IFERROR(__xludf.DUMMYFUNCTION("googletranslate(F1268,""en"",""ja"")"),"カスプテザリングインジケーター")</f>
        <v>カスプテザリングインジケーター</v>
      </c>
    </row>
    <row r="1269" spans="1:9" ht="30">
      <c r="A1269" s="3" t="s">
        <v>81</v>
      </c>
      <c r="B1269" s="3" t="s">
        <v>5347</v>
      </c>
      <c r="C1269" s="3" t="s">
        <v>5348</v>
      </c>
      <c r="D1269" s="3" t="s">
        <v>5348</v>
      </c>
      <c r="E1269" s="3" t="s">
        <v>5349</v>
      </c>
      <c r="F1269" s="3" t="s">
        <v>5348</v>
      </c>
      <c r="G1269" s="3" t="str">
        <f ca="1">IFERROR(__xludf.DUMMYFUNCTION("googletranslate(D1269,""en"",""ja"")"),"カスプテザリングの重大度")</f>
        <v>カスプテザリングの重大度</v>
      </c>
      <c r="H1269" s="3" t="str">
        <f ca="1">IFERROR(__xludf.DUMMYFUNCTION("googletranslate(E1269,""en"",""ja"")"),"心臓弁尖のテザリングの重症度の評価。")</f>
        <v>心臓弁尖のテザリングの重症度の評価。</v>
      </c>
      <c r="I1269" s="3" t="str">
        <f ca="1">IFERROR(__xludf.DUMMYFUNCTION("googletranslate(F1269,""en"",""ja"")"),"カスプテザリングの重大度")</f>
        <v>カスプテザリングの重大度</v>
      </c>
    </row>
    <row r="1270" spans="1:9" ht="30">
      <c r="A1270" s="3" t="s">
        <v>81</v>
      </c>
      <c r="B1270" s="3" t="s">
        <v>5350</v>
      </c>
      <c r="C1270" s="3" t="s">
        <v>5351</v>
      </c>
      <c r="D1270" s="3" t="s">
        <v>5351</v>
      </c>
      <c r="E1270" s="3" t="s">
        <v>5352</v>
      </c>
      <c r="F1270" s="3" t="s">
        <v>5351</v>
      </c>
      <c r="G1270" s="3" t="str">
        <f ca="1">IFERROR(__xludf.DUMMYFUNCTION("googletranslate(D1270,""en"",""ja"")"),"尖頭肥厚インジケーター")</f>
        <v>尖頭肥厚インジケーター</v>
      </c>
      <c r="H1270" s="3" t="str">
        <f ca="1">IFERROR(__xludf.DUMMYFUNCTION("googletranslate(E1270,""en"",""ja"")"),"肥厚した心臓弁尖があるかどうかの指標。")</f>
        <v>肥厚した心臓弁尖があるかどうかの指標。</v>
      </c>
      <c r="I1270" s="3" t="str">
        <f ca="1">IFERROR(__xludf.DUMMYFUNCTION("googletranslate(F1270,""en"",""ja"")"),"尖頭肥厚インジケーター")</f>
        <v>尖頭肥厚インジケーター</v>
      </c>
    </row>
    <row r="1271" spans="1:9">
      <c r="A1271" s="3" t="s">
        <v>81</v>
      </c>
      <c r="B1271" s="3" t="s">
        <v>5353</v>
      </c>
      <c r="C1271" s="3" t="s">
        <v>5354</v>
      </c>
      <c r="D1271" s="3" t="s">
        <v>5354</v>
      </c>
      <c r="E1271" s="3" t="s">
        <v>5355</v>
      </c>
      <c r="F1271" s="3" t="s">
        <v>5354</v>
      </c>
      <c r="G1271" s="3" t="str">
        <f ca="1">IFERROR(__xludf.DUMMYFUNCTION("googletranslate(D1271,""en"",""ja"")"),"尖頭肥厚の重症度")</f>
        <v>尖頭肥厚の重症度</v>
      </c>
      <c r="H1271" s="3" t="str">
        <f ca="1">IFERROR(__xludf.DUMMYFUNCTION("googletranslate(E1271,""en"",""ja"")"),"肥厚した心尖の重症度の評価。")</f>
        <v>肥厚した心尖の重症度の評価。</v>
      </c>
      <c r="I1271" s="3" t="str">
        <f ca="1">IFERROR(__xludf.DUMMYFUNCTION("googletranslate(F1271,""en"",""ja"")"),"尖頭肥厚の重症度")</f>
        <v>尖頭肥厚の重症度</v>
      </c>
    </row>
    <row r="1272" spans="1:9" ht="30">
      <c r="A1272" s="3" t="s">
        <v>6</v>
      </c>
      <c r="B1272" s="3" t="s">
        <v>5356</v>
      </c>
      <c r="C1272" s="3" t="s">
        <v>5357</v>
      </c>
      <c r="D1272" s="3" t="s">
        <v>5358</v>
      </c>
      <c r="E1272" s="3" t="s">
        <v>5359</v>
      </c>
      <c r="F1272" s="3" t="s">
        <v>5360</v>
      </c>
      <c r="G1272" s="3" t="str">
        <f ca="1">IFERROR(__xludf.DUMMYFUNCTION("googletranslate(D1272,""en"",""ja"")"),"赤血球円柱;赤血球キャスト")</f>
        <v>赤血球円柱;赤血球キャスト</v>
      </c>
      <c r="H1272" s="3" t="str">
        <f ca="1">IFERROR(__xludf.DUMMYFUNCTION("googletranslate(E1272,""en"",""ja"")"),"生物学的標本に存在する赤血球円柱の測定。")</f>
        <v>生物学的標本に存在する赤血球円柱の測定。</v>
      </c>
      <c r="I1272" s="3" t="str">
        <f ca="1">IFERROR(__xludf.DUMMYFUNCTION("googletranslate(F1272,""en"",""ja"")"),"赤血球円柱測定")</f>
        <v>赤血球円柱測定</v>
      </c>
    </row>
    <row r="1273" spans="1:9" ht="30">
      <c r="A1273" s="3" t="s">
        <v>142</v>
      </c>
      <c r="B1273" s="3" t="s">
        <v>5361</v>
      </c>
      <c r="C1273" s="3" t="s">
        <v>5362</v>
      </c>
      <c r="D1273" s="3" t="s">
        <v>5363</v>
      </c>
      <c r="E1273" s="3" t="s">
        <v>5364</v>
      </c>
      <c r="F1273" s="3" t="s">
        <v>5362</v>
      </c>
      <c r="G1273" s="3" t="str">
        <f ca="1">IFERROR(__xludf.DUMMYFUNCTION("googletranslate(D1273,""en"",""ja"")"),"帝王切開の数;帝王切開の回数")</f>
        <v>帝王切開の数;帝王切開の回数</v>
      </c>
      <c r="H1273" s="3" t="str">
        <f ca="1">IFERROR(__xludf.DUMMYFUNCTION("googletranslate(E1273,""en"",""ja"")"),"個人が経験した帝王切開出産イベントの総数の測定値。")</f>
        <v>個人が経験した帝王切開出産イベントの総数の測定値。</v>
      </c>
      <c r="I1273" s="3" t="str">
        <f ca="1">IFERROR(__xludf.DUMMYFUNCTION("googletranslate(F1273,""en"",""ja"")"),"帝王切開の回数")</f>
        <v>帝王切開の回数</v>
      </c>
    </row>
    <row r="1274" spans="1:9" ht="30">
      <c r="A1274" s="3" t="s">
        <v>6</v>
      </c>
      <c r="B1274" s="3" t="s">
        <v>5365</v>
      </c>
      <c r="C1274" s="3" t="s">
        <v>5366</v>
      </c>
      <c r="D1274" s="3" t="s">
        <v>5366</v>
      </c>
      <c r="E1274" s="3" t="s">
        <v>5367</v>
      </c>
      <c r="F1274" s="3" t="s">
        <v>5368</v>
      </c>
      <c r="G1274" s="3" t="str">
        <f ca="1">IFERROR(__xludf.DUMMYFUNCTION("googletranslate(D1274,""en"",""ja"")"),"未分類のキャスト")</f>
        <v>未分類のキャスト</v>
      </c>
      <c r="H1274" s="3" t="str">
        <f ca="1">IFERROR(__xludf.DUMMYFUNCTION("googletranslate(E1274,""en"",""ja"")"),"生物学的標本に存在する分類不可能な円柱の測定。")</f>
        <v>生物学的標本に存在する分類不可能な円柱の測定。</v>
      </c>
      <c r="I1274" s="3" t="str">
        <f ca="1">IFERROR(__xludf.DUMMYFUNCTION("googletranslate(F1274,""en"",""ja"")"),"未分類のキャスト測定")</f>
        <v>未分類のキャスト測定</v>
      </c>
    </row>
    <row r="1275" spans="1:9" ht="30">
      <c r="A1275" s="3" t="s">
        <v>6</v>
      </c>
      <c r="B1275" s="3" t="s">
        <v>5369</v>
      </c>
      <c r="C1275" s="3" t="s">
        <v>5370</v>
      </c>
      <c r="D1275" s="3" t="s">
        <v>5370</v>
      </c>
      <c r="E1275" s="3" t="s">
        <v>5371</v>
      </c>
      <c r="F1275" s="3" t="s">
        <v>5372</v>
      </c>
      <c r="G1275" s="3" t="str">
        <f ca="1">IFERROR(__xludf.DUMMYFUNCTION("googletranslate(D1275,""en"",""ja"")"),"ワックス状キャスト")</f>
        <v>ワックス状キャスト</v>
      </c>
      <c r="H1275" s="3" t="str">
        <f ca="1">IFERROR(__xludf.DUMMYFUNCTION("googletranslate(E1275,""en"",""ja"")"),"生物学的標本に存在するワックス状の円柱の測定。")</f>
        <v>生物学的標本に存在するワックス状の円柱の測定。</v>
      </c>
      <c r="I1275" s="3" t="str">
        <f ca="1">IFERROR(__xludf.DUMMYFUNCTION("googletranslate(F1275,""en"",""ja"")"),"ワックス状セルキャストの測定")</f>
        <v>ワックス状セルキャストの測定</v>
      </c>
    </row>
    <row r="1276" spans="1:9" ht="30">
      <c r="A1276" s="3" t="s">
        <v>6</v>
      </c>
      <c r="B1276" s="3" t="s">
        <v>5373</v>
      </c>
      <c r="C1276" s="3" t="s">
        <v>5374</v>
      </c>
      <c r="D1276" s="3" t="s">
        <v>5374</v>
      </c>
      <c r="E1276" s="3" t="s">
        <v>5375</v>
      </c>
      <c r="F1276" s="3" t="s">
        <v>5376</v>
      </c>
      <c r="G1276" s="3" t="str">
        <f ca="1">IFERROR(__xludf.DUMMYFUNCTION("googletranslate(D1276,""en"",""ja"")"),"WBCのキャスト")</f>
        <v>WBCのキャスト</v>
      </c>
      <c r="H1276" s="3" t="str">
        <f ca="1">IFERROR(__xludf.DUMMYFUNCTION("googletranslate(E1276,""en"",""ja"")"),"生物学的標本に存在する白血球円柱の測定。")</f>
        <v>生物学的標本に存在する白血球円柱の測定。</v>
      </c>
      <c r="I1276" s="3" t="str">
        <f ca="1">IFERROR(__xludf.DUMMYFUNCTION("googletranslate(F1276,""en"",""ja"")"),"白血球円柱測定")</f>
        <v>白血球円柱測定</v>
      </c>
    </row>
    <row r="1277" spans="1:9" ht="30">
      <c r="A1277" s="3" t="s">
        <v>6</v>
      </c>
      <c r="B1277" s="3" t="s">
        <v>5377</v>
      </c>
      <c r="C1277" s="3" t="s">
        <v>5378</v>
      </c>
      <c r="D1277" s="3" t="s">
        <v>5378</v>
      </c>
      <c r="E1277" s="3" t="s">
        <v>5379</v>
      </c>
      <c r="F1277" s="3" t="s">
        <v>5380</v>
      </c>
      <c r="G1277" s="3" t="str">
        <f ca="1">IFERROR(__xludf.DUMMYFUNCTION("googletranslate(D1277,""en"",""ja"")"),"循環腫瘍細胞")</f>
        <v>循環腫瘍細胞</v>
      </c>
      <c r="H1277" s="3" t="str">
        <f ca="1">IFERROR(__xludf.DUMMYFUNCTION("googletranslate(E1277,""en"",""ja"")"),"生物学的標本中の循環腫瘍細胞の測定。")</f>
        <v>生物学的標本中の循環腫瘍細胞の測定。</v>
      </c>
      <c r="I1277" s="3" t="str">
        <f ca="1">IFERROR(__xludf.DUMMYFUNCTION("googletranslate(F1277,""en"",""ja"")"),"循環腫瘍細胞数")</f>
        <v>循環腫瘍細胞数</v>
      </c>
    </row>
    <row r="1278" spans="1:9" ht="30">
      <c r="A1278" s="3" t="s">
        <v>6</v>
      </c>
      <c r="B1278" s="3" t="s">
        <v>5381</v>
      </c>
      <c r="C1278" s="3" t="s">
        <v>5382</v>
      </c>
      <c r="D1278" s="3" t="s">
        <v>5382</v>
      </c>
      <c r="E1278" s="3" t="s">
        <v>5383</v>
      </c>
      <c r="F1278" s="3" t="s">
        <v>5384</v>
      </c>
      <c r="G1278" s="3" t="str">
        <f ca="1">IFERROR(__xludf.DUMMYFUNCTION("googletranslate(D1278,""en"",""ja"")"),"循環腫瘍細胞、アポトーシス")</f>
        <v>循環腫瘍細胞、アポトーシス</v>
      </c>
      <c r="H1278" s="3" t="str">
        <f ca="1">IFERROR(__xludf.DUMMYFUNCTION("googletranslate(E1278,""en"",""ja"")"),"生物学的標本中のアポトーシスを起こした循環腫瘍細胞の測定。")</f>
        <v>生物学的標本中のアポトーシスを起こした循環腫瘍細胞の測定。</v>
      </c>
      <c r="I1278" s="3" t="str">
        <f ca="1">IFERROR(__xludf.DUMMYFUNCTION("googletranslate(F1278,""en"",""ja"")"),"アポトーシスを起こした循環腫瘍細胞数")</f>
        <v>アポトーシスを起こした循環腫瘍細胞数</v>
      </c>
    </row>
    <row r="1279" spans="1:9" ht="30">
      <c r="A1279" s="3" t="s">
        <v>6</v>
      </c>
      <c r="B1279" s="3" t="s">
        <v>5385</v>
      </c>
      <c r="C1279" s="3" t="s">
        <v>5386</v>
      </c>
      <c r="D1279" s="3" t="s">
        <v>5386</v>
      </c>
      <c r="E1279" s="3" t="s">
        <v>5387</v>
      </c>
      <c r="F1279" s="3" t="s">
        <v>5388</v>
      </c>
      <c r="G1279" s="3" t="str">
        <f ca="1">IFERROR(__xludf.DUMMYFUNCTION("googletranslate(D1279,""en"",""ja"")"),"カテコールアミン")</f>
        <v>カテコールアミン</v>
      </c>
      <c r="H1279" s="3" t="str">
        <f ca="1">IFERROR(__xludf.DUMMYFUNCTION("googletranslate(E1279,""en"",""ja"")"),"生物学的標本中の総カテコールアミンの測定。")</f>
        <v>生物学的標本中の総カテコールアミンの測定。</v>
      </c>
      <c r="I1279" s="3" t="str">
        <f ca="1">IFERROR(__xludf.DUMMYFUNCTION("googletranslate(F1279,""en"",""ja"")"),"カテコールアミンの測定")</f>
        <v>カテコールアミンの測定</v>
      </c>
    </row>
    <row r="1280" spans="1:9" ht="45">
      <c r="A1280" s="3" t="s">
        <v>180</v>
      </c>
      <c r="B1280" s="3" t="s">
        <v>5389</v>
      </c>
      <c r="C1280" s="3" t="s">
        <v>5390</v>
      </c>
      <c r="D1280" s="3" t="s">
        <v>5391</v>
      </c>
      <c r="E1280" s="3" t="s">
        <v>5392</v>
      </c>
      <c r="F1280" s="3" t="s">
        <v>5393</v>
      </c>
      <c r="G1280" s="3" t="str">
        <f ca="1">IFERROR(__xludf.DUMMYFUNCTION("googletranslate(D1280,""en"",""ja"")"),"CTL媒介細胞溶解;細胞傷害性 T 細胞媒介細胞溶解;細胞傷害性 T リンパ球媒介細胞溶解")</f>
        <v>CTL媒介細胞溶解;細胞傷害性 T 細胞媒介細胞溶解;細胞傷害性 T リンパ球媒介細胞溶解</v>
      </c>
      <c r="H1280" s="3" t="str">
        <f ca="1">IFERROR(__xludf.DUMMYFUNCTION("googletranslate(E1280,""en"",""ja"")"),"生物学的標本中の細胞傷害性 T 細胞によって媒介される標的細胞の溶解の測定。")</f>
        <v>生物学的標本中の細胞傷害性 T 細胞によって媒介される標的細胞の溶解の測定。</v>
      </c>
      <c r="I1280" s="3" t="str">
        <f ca="1">IFERROR(__xludf.DUMMYFUNCTION("googletranslate(F1280,""en"",""ja"")"),"細胞傷害性 T 細胞媒介細胞溶解の評価")</f>
        <v>細胞傷害性 T 細胞媒介細胞溶解の評価</v>
      </c>
    </row>
    <row r="1281" spans="1:9" ht="30">
      <c r="A1281" s="3" t="s">
        <v>6</v>
      </c>
      <c r="B1281" s="3" t="s">
        <v>5394</v>
      </c>
      <c r="C1281" s="3" t="s">
        <v>5395</v>
      </c>
      <c r="D1281" s="3" t="s">
        <v>5395</v>
      </c>
      <c r="E1281" s="3" t="s">
        <v>5396</v>
      </c>
      <c r="F1281" s="3" t="s">
        <v>5397</v>
      </c>
      <c r="G1281" s="3" t="str">
        <f ca="1">IFERROR(__xludf.DUMMYFUNCTION("googletranslate(D1281,""en"",""ja"")"),"循環腫瘍細胞、従来型")</f>
        <v>循環腫瘍細胞、従来型</v>
      </c>
      <c r="H1281" s="3" t="str">
        <f ca="1">IFERROR(__xludf.DUMMYFUNCTION("googletranslate(E1281,""en"",""ja"")"),"生物学的標本中の従来の循環腫瘍細胞の測定。")</f>
        <v>生物学的標本中の従来の循環腫瘍細胞の測定。</v>
      </c>
      <c r="I1281" s="3" t="str">
        <f ca="1">IFERROR(__xludf.DUMMYFUNCTION("googletranslate(F1281,""en"",""ja"")"),"従来の循環腫瘍細胞数")</f>
        <v>従来の循環腫瘍細胞数</v>
      </c>
    </row>
    <row r="1282" spans="1:9" ht="45">
      <c r="A1282" s="3" t="s">
        <v>6</v>
      </c>
      <c r="B1282" s="3" t="s">
        <v>5398</v>
      </c>
      <c r="C1282" s="3" t="s">
        <v>5399</v>
      </c>
      <c r="D1282" s="3" t="s">
        <v>5400</v>
      </c>
      <c r="E1282" s="3" t="s">
        <v>5401</v>
      </c>
      <c r="F1282" s="3" t="s">
        <v>5402</v>
      </c>
      <c r="G1282" s="3" t="str">
        <f ca="1">IFERROR(__xludf.DUMMYFUNCTION("googletranslate(D1282,""en"",""ja"")"),"携帯電話通信ネットワーク ファクター 2; CN2;結合組織増殖因子; IGFBP8")</f>
        <v>携帯電話通信ネットワーク ファクター 2; CN2;結合組織増殖因子; IGFBP8</v>
      </c>
      <c r="H1282" s="3" t="str">
        <f ca="1">IFERROR(__xludf.DUMMYFUNCTION("googletranslate(E1282,""en"",""ja"")"),"生物学的標本中の結合組織増殖因子の測定。")</f>
        <v>生物学的標本中の結合組織増殖因子の測定。</v>
      </c>
      <c r="I1282" s="3" t="str">
        <f ca="1">IFERROR(__xludf.DUMMYFUNCTION("googletranslate(F1282,""en"",""ja"")"),"結合組織増殖因子の測定")</f>
        <v>結合組織増殖因子の測定</v>
      </c>
    </row>
    <row r="1283" spans="1:9" ht="30">
      <c r="A1283" s="3" t="s">
        <v>6</v>
      </c>
      <c r="B1283" s="3" t="s">
        <v>5403</v>
      </c>
      <c r="C1283" s="3" t="s">
        <v>5404</v>
      </c>
      <c r="D1283" s="3" t="s">
        <v>5404</v>
      </c>
      <c r="E1283" s="3" t="s">
        <v>5405</v>
      </c>
      <c r="F1283" s="3" t="s">
        <v>5406</v>
      </c>
      <c r="G1283" s="3" t="str">
        <f ca="1">IFERROR(__xludf.DUMMYFUNCTION("googletranslate(D1283,""en"",""ja"")"),"シトルリン/クレアチニン")</f>
        <v>シトルリン/クレアチニン</v>
      </c>
      <c r="H1283" s="3" t="str">
        <f ca="1">IFERROR(__xludf.DUMMYFUNCTION("googletranslate(E1283,""en"",""ja"")"),"生物学的標本中のクレアチニンに対するシトルリンの相対測定値 (比率またはパーセンテージ)。")</f>
        <v>生物学的標本中のクレアチニンに対するシトルリンの相対測定値 (比率またはパーセンテージ)。</v>
      </c>
      <c r="I1283" s="3" t="str">
        <f ca="1">IFERROR(__xludf.DUMMYFUNCTION("googletranslate(F1283,""en"",""ja"")"),"シトルリンとクレアチニンの比率の測定")</f>
        <v>シトルリンとクレアチニンの比率の測定</v>
      </c>
    </row>
    <row r="1284" spans="1:9" ht="30">
      <c r="A1284" s="3" t="s">
        <v>6</v>
      </c>
      <c r="B1284" s="3" t="s">
        <v>5407</v>
      </c>
      <c r="C1284" s="3" t="s">
        <v>5408</v>
      </c>
      <c r="D1284" s="3" t="s">
        <v>5408</v>
      </c>
      <c r="E1284" s="3" t="s">
        <v>5409</v>
      </c>
      <c r="F1284" s="3" t="s">
        <v>5410</v>
      </c>
      <c r="G1284" s="3" t="str">
        <f ca="1">IFERROR(__xludf.DUMMYFUNCTION("googletranslate(D1284,""en"",""ja"")"),"シタロプラム")</f>
        <v>シタロプラム</v>
      </c>
      <c r="H1284" s="3" t="str">
        <f ca="1">IFERROR(__xludf.DUMMYFUNCTION("googletranslate(E1284,""en"",""ja"")"),"生物学的標本中に存在するシタロプラムの測定。")</f>
        <v>生物学的標本中に存在するシタロプラムの測定。</v>
      </c>
      <c r="I1284" s="3" t="str">
        <f ca="1">IFERROR(__xludf.DUMMYFUNCTION("googletranslate(F1284,""en"",""ja"")"),"シタロプラムの測定")</f>
        <v>シタロプラムの測定</v>
      </c>
    </row>
    <row r="1285" spans="1:9" ht="45">
      <c r="A1285" s="3" t="s">
        <v>6</v>
      </c>
      <c r="B1285" s="3" t="s">
        <v>5411</v>
      </c>
      <c r="C1285" s="3" t="s">
        <v>5412</v>
      </c>
      <c r="D1285" s="3" t="s">
        <v>5413</v>
      </c>
      <c r="E1285" s="3" t="s">
        <v>5414</v>
      </c>
      <c r="F1285" s="3" t="s">
        <v>5415</v>
      </c>
      <c r="G1285" s="3" t="str">
        <f ca="1">IFERROR(__xludf.DUMMYFUNCTION("googletranslate(D1285,""en"",""ja"")"),"デスメチルシタロプラム;デスメチルシタロプラム;ノーシタロプラム")</f>
        <v>デスメチルシタロプラム;デスメチルシタロプラム;ノーシタロプラム</v>
      </c>
      <c r="H1285" s="3" t="str">
        <f ca="1">IFERROR(__xludf.DUMMYFUNCTION("googletranslate(E1285,""en"",""ja"")"),"生物学的標本中のデスメチルシタロプラムの測定。")</f>
        <v>生物学的標本中のデスメチルシタロプラムの測定。</v>
      </c>
      <c r="I1285" s="3" t="str">
        <f ca="1">IFERROR(__xludf.DUMMYFUNCTION("googletranslate(F1285,""en"",""ja"")"),"デスメチルシタロプラムの測定")</f>
        <v>デスメチルシタロプラムの測定</v>
      </c>
    </row>
    <row r="1286" spans="1:9" ht="30">
      <c r="A1286" s="3" t="s">
        <v>6</v>
      </c>
      <c r="B1286" s="3" t="s">
        <v>5416</v>
      </c>
      <c r="C1286" s="3" t="s">
        <v>5417</v>
      </c>
      <c r="D1286" s="3" t="s">
        <v>5417</v>
      </c>
      <c r="E1286" s="3" t="s">
        <v>5418</v>
      </c>
      <c r="F1286" s="3" t="s">
        <v>5419</v>
      </c>
      <c r="G1286" s="3" t="str">
        <f ca="1">IFERROR(__xludf.DUMMYFUNCTION("googletranslate(D1286,""en"",""ja"")"),"ジ-デスメチルシタロプラム")</f>
        <v>ジ-デスメチルシタロプラム</v>
      </c>
      <c r="H1286" s="3" t="str">
        <f ca="1">IFERROR(__xludf.DUMMYFUNCTION("googletranslate(E1286,""en"",""ja"")"),"生物学的標本中のジ-デスメチルシタロプラムの測定。")</f>
        <v>生物学的標本中のジ-デスメチルシタロプラムの測定。</v>
      </c>
      <c r="I1286" s="3" t="str">
        <f ca="1">IFERROR(__xludf.DUMMYFUNCTION("googletranslate(F1286,""en"",""ja"")"),"ジ-デスメチルシタロプラムの測定")</f>
        <v>ジ-デスメチルシタロプラムの測定</v>
      </c>
    </row>
    <row r="1287" spans="1:9">
      <c r="A1287" s="3" t="s">
        <v>51</v>
      </c>
      <c r="B1287" s="3" t="s">
        <v>5420</v>
      </c>
      <c r="C1287" s="3" t="s">
        <v>5421</v>
      </c>
      <c r="D1287" s="3" t="s">
        <v>5421</v>
      </c>
      <c r="E1287" s="3" t="s">
        <v>5422</v>
      </c>
      <c r="F1287" s="3" t="s">
        <v>5421</v>
      </c>
      <c r="G1287" s="3" t="str">
        <f ca="1">IFERROR(__xludf.DUMMYFUNCTION("googletranslate(D1287,""en"",""ja"")"),"直径の中央値を数える")</f>
        <v>直径の中央値を数える</v>
      </c>
      <c r="H1287" s="3" t="str">
        <f ca="1">IFERROR(__xludf.DUMMYFUNCTION("googletranslate(E1287,""en"",""ja"")"),"カウント分布の中央値。")</f>
        <v>カウント分布の中央値。</v>
      </c>
      <c r="I1287" s="3" t="str">
        <f ca="1">IFERROR(__xludf.DUMMYFUNCTION("googletranslate(F1287,""en"",""ja"")"),"直径の中央値を数える")</f>
        <v>直径の中央値を数える</v>
      </c>
    </row>
    <row r="1288" spans="1:9" ht="30">
      <c r="A1288" s="3" t="s">
        <v>159</v>
      </c>
      <c r="B1288" s="3" t="s">
        <v>5423</v>
      </c>
      <c r="C1288" s="3" t="s">
        <v>5424</v>
      </c>
      <c r="D1288" s="3" t="s">
        <v>5424</v>
      </c>
      <c r="E1288" s="3" t="s">
        <v>5425</v>
      </c>
      <c r="F1288" s="3" t="s">
        <v>5426</v>
      </c>
      <c r="G1288" s="3" t="str">
        <f ca="1">IFERROR(__xludf.DUMMYFUNCTION("googletranslate(D1288,""en"",""ja"")"),"クレアチン + コリン")</f>
        <v>クレアチン + コリン</v>
      </c>
      <c r="H1288" s="3" t="str">
        <f ca="1">IFERROR(__xludf.DUMMYFUNCTION("googletranslate(E1288,""en"",""ja"")"),"生物学的標本中のクレアチンとコリンの測定。")</f>
        <v>生物学的標本中のクレアチンとコリンの測定。</v>
      </c>
      <c r="I1288" s="3" t="str">
        <f ca="1">IFERROR(__xludf.DUMMYFUNCTION("googletranslate(F1288,""en"",""ja"")"),"クレアチンとコリンの測定")</f>
        <v>クレアチンとコリンの測定</v>
      </c>
    </row>
    <row r="1289" spans="1:9" ht="75">
      <c r="A1289" s="3" t="s">
        <v>51</v>
      </c>
      <c r="B1289" s="3" t="s">
        <v>5427</v>
      </c>
      <c r="C1289" s="3" t="s">
        <v>5428</v>
      </c>
      <c r="D1289" s="3" t="s">
        <v>5429</v>
      </c>
      <c r="E1289" s="3" t="s">
        <v>5430</v>
      </c>
      <c r="F1289" s="3" t="s">
        <v>5431</v>
      </c>
      <c r="G1289" s="3" t="str">
        <f ca="1">IFERROR(__xludf.DUMMYFUNCTION("googletranslate(D1289,""en"",""ja"")"),"コチニングルクロニド;コチニン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89" s="3" t="str">
        <f ca="1">IFERROR(__xludf.DUMMYFUNCTION("googletranslate(E1289,""en"",""ja"")"),"検体中のコチニングルクロニドの測定。")</f>
        <v>検体中のコチニングルクロニドの測定。</v>
      </c>
      <c r="I1289" s="3" t="str">
        <f ca="1">IFERROR(__xludf.DUMMYFUNCTION("googletranslate(F1289,""en"",""ja"")"),"コチニングルクロニドの測定")</f>
        <v>コチニングルクロニドの測定</v>
      </c>
    </row>
    <row r="1290" spans="1:9" ht="75">
      <c r="A1290" s="3" t="s">
        <v>6</v>
      </c>
      <c r="B1290" s="3" t="s">
        <v>5427</v>
      </c>
      <c r="C1290" s="3" t="s">
        <v>5428</v>
      </c>
      <c r="D1290" s="3" t="s">
        <v>5429</v>
      </c>
      <c r="E1290" s="3" t="s">
        <v>5430</v>
      </c>
      <c r="F1290" s="3" t="s">
        <v>5431</v>
      </c>
      <c r="G1290" s="3" t="str">
        <f ca="1">IFERROR(__xludf.DUMMYFUNCTION("googletranslate(D1290,""en"",""ja"")"),"コチニングルクロニド;コチニン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90" s="3" t="str">
        <f ca="1">IFERROR(__xludf.DUMMYFUNCTION("googletranslate(E1290,""en"",""ja"")"),"検体中のコチニングルクロニドの測定。")</f>
        <v>検体中のコチニングルクロニドの測定。</v>
      </c>
      <c r="I1290" s="3" t="str">
        <f ca="1">IFERROR(__xludf.DUMMYFUNCTION("googletranslate(F1290,""en"",""ja"")"),"コチニングルクロニドの測定")</f>
        <v>コチニングルクロニドの測定</v>
      </c>
    </row>
    <row r="1291" spans="1:9" ht="30">
      <c r="A1291" s="3" t="s">
        <v>51</v>
      </c>
      <c r="B1291" s="3" t="s">
        <v>5432</v>
      </c>
      <c r="C1291" s="3" t="s">
        <v>5433</v>
      </c>
      <c r="D1291" s="3" t="s">
        <v>5434</v>
      </c>
      <c r="E1291" s="3" t="s">
        <v>5435</v>
      </c>
      <c r="F1291" s="3" t="s">
        <v>5436</v>
      </c>
      <c r="G1291" s="3" t="str">
        <f ca="1">IFERROR(__xludf.DUMMYFUNCTION("googletranslate(D1291,""en"",""ja"")"),"コチニン-N-オキシド;コチニン-n-オキシド")</f>
        <v>コチニン-N-オキシド;コチニン-n-オキシド</v>
      </c>
      <c r="H1291" s="3" t="str">
        <f ca="1">IFERROR(__xludf.DUMMYFUNCTION("googletranslate(E1291,""en"",""ja"")"),"標本中のコチニン-N-オキシドの測定。")</f>
        <v>標本中のコチニン-N-オキシドの測定。</v>
      </c>
      <c r="I1291" s="3" t="str">
        <f ca="1">IFERROR(__xludf.DUMMYFUNCTION("googletranslate(F1291,""en"",""ja"")"),"コチニン-N-オキシドの測定")</f>
        <v>コチニン-N-オキシドの測定</v>
      </c>
    </row>
    <row r="1292" spans="1:9" ht="30">
      <c r="A1292" s="3" t="s">
        <v>159</v>
      </c>
      <c r="B1292" s="3" t="s">
        <v>5437</v>
      </c>
      <c r="C1292" s="3" t="s">
        <v>5438</v>
      </c>
      <c r="D1292" s="3" t="s">
        <v>5438</v>
      </c>
      <c r="E1292" s="3" t="s">
        <v>5439</v>
      </c>
      <c r="F1292" s="3" t="s">
        <v>5440</v>
      </c>
      <c r="G1292" s="3" t="str">
        <f ca="1">IFERROR(__xludf.DUMMYFUNCTION("googletranslate(D1292,""en"",""ja"")"),"クレアチン+クレアチンリン酸")</f>
        <v>クレアチン+クレアチンリン酸</v>
      </c>
      <c r="H1292" s="3" t="str">
        <f ca="1">IFERROR(__xludf.DUMMYFUNCTION("googletranslate(E1292,""en"",""ja"")"),"生物学的標本中のクレアチンとホスホクレアチンの測定。")</f>
        <v>生物学的標本中のクレアチンとホスホクレアチンの測定。</v>
      </c>
      <c r="I1292" s="3" t="str">
        <f ca="1">IFERROR(__xludf.DUMMYFUNCTION("googletranslate(F1292,""en"",""ja"")"),"クレアチンおよびクレアチンリン酸の測定")</f>
        <v>クレアチンおよびクレアチンリン酸の測定</v>
      </c>
    </row>
    <row r="1293" spans="1:9" ht="30">
      <c r="A1293" s="3" t="s">
        <v>6</v>
      </c>
      <c r="B1293" s="3" t="s">
        <v>5441</v>
      </c>
      <c r="C1293" s="3" t="s">
        <v>5442</v>
      </c>
      <c r="D1293" s="3" t="s">
        <v>5443</v>
      </c>
      <c r="E1293" s="3" t="s">
        <v>5444</v>
      </c>
      <c r="F1293" s="3" t="s">
        <v>5445</v>
      </c>
      <c r="G1293" s="3" t="str">
        <f ca="1">IFERROR(__xludf.DUMMYFUNCTION("googletranslate(D1293,""en"",""ja"")"),"補体合計;総溶血性補体")</f>
        <v>補体合計;総溶血性補体</v>
      </c>
      <c r="H1293" s="3" t="str">
        <f ca="1">IFERROR(__xludf.DUMMYFUNCTION("googletranslate(E1293,""en"",""ja"")"),"生物学的標本中の総補体の測定。")</f>
        <v>生物学的標本中の総補体の測定。</v>
      </c>
      <c r="I1293" s="3" t="str">
        <f ca="1">IFERROR(__xludf.DUMMYFUNCTION("googletranslate(F1293,""en"",""ja"")"),"補体測定")</f>
        <v>補体測定</v>
      </c>
    </row>
    <row r="1294" spans="1:9" ht="30">
      <c r="A1294" s="3" t="s">
        <v>81</v>
      </c>
      <c r="B1294" s="3" t="s">
        <v>5446</v>
      </c>
      <c r="C1294" s="3" t="s">
        <v>5447</v>
      </c>
      <c r="D1294" s="3" t="s">
        <v>5447</v>
      </c>
      <c r="E1294" s="3" t="s">
        <v>5448</v>
      </c>
      <c r="F1294" s="3" t="s">
        <v>5447</v>
      </c>
      <c r="G1294" s="3" t="str">
        <f ca="1">IFERROR(__xludf.DUMMYFUNCTION("googletranslate(D1294,""en"",""ja"")"),"腱索索の脱出インジケーター")</f>
        <v>腱索索の脱出インジケーター</v>
      </c>
      <c r="H1294" s="3" t="str">
        <f ca="1">IFERROR(__xludf.DUMMYFUNCTION("googletranslate(E1294,""en"",""ja"")"),"心臓弁腱索の脱出があるかどうかに関する指標。")</f>
        <v>心臓弁腱索の脱出があるかどうかに関する指標。</v>
      </c>
      <c r="I1294" s="3" t="str">
        <f ca="1">IFERROR(__xludf.DUMMYFUNCTION("googletranslate(F1294,""en"",""ja"")"),"腱索索の脱出インジケーター")</f>
        <v>腱索索の脱出インジケーター</v>
      </c>
    </row>
    <row r="1295" spans="1:9" ht="30">
      <c r="A1295" s="3" t="s">
        <v>67</v>
      </c>
      <c r="B1295" s="3" t="s">
        <v>5449</v>
      </c>
      <c r="C1295" s="3" t="s">
        <v>5450</v>
      </c>
      <c r="D1295" s="3" t="s">
        <v>5450</v>
      </c>
      <c r="E1295" s="3" t="s">
        <v>5451</v>
      </c>
      <c r="F1295" s="3" t="s">
        <v>5452</v>
      </c>
      <c r="G1295" s="3" t="str">
        <f ca="1">IFERROR(__xludf.DUMMYFUNCTION("googletranslate(D1295,""en"",""ja"")"),"クラミジア・トラコマチス")</f>
        <v>クラミジア・トラコマチス</v>
      </c>
      <c r="H1295" s="3" t="str">
        <f ca="1">IFERROR(__xludf.DUMMYFUNCTION("googletranslate(E1295,""en"",""ja"")"),"生物学的標本中のクラミジア・トラコマティスの測定。")</f>
        <v>生物学的標本中のクラミジア・トラコマティスの測定。</v>
      </c>
      <c r="I1295" s="3" t="str">
        <f ca="1">IFERROR(__xludf.DUMMYFUNCTION("googletranslate(F1295,""en"",""ja"")"),"クラミジア・トラコマティスの測定")</f>
        <v>クラミジア・トラコマティスの測定</v>
      </c>
    </row>
    <row r="1296" spans="1:9" ht="30">
      <c r="A1296" s="3" t="s">
        <v>67</v>
      </c>
      <c r="B1296" s="3" t="s">
        <v>5453</v>
      </c>
      <c r="C1296" s="3" t="s">
        <v>5454</v>
      </c>
      <c r="D1296" s="3" t="s">
        <v>5454</v>
      </c>
      <c r="E1296" s="3" t="s">
        <v>5455</v>
      </c>
      <c r="F1296" s="3" t="s">
        <v>5456</v>
      </c>
      <c r="G1296" s="3" t="str">
        <f ca="1">IFERROR(__xludf.DUMMYFUNCTION("googletranslate(D1296,""en"",""ja"")"),"クラミジア・トラコマチス抗原")</f>
        <v>クラミジア・トラコマチス抗原</v>
      </c>
      <c r="H1296" s="3" t="str">
        <f ca="1">IFERROR(__xludf.DUMMYFUNCTION("googletranslate(E1296,""en"",""ja"")"),"生物学的標本中のクラミジア・トラコマチス抗原の測定。")</f>
        <v>生物学的標本中のクラミジア・トラコマチス抗原の測定。</v>
      </c>
      <c r="I1296" s="3" t="str">
        <f ca="1">IFERROR(__xludf.DUMMYFUNCTION("googletranslate(F1296,""en"",""ja"")"),"クラミジア・トラコマティス抗原測定")</f>
        <v>クラミジア・トラコマティス抗原測定</v>
      </c>
    </row>
    <row r="1297" spans="1:9" ht="30">
      <c r="A1297" s="3" t="s">
        <v>67</v>
      </c>
      <c r="B1297" s="3" t="s">
        <v>5457</v>
      </c>
      <c r="C1297" s="3" t="s">
        <v>5458</v>
      </c>
      <c r="D1297" s="3" t="s">
        <v>5458</v>
      </c>
      <c r="E1297" s="3" t="s">
        <v>5459</v>
      </c>
      <c r="F1297" s="3" t="s">
        <v>5460</v>
      </c>
      <c r="G1297" s="3" t="str">
        <f ca="1">IFERROR(__xludf.DUMMYFUNCTION("googletranslate(D1297,""en"",""ja"")"),"クラミジア・トラコマティスのDNA")</f>
        <v>クラミジア・トラコマティスのDNA</v>
      </c>
      <c r="H1297" s="3" t="str">
        <f ca="1">IFERROR(__xludf.DUMMYFUNCTION("googletranslate(E1297,""en"",""ja"")"),"生物学的標本中のクラミジア・トラコマチス DNA の測定。")</f>
        <v>生物学的標本中のクラミジア・トラコマチス DNA の測定。</v>
      </c>
      <c r="I1297" s="3" t="str">
        <f ca="1">IFERROR(__xludf.DUMMYFUNCTION("googletranslate(F1297,""en"",""ja"")"),"クラミジア・トラコマチスDNA測定")</f>
        <v>クラミジア・トラコマチスDNA測定</v>
      </c>
    </row>
    <row r="1298" spans="1:9" ht="30">
      <c r="A1298" s="3" t="s">
        <v>67</v>
      </c>
      <c r="B1298" s="3" t="s">
        <v>5461</v>
      </c>
      <c r="C1298" s="3" t="s">
        <v>5462</v>
      </c>
      <c r="D1298" s="3" t="s">
        <v>5462</v>
      </c>
      <c r="E1298" s="3" t="s">
        <v>5463</v>
      </c>
      <c r="F1298" s="3" t="s">
        <v>5464</v>
      </c>
      <c r="G1298" s="3" t="str">
        <f ca="1">IFERROR(__xludf.DUMMYFUNCTION("googletranslate(D1298,""en"",""ja"")"),"クラミジア・トラコマティスRNA")</f>
        <v>クラミジア・トラコマティスRNA</v>
      </c>
      <c r="H1298" s="3" t="str">
        <f ca="1">IFERROR(__xludf.DUMMYFUNCTION("googletranslate(E1298,""en"",""ja"")"),"生物学的標本中のクラミジア・トラコマティス RNA の測定。")</f>
        <v>生物学的標本中のクラミジア・トラコマティス RNA の測定。</v>
      </c>
      <c r="I1298" s="3" t="str">
        <f ca="1">IFERROR(__xludf.DUMMYFUNCTION("googletranslate(F1298,""en"",""ja"")"),"クラミジア・トラコマティスRNA測定")</f>
        <v>クラミジア・トラコマティスRNA測定</v>
      </c>
    </row>
    <row r="1299" spans="1:9" ht="30">
      <c r="A1299" s="3" t="s">
        <v>503</v>
      </c>
      <c r="B1299" s="3" t="s">
        <v>5465</v>
      </c>
      <c r="C1299" s="3" t="s">
        <v>5466</v>
      </c>
      <c r="D1299" s="3" t="s">
        <v>5466</v>
      </c>
      <c r="E1299" s="3" t="s">
        <v>5467</v>
      </c>
      <c r="F1299" s="3" t="s">
        <v>5468</v>
      </c>
      <c r="G1299" s="3" t="str">
        <f ca="1">IFERROR(__xludf.DUMMYFUNCTION("googletranslate(D1299,""en"",""ja"")"),"Ptntl Cntry Disaster Exp からの入国日")</f>
        <v>Ptntl Cntry Disaster Exp からの入国日</v>
      </c>
      <c r="H1299" s="3" t="str">
        <f ca="1">IFERROR(__xludf.DUMMYFUNCTION("googletranslate(E1299,""en"",""ja"")"),"被験者が病気にさらされた可能性のある国から報告国に到着した日付。")</f>
        <v>被験者が病気にさらされた可能性のある国から報告国に到着した日付。</v>
      </c>
      <c r="I1299" s="3" t="str">
        <f ca="1">IFERROR(__xludf.DUMMYFUNCTION("googletranslate(F1299,""en"",""ja"")"),"病気にさらされた可能性のある国からの入国日")</f>
        <v>病気にさらされた可能性のある国からの入国日</v>
      </c>
    </row>
    <row r="1300" spans="1:9" ht="45">
      <c r="A1300" s="3" t="s">
        <v>503</v>
      </c>
      <c r="B1300" s="3" t="s">
        <v>5469</v>
      </c>
      <c r="C1300" s="3" t="s">
        <v>5470</v>
      </c>
      <c r="D1300" s="3" t="s">
        <v>5470</v>
      </c>
      <c r="E1300" s="3" t="s">
        <v>5471</v>
      </c>
      <c r="F1300" s="3" t="s">
        <v>5470</v>
      </c>
      <c r="G1300" s="3" t="str">
        <f ca="1">IFERROR(__xludf.DUMMYFUNCTION("googletranslate(D1300,""en"",""ja"")"),"病気にさらされる可能性のある国")</f>
        <v>病気にさらされる可能性のある国</v>
      </c>
      <c r="H1300" s="3" t="str">
        <f ca="1">IFERROR(__xludf.DUMMYFUNCTION("googletranslate(E1300,""en"",""ja"")"),"現在居住している国に関係なく、個人が病気にさらされた国に基づく分類システム。")</f>
        <v>現在居住している国に関係なく、個人が病気にさらされた国に基づく分類システム。</v>
      </c>
      <c r="I1300" s="3" t="str">
        <f ca="1">IFERROR(__xludf.DUMMYFUNCTION("googletranslate(F1300,""en"",""ja"")"),"病気にさらされる可能性のある国")</f>
        <v>病気にさらされる可能性のある国</v>
      </c>
    </row>
    <row r="1301" spans="1:9" ht="30">
      <c r="A1301" s="3" t="s">
        <v>503</v>
      </c>
      <c r="B1301" s="3" t="s">
        <v>5472</v>
      </c>
      <c r="C1301" s="3" t="s">
        <v>5473</v>
      </c>
      <c r="D1301" s="3" t="s">
        <v>5473</v>
      </c>
      <c r="E1301" s="3" t="s">
        <v>5474</v>
      </c>
      <c r="F1301" s="3" t="s">
        <v>5473</v>
      </c>
      <c r="G1301" s="3" t="str">
        <f ca="1">IFERROR(__xludf.DUMMYFUNCTION("googletranslate(D1301,""en"",""ja"")"),"永住住所の国")</f>
        <v>永住住所の国</v>
      </c>
      <c r="H1301" s="3" t="str">
        <f ca="1">IFERROR(__xludf.DUMMYFUNCTION("googletranslate(E1301,""en"",""ja"")"),"個人の永住地として特定される国。")</f>
        <v>個人の永住地として特定される国。</v>
      </c>
      <c r="I1301" s="3" t="str">
        <f ca="1">IFERROR(__xludf.DUMMYFUNCTION("googletranslate(F1301,""en"",""ja"")"),"永住住所の国")</f>
        <v>永住住所の国</v>
      </c>
    </row>
    <row r="1302" spans="1:9">
      <c r="A1302" s="3" t="s">
        <v>6</v>
      </c>
      <c r="B1302" s="3" t="s">
        <v>5475</v>
      </c>
      <c r="C1302" s="3" t="s">
        <v>5476</v>
      </c>
      <c r="D1302" s="3" t="s">
        <v>5476</v>
      </c>
      <c r="E1302" s="3" t="s">
        <v>5477</v>
      </c>
      <c r="F1302" s="3" t="s">
        <v>5478</v>
      </c>
      <c r="G1302" s="3" t="str">
        <f ca="1">IFERROR(__xludf.DUMMYFUNCTION("googletranslate(D1302,""en"",""ja"")"),"カテプシンD")</f>
        <v>カテプシンD</v>
      </c>
      <c r="H1302" s="3" t="str">
        <f ca="1">IFERROR(__xludf.DUMMYFUNCTION("googletranslate(E1302,""en"",""ja"")"),"生物学的標本中のカテプシン D の測定。")</f>
        <v>生物学的標本中のカテプシン D の測定。</v>
      </c>
      <c r="I1302" s="3" t="str">
        <f ca="1">IFERROR(__xludf.DUMMYFUNCTION("googletranslate(F1302,""en"",""ja"")"),"カテプシンDの測定")</f>
        <v>カテプシンDの測定</v>
      </c>
    </row>
    <row r="1303" spans="1:9" ht="60">
      <c r="A1303" s="3" t="s">
        <v>6</v>
      </c>
      <c r="B1303" s="3" t="s">
        <v>5479</v>
      </c>
      <c r="C1303" s="3" t="s">
        <v>5480</v>
      </c>
      <c r="D1303" s="3" t="s">
        <v>5481</v>
      </c>
      <c r="E1303" s="3" t="s">
        <v>5482</v>
      </c>
      <c r="F1303" s="3" t="s">
        <v>5483</v>
      </c>
      <c r="G1303" s="3" t="str">
        <f ca="1">IFERROR(__xludf.DUMMYFUNCTION("googletranslate(D1303,""en"",""ja"")"),"I型コラーゲンのC末端テロペプチド。 I型コラーゲンC-テロペプチド; I 型コラーゲン X 結合型 C-テロペプチド")</f>
        <v>I型コラーゲンのC末端テロペプチド。 I型コラーゲンC-テロペプチド; I 型コラーゲン X 結合型 C-テロペプチド</v>
      </c>
      <c r="H1303" s="3" t="str">
        <f ca="1">IFERROR(__xludf.DUMMYFUNCTION("googletranslate(E1303,""en"",""ja"")"),"生物学的標本中の I 型コラーゲン架橋 C-テロペプチドの測定。")</f>
        <v>生物学的標本中の I 型コラーゲン架橋 C-テロペプチドの測定。</v>
      </c>
      <c r="I1303" s="3" t="str">
        <f ca="1">IFERROR(__xludf.DUMMYFUNCTION("googletranslate(F1303,""en"",""ja"")"),"I型コラーゲンC-テロペプチドの測定")</f>
        <v>I型コラーゲンC-テロペプチドの測定</v>
      </c>
    </row>
    <row r="1304" spans="1:9" ht="60">
      <c r="A1304" s="3" t="s">
        <v>6</v>
      </c>
      <c r="B1304" s="3" t="s">
        <v>5484</v>
      </c>
      <c r="C1304" s="3" t="s">
        <v>5485</v>
      </c>
      <c r="D1304" s="3" t="s">
        <v>5486</v>
      </c>
      <c r="E1304" s="3" t="s">
        <v>5487</v>
      </c>
      <c r="F1304" s="3" t="s">
        <v>5488</v>
      </c>
      <c r="G1304" s="3" t="str">
        <f ca="1">IFERROR(__xludf.DUMMYFUNCTION("googletranslate(D1304,""en"",""ja"")"),"I型コラーゲンのC末端テロペプチドのベータ異性体。 I 型コラーゲン C-テロペプチド ベータ")</f>
        <v>I型コラーゲンのC末端テロペプチドのベータ異性体。 I 型コラーゲン C-テロペプチド ベータ</v>
      </c>
      <c r="H1304" s="3" t="str">
        <f ca="1">IFERROR(__xludf.DUMMYFUNCTION("googletranslate(E1304,""en"",""ja"")"),"生物学的標本中の I 型コラーゲン架橋 C-テロペプチドのベータ異性体の測定。")</f>
        <v>生物学的標本中の I 型コラーゲン架橋 C-テロペプチドのベータ異性体の測定。</v>
      </c>
      <c r="I1304" s="3" t="str">
        <f ca="1">IFERROR(__xludf.DUMMYFUNCTION("googletranslate(F1304,""en"",""ja"")"),"I型コラーゲンのC末端テロペプチドのβ異性体測定")</f>
        <v>I型コラーゲンのC末端テロペプチドのβ異性体測定</v>
      </c>
    </row>
    <row r="1305" spans="1:9" ht="60">
      <c r="A1305" s="3" t="s">
        <v>6</v>
      </c>
      <c r="B1305" s="3" t="s">
        <v>5489</v>
      </c>
      <c r="C1305" s="3" t="s">
        <v>5490</v>
      </c>
      <c r="D1305" s="3" t="s">
        <v>5491</v>
      </c>
      <c r="E1305" s="3" t="s">
        <v>5492</v>
      </c>
      <c r="F1305" s="3" t="s">
        <v>5493</v>
      </c>
      <c r="G1305" s="3" t="str">
        <f ca="1">IFERROR(__xludf.DUMMYFUNCTION("googletranslate(D1305,""en"",""ja"")"),"I型コラーゲンC-テロペプチド/クリート; I 型コラーゲン X 結合 C-テロペプチド/クレアチニン")</f>
        <v>I型コラーゲンC-テロペプチド/クリート; I 型コラーゲン X 結合 C-テロペプチド/クレアチニン</v>
      </c>
      <c r="H1305" s="3" t="str">
        <f ca="1">IFERROR(__xludf.DUMMYFUNCTION("googletranslate(E1305,""en"",""ja"")"),"生物学的標本中のクレアチニンに対する I 型コラーゲン架橋 C-テロペプチドの相対測定値 (比率またはパーセンテージ)。")</f>
        <v>生物学的標本中のクレアチニンに対する I 型コラーゲン架橋 C-テロペプチドの相対測定値 (比率またはパーセンテージ)。</v>
      </c>
      <c r="I1305" s="3" t="str">
        <f ca="1">IFERROR(__xludf.DUMMYFUNCTION("googletranslate(F1305,""en"",""ja"")"),"I型コラーゲンC-テロペプチドとクレアチニンの比の測定")</f>
        <v>I型コラーゲンC-テロペプチドとクレアチニンの比の測定</v>
      </c>
    </row>
    <row r="1306" spans="1:9" ht="45">
      <c r="A1306" s="3" t="s">
        <v>6</v>
      </c>
      <c r="B1306" s="3" t="s">
        <v>5494</v>
      </c>
      <c r="C1306" s="3" t="s">
        <v>5495</v>
      </c>
      <c r="D1306" s="3" t="s">
        <v>5496</v>
      </c>
      <c r="E1306" s="3" t="s">
        <v>5497</v>
      </c>
      <c r="F1306" s="3" t="s">
        <v>5498</v>
      </c>
      <c r="G1306" s="3" t="str">
        <f ca="1">IFERROR(__xludf.DUMMYFUNCTION("googletranslate(D1306,""en"",""ja"")"),"II型コラーゲンC-テロペプチド; II型コラーゲンX結合C-テロペプチド")</f>
        <v>II型コラーゲンC-テロペプチド; II型コラーゲンX結合C-テロペプチド</v>
      </c>
      <c r="H1306" s="3" t="str">
        <f ca="1">IFERROR(__xludf.DUMMYFUNCTION("googletranslate(E1306,""en"",""ja"")"),"生物学的標本中の II 型コラーゲン架橋 C-テロペプチドの測定。")</f>
        <v>生物学的標本中の II 型コラーゲン架橋 C-テロペプチドの測定。</v>
      </c>
      <c r="I1306" s="3" t="str">
        <f ca="1">IFERROR(__xludf.DUMMYFUNCTION("googletranslate(F1306,""en"",""ja"")"),"II型コラーゲンC-テロペプチドの測定")</f>
        <v>II型コラーゲンC-テロペプチドの測定</v>
      </c>
    </row>
    <row r="1307" spans="1:9" ht="60">
      <c r="A1307" s="3" t="s">
        <v>6</v>
      </c>
      <c r="B1307" s="3" t="s">
        <v>5499</v>
      </c>
      <c r="C1307" s="3" t="s">
        <v>5500</v>
      </c>
      <c r="D1307" s="3" t="s">
        <v>5501</v>
      </c>
      <c r="E1307" s="3" t="s">
        <v>5502</v>
      </c>
      <c r="F1307" s="3" t="s">
        <v>5503</v>
      </c>
      <c r="G1307" s="3" t="str">
        <f ca="1">IFERROR(__xludf.DUMMYFUNCTION("googletranslate(D1307,""en"",""ja"")"),"II型コラーゲンC-テロペプチド/クリート; II型コラーゲンX結合C-テロペプチド/クレアチニン")</f>
        <v>II型コラーゲンC-テロペプチド/クリート; II型コラーゲンX結合C-テロペプチド/クレアチニン</v>
      </c>
      <c r="H1307" s="3" t="str">
        <f ca="1">IFERROR(__xludf.DUMMYFUNCTION("googletranslate(E1307,""en"",""ja"")"),"生物学的標本中のクレアチニンに対する II 型コラーゲン架橋 C-テロペプチドの相対測定値 (比率またはパーセンテージ)。")</f>
        <v>生物学的標本中のクレアチニンに対する II 型コラーゲン架橋 C-テロペプチドの相対測定値 (比率またはパーセンテージ)。</v>
      </c>
      <c r="I1307" s="3" t="str">
        <f ca="1">IFERROR(__xludf.DUMMYFUNCTION("googletranslate(F1307,""en"",""ja"")"),"II型コラーゲンC-テロペプチドとクレアチニンの比の測定")</f>
        <v>II型コラーゲンC-テロペプチドとクレアチニンの比の測定</v>
      </c>
    </row>
    <row r="1308" spans="1:9">
      <c r="A1308" s="3" t="s">
        <v>185</v>
      </c>
      <c r="B1308" s="3" t="s">
        <v>5504</v>
      </c>
      <c r="C1308" s="3" t="s">
        <v>5505</v>
      </c>
      <c r="D1308" s="3" t="s">
        <v>5505</v>
      </c>
      <c r="E1308" s="3" t="s">
        <v>5506</v>
      </c>
      <c r="F1308" s="3" t="s">
        <v>5505</v>
      </c>
      <c r="G1308" s="3" t="str">
        <f ca="1">IFERROR(__xludf.DUMMYFUNCTION("googletranslate(D1308,""en"",""ja"")"),"累積曝露量")</f>
        <v>累積曝露量</v>
      </c>
      <c r="H1308" s="3" t="str">
        <f ca="1">IFERROR(__xludf.DUMMYFUNCTION("googletranslate(E1308,""en"",""ja"")"),"対象者が時間の経過とともに暴露される総量。")</f>
        <v>対象者が時間の経過とともに暴露される総量。</v>
      </c>
      <c r="I1308" s="3" t="str">
        <f ca="1">IFERROR(__xludf.DUMMYFUNCTION("googletranslate(F1308,""en"",""ja"")"),"累積曝露量")</f>
        <v>累積曝露量</v>
      </c>
    </row>
    <row r="1309" spans="1:9" ht="30">
      <c r="A1309" s="3" t="s">
        <v>1557</v>
      </c>
      <c r="B1309" s="3" t="s">
        <v>5507</v>
      </c>
      <c r="C1309" s="3" t="s">
        <v>5508</v>
      </c>
      <c r="D1309" s="3" t="s">
        <v>5508</v>
      </c>
      <c r="E1309" s="3" t="s">
        <v>5509</v>
      </c>
      <c r="F1309" s="3" t="s">
        <v>5510</v>
      </c>
      <c r="G1309" s="3" t="str">
        <f ca="1">IFERROR(__xludf.DUMMYFUNCTION("googletranslate(D1309,""en"",""ja"")"),"カップ対ディスク比")</f>
        <v>カップ対ディスク比</v>
      </c>
      <c r="H1309" s="3" t="str">
        <f ca="1">IFERROR(__xludf.DUMMYFUNCTION("googletranslate(E1309,""en"",""ja"")"),"視神経乳頭の直径と比較した眼杯の直径の比率。 (NCI)")</f>
        <v>視神経乳頭の直径と比較した眼杯の直径の比率。 (NCI)</v>
      </c>
      <c r="I1309" s="3" t="str">
        <f ca="1">IFERROR(__xludf.DUMMYFUNCTION("googletranslate(F1309,""en"",""ja"")"),"光学カップ対ディスク比")</f>
        <v>光学カップ対ディスク比</v>
      </c>
    </row>
    <row r="1310" spans="1:9" ht="30">
      <c r="A1310" s="3" t="s">
        <v>142</v>
      </c>
      <c r="B1310" s="3" t="s">
        <v>5511</v>
      </c>
      <c r="C1310" s="3" t="s">
        <v>5512</v>
      </c>
      <c r="D1310" s="3" t="s">
        <v>5512</v>
      </c>
      <c r="E1310" s="3" t="s">
        <v>5513</v>
      </c>
      <c r="F1310" s="3" t="s">
        <v>5512</v>
      </c>
      <c r="G1310" s="3" t="str">
        <f ca="1">IFERROR(__xludf.DUMMYFUNCTION("googletranslate(D1310,""en"",""ja"")"),"現在の胎児数")</f>
        <v>現在の胎児数</v>
      </c>
      <c r="H1310" s="3" t="str">
        <f ca="1">IFERROR(__xludf.DUMMYFUNCTION("googletranslate(E1310,""en"",""ja"")"),"質問が行われた時点で、1 回の妊娠イベント中に子宮内に存在していた胎児の数。")</f>
        <v>質問が行われた時点で、1 回の妊娠イベント中に子宮内に存在していた胎児の数。</v>
      </c>
      <c r="I1310" s="3" t="str">
        <f ca="1">IFERROR(__xludf.DUMMYFUNCTION("googletranslate(F1310,""en"",""ja"")"),"現在の胎児数")</f>
        <v>現在の胎児数</v>
      </c>
    </row>
    <row r="1311" spans="1:9" ht="30">
      <c r="A1311" s="3" t="s">
        <v>67</v>
      </c>
      <c r="B1311" s="3" t="s">
        <v>5514</v>
      </c>
      <c r="C1311" s="3" t="s">
        <v>5515</v>
      </c>
      <c r="D1311" s="3" t="s">
        <v>5516</v>
      </c>
      <c r="E1311" s="3" t="s">
        <v>5517</v>
      </c>
      <c r="F1311" s="3" t="s">
        <v>5518</v>
      </c>
      <c r="G1311" s="3" t="str">
        <f ca="1">IFERROR(__xludf.DUMMYFUNCTION("googletranslate(D1311,""en"",""ja"")"),"湾曲した桿菌。湾曲したロッド")</f>
        <v>湾曲した桿菌。湾曲したロッド</v>
      </c>
      <c r="H1311" s="3" t="str">
        <f ca="1">IFERROR(__xludf.DUMMYFUNCTION("googletranslate(E1311,""en"",""ja"")"),"生体標本中の湾曲した棒状桿菌の測定。")</f>
        <v>生体標本中の湾曲した棒状桿菌の測定。</v>
      </c>
      <c r="I1311" s="3" t="str">
        <f ca="1">IFERROR(__xludf.DUMMYFUNCTION("googletranslate(F1311,""en"",""ja"")"),"曲面桿菌測定")</f>
        <v>曲面桿菌測定</v>
      </c>
    </row>
    <row r="1312" spans="1:9">
      <c r="A1312" s="3" t="s">
        <v>5519</v>
      </c>
      <c r="B1312" s="3" t="s">
        <v>5520</v>
      </c>
      <c r="C1312" s="3" t="s">
        <v>5521</v>
      </c>
      <c r="D1312" s="3" t="s">
        <v>5521</v>
      </c>
      <c r="E1312" s="3" t="s">
        <v>5522</v>
      </c>
      <c r="F1312" s="3" t="s">
        <v>5521</v>
      </c>
      <c r="G1312" s="3" t="str">
        <f ca="1">IFERROR(__xludf.DUMMYFUNCTION("googletranslate(D1312,""en"",""ja"")"),"心血管病変インジケーター")</f>
        <v>心血管病変インジケーター</v>
      </c>
      <c r="H1312" s="3" t="str">
        <f ca="1">IFERROR(__xludf.DUMMYFUNCTION("googletranslate(E1312,""en"",""ja"")"),"心血管病変が存在するかどうかの指標。")</f>
        <v>心血管病変が存在するかどうかの指標。</v>
      </c>
      <c r="I1312" s="3" t="str">
        <f ca="1">IFERROR(__xludf.DUMMYFUNCTION("googletranslate(F1312,""en"",""ja"")"),"心血管病変インジケーター")</f>
        <v>心血管病変インジケーター</v>
      </c>
    </row>
    <row r="1313" spans="1:9" ht="30">
      <c r="A1313" s="3" t="s">
        <v>81</v>
      </c>
      <c r="B1313" s="3" t="s">
        <v>5523</v>
      </c>
      <c r="C1313" s="3" t="s">
        <v>5524</v>
      </c>
      <c r="D1313" s="3" t="s">
        <v>5524</v>
      </c>
      <c r="E1313" s="3" t="s">
        <v>5525</v>
      </c>
      <c r="F1313" s="3" t="s">
        <v>5524</v>
      </c>
      <c r="G1313" s="3" t="str">
        <f ca="1">IFERROR(__xludf.DUMMYFUNCTION("googletranslate(D1313,""en"",""ja"")"),"心臓弁閉鎖不全の重症度")</f>
        <v>心臓弁閉鎖不全の重症度</v>
      </c>
      <c r="H1313" s="3" t="str">
        <f ca="1">IFERROR(__xludf.DUMMYFUNCTION("googletranslate(E1313,""en"",""ja"")"),"心臓弁逆流の重症度の定性的測定。")</f>
        <v>心臓弁逆流の重症度の定性的測定。</v>
      </c>
      <c r="I1313" s="3" t="str">
        <f ca="1">IFERROR(__xludf.DUMMYFUNCTION("googletranslate(F1313,""en"",""ja"")"),"心臓弁閉鎖不全の重症度")</f>
        <v>心臓弁閉鎖不全の重症度</v>
      </c>
    </row>
    <row r="1314" spans="1:9" ht="30">
      <c r="A1314" s="3" t="s">
        <v>81</v>
      </c>
      <c r="B1314" s="3" t="s">
        <v>5526</v>
      </c>
      <c r="C1314" s="3" t="s">
        <v>5527</v>
      </c>
      <c r="D1314" s="3" t="s">
        <v>5527</v>
      </c>
      <c r="E1314" s="3" t="s">
        <v>5528</v>
      </c>
      <c r="F1314" s="3" t="s">
        <v>5527</v>
      </c>
      <c r="G1314" s="3" t="str">
        <f ca="1">IFERROR(__xludf.DUMMYFUNCTION("googletranslate(D1314,""en"",""ja"")"),"心臓弁狭窄症の重症度")</f>
        <v>心臓弁狭窄症の重症度</v>
      </c>
      <c r="H1314" s="3" t="str">
        <f ca="1">IFERROR(__xludf.DUMMYFUNCTION("googletranslate(E1314,""en"",""ja"")"),"心臓弁狭窄症の重症度の定性的測定。")</f>
        <v>心臓弁狭窄症の重症度の定性的測定。</v>
      </c>
      <c r="I1314" s="3" t="str">
        <f ca="1">IFERROR(__xludf.DUMMYFUNCTION("googletranslate(F1314,""en"",""ja"")"),"心臓弁狭窄症の重症度")</f>
        <v>心臓弁狭窄症の重症度</v>
      </c>
    </row>
    <row r="1315" spans="1:9" ht="30">
      <c r="A1315" s="3" t="s">
        <v>81</v>
      </c>
      <c r="B1315" s="3" t="s">
        <v>5529</v>
      </c>
      <c r="C1315" s="3" t="s">
        <v>5530</v>
      </c>
      <c r="D1315" s="3" t="s">
        <v>5530</v>
      </c>
      <c r="E1315" s="3" t="s">
        <v>5531</v>
      </c>
      <c r="F1315" s="3" t="s">
        <v>5530</v>
      </c>
      <c r="G1315" s="3" t="str">
        <f ca="1">IFERROR(__xludf.DUMMYFUNCTION("googletranslate(D1315,""en"",""ja"")"),"心臓弁逆流インジケーター")</f>
        <v>心臓弁逆流インジケーター</v>
      </c>
      <c r="H1315" s="3" t="str">
        <f ca="1">IFERROR(__xludf.DUMMYFUNCTION("googletranslate(E1315,""en"",""ja"")"),"特定の心臓弁が逆流しているかどうかを示します。")</f>
        <v>特定の心臓弁が逆流しているかどうかを示します。</v>
      </c>
      <c r="I1315" s="3" t="str">
        <f ca="1">IFERROR(__xludf.DUMMYFUNCTION("googletranslate(F1315,""en"",""ja"")"),"心臓弁逆流インジケーター")</f>
        <v>心臓弁逆流インジケーター</v>
      </c>
    </row>
    <row r="1316" spans="1:9" ht="45">
      <c r="A1316" s="3" t="s">
        <v>81</v>
      </c>
      <c r="B1316" s="3" t="s">
        <v>5532</v>
      </c>
      <c r="C1316" s="3" t="s">
        <v>5533</v>
      </c>
      <c r="D1316" s="3" t="s">
        <v>5534</v>
      </c>
      <c r="E1316" s="3" t="s">
        <v>5535</v>
      </c>
      <c r="F1316" s="3" t="s">
        <v>5536</v>
      </c>
      <c r="G1316" s="3" t="str">
        <f ca="1">IFERROR(__xludf.DUMMYFUNCTION("googletranslate(D1316,""en"",""ja"")"),"心臓弁逆流ジェットの方向。心臓弁逆流のジェット方向")</f>
        <v>心臓弁逆流ジェットの方向。心臓弁逆流のジェット方向</v>
      </c>
      <c r="H1316" s="3" t="str">
        <f ca="1">IFERROR(__xludf.DUMMYFUNCTION("googletranslate(E1316,""en"",""ja"")"),"心臓弁からの逆行性血流の軌跡。")</f>
        <v>心臓弁からの逆行性血流の軌跡。</v>
      </c>
      <c r="I1316" s="3" t="str">
        <f ca="1">IFERROR(__xludf.DUMMYFUNCTION("googletranslate(F1316,""en"",""ja"")"),"心臓弁逆流ジェットの方向")</f>
        <v>心臓弁逆流ジェットの方向</v>
      </c>
    </row>
    <row r="1317" spans="1:9" ht="45">
      <c r="A1317" s="3" t="s">
        <v>81</v>
      </c>
      <c r="B1317" s="3" t="s">
        <v>5537</v>
      </c>
      <c r="C1317" s="3" t="s">
        <v>5538</v>
      </c>
      <c r="D1317" s="3" t="s">
        <v>5539</v>
      </c>
      <c r="E1317" s="3" t="s">
        <v>5540</v>
      </c>
      <c r="F1317" s="3" t="s">
        <v>5541</v>
      </c>
      <c r="G1317" s="3" t="str">
        <f ca="1">IFERROR(__xludf.DUMMYFUNCTION("googletranslate(D1317,""en"",""ja"")"),"心臓弁の正常化の可能性のある病因。心臓弁逆流の可能性のある病因")</f>
        <v>心臓弁の正常化の可能性のある病因。心臓弁逆流の可能性のある病因</v>
      </c>
      <c r="H1317" s="3" t="str">
        <f ca="1">IFERROR(__xludf.DUMMYFUNCTION("googletranslate(E1317,""en"",""ja"")"),"心臓弁逆流の原因となる病理の原因に関する推定。")</f>
        <v>心臓弁逆流の原因となる病理の原因に関する推定。</v>
      </c>
      <c r="I1317" s="3" t="str">
        <f ca="1">IFERROR(__xludf.DUMMYFUNCTION("googletranslate(F1317,""en"",""ja"")"),"心臓弁逆流の可能性のある病因")</f>
        <v>心臓弁逆流の可能性のある病因</v>
      </c>
    </row>
    <row r="1318" spans="1:9" ht="45">
      <c r="A1318" s="3" t="s">
        <v>81</v>
      </c>
      <c r="B1318" s="3" t="s">
        <v>5542</v>
      </c>
      <c r="C1318" s="3" t="s">
        <v>5543</v>
      </c>
      <c r="D1318" s="3" t="s">
        <v>5543</v>
      </c>
      <c r="E1318" s="3" t="s">
        <v>5544</v>
      </c>
      <c r="F1318" s="3" t="s">
        <v>5543</v>
      </c>
      <c r="G1318" s="3" t="str">
        <f ca="1">IFERROR(__xludf.DUMMYFUNCTION("googletranslate(D1318,""en"",""ja"")"),"心臓壁運動タイプ")</f>
        <v>心臓壁運動タイプ</v>
      </c>
      <c r="H1318" s="3" t="str">
        <f ca="1">IFERROR(__xludf.DUMMYFUNCTION("googletranslate(E1318,""en"",""ja"")"),"全体として、または 1 つ以上の特定の解剖学的位置における心筋の動きの評価。")</f>
        <v>全体として、または 1 つ以上の特定の解剖学的位置における心筋の動きの評価。</v>
      </c>
      <c r="I1318" s="3" t="str">
        <f ca="1">IFERROR(__xludf.DUMMYFUNCTION("googletranslate(F1318,""en"",""ja"")"),"心臓壁運動タイプ")</f>
        <v>心臓壁運動タイプ</v>
      </c>
    </row>
    <row r="1319" spans="1:9" ht="45">
      <c r="A1319" s="3" t="s">
        <v>6</v>
      </c>
      <c r="B1319" s="3" t="s">
        <v>5545</v>
      </c>
      <c r="C1319" s="3" t="s">
        <v>5546</v>
      </c>
      <c r="D1319" s="3" t="s">
        <v>5547</v>
      </c>
      <c r="E1319" s="3" t="s">
        <v>5548</v>
      </c>
      <c r="F1319" s="3" t="s">
        <v>5549</v>
      </c>
      <c r="G1319" s="3" t="str">
        <f ca="1">IFERROR(__xludf.DUMMYFUNCTION("googletranslate(D1319,""en"",""ja"")"),"ケモカイン (C-X3-C モチーフ) リガンド 1;フラクタルカイン;ニューロタクチン")</f>
        <v>ケモカイン (C-X3-C モチーフ) リガンド 1;フラクタルカイン;ニューロタクチン</v>
      </c>
      <c r="H1319" s="3" t="str">
        <f ca="1">IFERROR(__xludf.DUMMYFUNCTION("googletranslate(E1319,""en"",""ja"")"),"生物学的標本中のケモカイン (C-X3-C モチーフ) リガンド 1 の測定。")</f>
        <v>生物学的標本中のケモカイン (C-X3-C モチーフ) リガンド 1 の測定。</v>
      </c>
      <c r="I1319" s="3" t="str">
        <f ca="1">IFERROR(__xludf.DUMMYFUNCTION("googletranslate(F1319,""en"",""ja"")"),"ケモカイン (C-X3-C モチーフ) リガンド 1 の測定")</f>
        <v>ケモカイン (C-X3-C モチーフ) リガンド 1 の測定</v>
      </c>
    </row>
    <row r="1320" spans="1:9" ht="75">
      <c r="A1320" s="3" t="s">
        <v>6</v>
      </c>
      <c r="B1320" s="3" t="s">
        <v>5550</v>
      </c>
      <c r="C1320" s="3" t="s">
        <v>5551</v>
      </c>
      <c r="D1320" s="3" t="s">
        <v>5552</v>
      </c>
      <c r="E1320" s="3" t="s">
        <v>5553</v>
      </c>
      <c r="F1320" s="3" t="s">
        <v>5554</v>
      </c>
      <c r="G1320" s="3" t="str">
        <f ca="1">IFERROR(__xludf.DUMMYFUNCTION("googletranslate(D1320,""en"",""ja"")"),"ケモカイン (C-X-C モチーフ) リガンド 1;グロアルファ;グロ/KC; GRO1;グロア;成長調節されたアルファタンパク質。黒色腫増殖刺激活性、アルファ")</f>
        <v>ケモカイン (C-X-C モチーフ) リガンド 1;グロアルファ;グロ/KC; GRO1;グロア;成長調節されたアルファタンパク質。黒色腫増殖刺激活性、アルファ</v>
      </c>
      <c r="H1320" s="3" t="str">
        <f ca="1">IFERROR(__xludf.DUMMYFUNCTION("googletranslate(E1320,""en"",""ja"")"),"生物学的標本中のケモカイン (C-X-C モチーフ) リガンド 1 である CXCL1 の測定。")</f>
        <v>生物学的標本中のケモカイン (C-X-C モチーフ) リガンド 1 である CXCL1 の測定。</v>
      </c>
      <c r="I1320" s="3" t="str">
        <f ca="1">IFERROR(__xludf.DUMMYFUNCTION("googletranslate(F1320,""en"",""ja"")"),"ケモカイン (C-X-C モチーフ) リガンド 1 の測定")</f>
        <v>ケモカイン (C-X-C モチーフ) リガンド 1 の測定</v>
      </c>
    </row>
    <row r="1321" spans="1:9" ht="90">
      <c r="A1321" s="3" t="s">
        <v>6</v>
      </c>
      <c r="B1321" s="3" t="s">
        <v>5555</v>
      </c>
      <c r="C1321" s="3" t="s">
        <v>5556</v>
      </c>
      <c r="D1321" s="3" t="s">
        <v>5557</v>
      </c>
      <c r="E1321" s="3" t="s">
        <v>5558</v>
      </c>
      <c r="F1321" s="3" t="s">
        <v>5559</v>
      </c>
      <c r="G1321" s="3" t="str">
        <f ca="1">IFERROR(__xludf.DUMMYFUNCTION("googletranslate(D1321,""en"",""ja"")"),"ケモカイン (C-X-C モチーフ) リガンド 10;インターフェロン ガンマ誘導性プロテイン 10;インターフェロン誘導性タンパク質-10; IP-10;低誘導性サイトカイン B10")</f>
        <v>ケモカイン (C-X-C モチーフ) リガンド 10;インターフェロン ガンマ誘導性プロテイン 10;インターフェロン誘導性タンパク質-10; IP-10;低誘導性サイトカイン B10</v>
      </c>
      <c r="H1321" s="3" t="str">
        <f ca="1">IFERROR(__xludf.DUMMYFUNCTION("googletranslate(E1321,""en"",""ja"")"),"生物学的標本中のケモカイン (C-X-C モチーフ) リガンド 10 である CXCL10 の測定。")</f>
        <v>生物学的標本中のケモカイン (C-X-C モチーフ) リガンド 10 である CXCL10 の測定。</v>
      </c>
      <c r="I1321" s="3" t="str">
        <f ca="1">IFERROR(__xludf.DUMMYFUNCTION("googletranslate(F1321,""en"",""ja"")"),"ケモカイン (C-X-C モチーフ) リガンド 10 の測定")</f>
        <v>ケモカイン (C-X-C モチーフ) リガンド 10 の測定</v>
      </c>
    </row>
    <row r="1322" spans="1:9" ht="45">
      <c r="A1322" s="3" t="s">
        <v>6</v>
      </c>
      <c r="B1322" s="3" t="s">
        <v>5560</v>
      </c>
      <c r="C1322" s="3" t="s">
        <v>5561</v>
      </c>
      <c r="D1322" s="3" t="s">
        <v>5562</v>
      </c>
      <c r="E1322" s="3" t="s">
        <v>5563</v>
      </c>
      <c r="F1322" s="3" t="s">
        <v>5564</v>
      </c>
      <c r="G1322" s="3" t="str">
        <f ca="1">IFERROR(__xludf.DUMMYFUNCTION("googletranslate(D1322,""en"",""ja"")"),"ケモカイン (C-X-C モチーフ) リガンド 11; I-TAC; IFN誘導性T細胞アルファ化学誘引物質。 ITAC")</f>
        <v>ケモカイン (C-X-C モチーフ) リガンド 11; I-TAC; IFN誘導性T細胞アルファ化学誘引物質。 ITAC</v>
      </c>
      <c r="H1322" s="3" t="str">
        <f ca="1">IFERROR(__xludf.DUMMYFUNCTION("googletranslate(E1322,""en"",""ja"")"),"生物学的標本中のケモカイン (C-X-C モチーフ) リガンド 11 の測定。")</f>
        <v>生物学的標本中のケモカイン (C-X-C モチーフ) リガンド 11 の測定。</v>
      </c>
      <c r="I1322" s="3" t="str">
        <f ca="1">IFERROR(__xludf.DUMMYFUNCTION("googletranslate(F1322,""en"",""ja"")"),"ケモカイン (C-X-C モチーフ) リガンド 11 の測定")</f>
        <v>ケモカイン (C-X-C モチーフ) リガンド 11 の測定</v>
      </c>
    </row>
    <row r="1323" spans="1:9" ht="75">
      <c r="A1323" s="3" t="s">
        <v>6</v>
      </c>
      <c r="B1323" s="3" t="s">
        <v>5565</v>
      </c>
      <c r="C1323" s="3" t="s">
        <v>5566</v>
      </c>
      <c r="D1323" s="3" t="s">
        <v>5567</v>
      </c>
      <c r="E1323" s="3" t="s">
        <v>5568</v>
      </c>
      <c r="F1323" s="3" t="s">
        <v>5569</v>
      </c>
      <c r="G1323" s="3" t="str">
        <f ca="1">IFERROR(__xludf.DUMMYFUNCTION("googletranslate(D1323,""en"",""ja"")"),"ケモカイン (C-X-C モチーフ) リガンド 12; IRH; PBSF; SCYB12; SDF1; SDF1A; SDF1B;間質細胞由来因子-1 アルファ;間質細胞由来因子 1 ベータ。 TLSF; TPAR1")</f>
        <v>ケモカイン (C-X-C モチーフ) リガンド 12; IRH; PBSF; SCYB12; SDF1; SDF1A; SDF1B;間質細胞由来因子-1 アルファ;間質細胞由来因子 1 ベータ。 TLSF; TPAR1</v>
      </c>
      <c r="H1323" s="3" t="str">
        <f ca="1">IFERROR(__xludf.DUMMYFUNCTION("googletranslate(E1323,""en"",""ja"")"),"生物学的標本中のケモカイン (C-X-C モチーフ) リガンド 12 である CXCL12 の測定。")</f>
        <v>生物学的標本中のケモカイン (C-X-C モチーフ) リガンド 12 である CXCL12 の測定。</v>
      </c>
      <c r="I1323" s="3" t="str">
        <f ca="1">IFERROR(__xludf.DUMMYFUNCTION("googletranslate(F1323,""en"",""ja"")"),"ケモカイン (C-X-C モチーフ) リガンド 12 の測定")</f>
        <v>ケモカイン (C-X-C モチーフ) リガンド 12 の測定</v>
      </c>
    </row>
    <row r="1324" spans="1:9" ht="45">
      <c r="A1324" s="3" t="s">
        <v>6</v>
      </c>
      <c r="B1324" s="3" t="s">
        <v>5570</v>
      </c>
      <c r="C1324" s="3" t="s">
        <v>5571</v>
      </c>
      <c r="D1324" s="3" t="s">
        <v>5572</v>
      </c>
      <c r="E1324" s="3" t="s">
        <v>5573</v>
      </c>
      <c r="F1324" s="3" t="s">
        <v>5574</v>
      </c>
      <c r="G1324" s="3" t="str">
        <f ca="1">IFERROR(__xludf.DUMMYFUNCTION("googletranslate(D1324,""en"",""ja"")"),"B リンパ球化学誘引物質。ケモカイン (C-X-C モチーフ) リガンド 13")</f>
        <v>B リンパ球化学誘引物質。ケモカイン (C-X-C モチーフ) リガンド 13</v>
      </c>
      <c r="H1324" s="3" t="str">
        <f ca="1">IFERROR(__xludf.DUMMYFUNCTION("googletranslate(E1324,""en"",""ja"")"),"生物学的標本中のケモカイン (C-X-C モチーフ) リガンド 13 である CXCL13 の測定。")</f>
        <v>生物学的標本中のケモカイン (C-X-C モチーフ) リガンド 13 である CXCL13 の測定。</v>
      </c>
      <c r="I1324" s="3" t="str">
        <f ca="1">IFERROR(__xludf.DUMMYFUNCTION("googletranslate(F1324,""en"",""ja"")"),"ケモカイン (C-X-C モチーフ) リガンド 13 の測定")</f>
        <v>ケモカイン (C-X-C モチーフ) リガンド 13 の測定</v>
      </c>
    </row>
    <row r="1325" spans="1:9" ht="45">
      <c r="A1325" s="3" t="s">
        <v>6</v>
      </c>
      <c r="B1325" s="3" t="s">
        <v>5575</v>
      </c>
      <c r="C1325" s="3" t="s">
        <v>5576</v>
      </c>
      <c r="D1325" s="3" t="s">
        <v>5577</v>
      </c>
      <c r="E1325" s="3" t="s">
        <v>5578</v>
      </c>
      <c r="F1325" s="3" t="s">
        <v>5579</v>
      </c>
      <c r="G1325" s="3" t="str">
        <f ca="1">IFERROR(__xludf.DUMMYFUNCTION("googletranslate(D1325,""en"",""ja"")"),"ケモカイン (C-X-C モチーフ) リガンド 2; GRO ベータ版。 GRO2; MIP2-アルファ")</f>
        <v>ケモカイン (C-X-C モチーフ) リガンド 2; GRO ベータ版。 GRO2; MIP2-アルファ</v>
      </c>
      <c r="H1325" s="3" t="str">
        <f ca="1">IFERROR(__xludf.DUMMYFUNCTION("googletranslate(E1325,""en"",""ja"")"),"生物学的標本中のケモカイン (C-X-C モチーフ) リガンド 2 である CXCL2 の測定。")</f>
        <v>生物学的標本中のケモカイン (C-X-C モチーフ) リガンド 2 である CXCL2 の測定。</v>
      </c>
      <c r="I1325" s="3" t="str">
        <f ca="1">IFERROR(__xludf.DUMMYFUNCTION("googletranslate(F1325,""en"",""ja"")"),"ケモカイン (C-X-C モチーフ) リガンド 2 の測定")</f>
        <v>ケモカイン (C-X-C モチーフ) リガンド 2 の測定</v>
      </c>
    </row>
    <row r="1326" spans="1:9" ht="60">
      <c r="A1326" s="3" t="s">
        <v>6</v>
      </c>
      <c r="B1326" s="3" t="s">
        <v>5580</v>
      </c>
      <c r="C1326" s="3" t="s">
        <v>5581</v>
      </c>
      <c r="D1326" s="3" t="s">
        <v>5582</v>
      </c>
      <c r="E1326" s="3" t="s">
        <v>5583</v>
      </c>
      <c r="F1326" s="3" t="s">
        <v>5584</v>
      </c>
      <c r="G1326" s="3" t="str">
        <f ca="1">IFERROR(__xludf.DUMMYFUNCTION("googletranslate(D1326,""en"",""ja"")"),"ケモカイン (C-X-C モチーフ) リガンド 3; GROガンマ;マクロファージ炎症性タンパク質 2-ベータ; MIP2 ベータ版。 MIP2B")</f>
        <v>ケモカイン (C-X-C モチーフ) リガンド 3; GROガンマ;マクロファージ炎症性タンパク質 2-ベータ; MIP2 ベータ版。 MIP2B</v>
      </c>
      <c r="H1326" s="3" t="str">
        <f ca="1">IFERROR(__xludf.DUMMYFUNCTION("googletranslate(E1326,""en"",""ja"")"),"生物学的標本中のケモカイン (C-X-C モチーフ) リガンド 3 である CXCL3 の測定。")</f>
        <v>生物学的標本中のケモカイン (C-X-C モチーフ) リガンド 3 である CXCL3 の測定。</v>
      </c>
      <c r="I1326" s="3" t="str">
        <f ca="1">IFERROR(__xludf.DUMMYFUNCTION("googletranslate(F1326,""en"",""ja"")"),"ケモカイン (C-X-C モチーフ) リガンド 3 の測定")</f>
        <v>ケモカイン (C-X-C モチーフ) リガンド 3 の測定</v>
      </c>
    </row>
    <row r="1327" spans="1:9" ht="45">
      <c r="A1327" s="3" t="s">
        <v>6</v>
      </c>
      <c r="B1327" s="3" t="s">
        <v>5585</v>
      </c>
      <c r="C1327" s="3" t="s">
        <v>5586</v>
      </c>
      <c r="D1327" s="3" t="s">
        <v>5587</v>
      </c>
      <c r="E1327" s="3" t="s">
        <v>5588</v>
      </c>
      <c r="F1327" s="3" t="s">
        <v>5589</v>
      </c>
      <c r="G1327" s="3" t="str">
        <f ca="1">IFERROR(__xludf.DUMMYFUNCTION("googletranslate(D1327,""en"",""ja"")"),"ケモカイン (C-X-C モチーフ) リガンド 4;オンコスタチンA;血小板第 4 因子; PLF4")</f>
        <v>ケモカイン (C-X-C モチーフ) リガンド 4;オンコスタチンA;血小板第 4 因子; PLF4</v>
      </c>
      <c r="H1327" s="3" t="str">
        <f ca="1">IFERROR(__xludf.DUMMYFUNCTION("googletranslate(E1327,""en"",""ja"")"),"生物学的標本中のケモカイン (C-X-C モチーフ) リガンド 4 である CXCL4 の測定。")</f>
        <v>生物学的標本中のケモカイン (C-X-C モチーフ) リガンド 4 である CXCL4 の測定。</v>
      </c>
      <c r="I1327" s="3" t="str">
        <f ca="1">IFERROR(__xludf.DUMMYFUNCTION("googletranslate(F1327,""en"",""ja"")"),"ケモカイン (C-X-C モチーフ) リガンド 4 の測定")</f>
        <v>ケモカイン (C-X-C モチーフ) リガンド 4 の測定</v>
      </c>
    </row>
    <row r="1328" spans="1:9" ht="45">
      <c r="A1328" s="3" t="s">
        <v>6</v>
      </c>
      <c r="B1328" s="3" t="s">
        <v>5590</v>
      </c>
      <c r="C1328" s="3" t="s">
        <v>5591</v>
      </c>
      <c r="D1328" s="3" t="s">
        <v>5592</v>
      </c>
      <c r="E1328" s="3" t="s">
        <v>5593</v>
      </c>
      <c r="F1328" s="3" t="s">
        <v>5594</v>
      </c>
      <c r="G1328" s="3" t="str">
        <f ca="1">IFERROR(__xludf.DUMMYFUNCTION("googletranslate(D1328,""en"",""ja"")"),"ケモカイン (C-X-C モチーフ) リガンド 6; GCP2;顆粒球走化性タンパク質 2")</f>
        <v>ケモカイン (C-X-C モチーフ) リガンド 6; GCP2;顆粒球走化性タンパク質 2</v>
      </c>
      <c r="H1328" s="3" t="str">
        <f ca="1">IFERROR(__xludf.DUMMYFUNCTION("googletranslate(E1328,""en"",""ja"")"),"生物学的標本中のケモカイン (C-X-C モチーフ) リガンド 6 である CXCL6 の測定。")</f>
        <v>生物学的標本中のケモカイン (C-X-C モチーフ) リガンド 6 である CXCL6 の測定。</v>
      </c>
      <c r="I1328" s="3" t="str">
        <f ca="1">IFERROR(__xludf.DUMMYFUNCTION("googletranslate(F1328,""en"",""ja"")"),"ケモカイン (C-X-C モチーフ) リガンド 6 の測定")</f>
        <v>ケモカイン (C-X-C モチーフ) リガンド 6 の測定</v>
      </c>
    </row>
    <row r="1329" spans="1:9" ht="105">
      <c r="A1329" s="3" t="s">
        <v>6</v>
      </c>
      <c r="B1329" s="3" t="s">
        <v>5595</v>
      </c>
      <c r="C1329" s="3" t="s">
        <v>5596</v>
      </c>
      <c r="D1329" s="3" t="s">
        <v>5597</v>
      </c>
      <c r="E1329" s="3" t="s">
        <v>5598</v>
      </c>
      <c r="F1329" s="3" t="s">
        <v>5599</v>
      </c>
      <c r="G1329" s="3" t="str">
        <f ca="1">IFERROR(__xludf.DUMMYFUNCTION("googletranslate(D1329,""en"",""ja"")"),"B-TG1;ベータ-TG;ケモカイン (C-X-C モチーフ) リガンド 7; CTAP-III; CTAP3; CTAPIIII; LA-PF4; LDGF; MDGF; NAP-2;好中球活性化ペプチド 2; PBP; PPBP;プロ血小板基本タンパク質; SCYB7; TC1; TC2; TGB; TGB1; THBGB; THBGB1")</f>
        <v>B-TG1;ベータ-TG;ケモカイン (C-X-C モチーフ) リガンド 7; CTAP-III; CTAP3; CTAPIIII; LA-PF4; LDGF; MDGF; NAP-2;好中球活性化ペプチド 2; PBP; PPBP;プロ血小板基本タンパク質; SCYB7; TC1; TC2; TGB; TGB1; THBGB; THBGB1</v>
      </c>
      <c r="H1329" s="3" t="str">
        <f ca="1">IFERROR(__xludf.DUMMYFUNCTION("googletranslate(E1329,""en"",""ja"")"),"生物学的標本中の血小板前塩基性タンパク質の測定。")</f>
        <v>生物学的標本中の血小板前塩基性タンパク質の測定。</v>
      </c>
      <c r="I1329" s="3" t="str">
        <f ca="1">IFERROR(__xludf.DUMMYFUNCTION("googletranslate(F1329,""en"",""ja"")"),"ケモカイン (C-X-C モチーフ) リガンド 7 の測定")</f>
        <v>ケモカイン (C-X-C モチーフ) リガンド 7 の測定</v>
      </c>
    </row>
    <row r="1330" spans="1:9" ht="75">
      <c r="A1330" s="3" t="s">
        <v>6</v>
      </c>
      <c r="B1330" s="3" t="s">
        <v>5600</v>
      </c>
      <c r="C1330" s="3" t="s">
        <v>5601</v>
      </c>
      <c r="D1330" s="3" t="s">
        <v>5602</v>
      </c>
      <c r="E1330" s="3" t="s">
        <v>5603</v>
      </c>
      <c r="F1330" s="3" t="s">
        <v>5604</v>
      </c>
      <c r="G1330" s="3" t="str">
        <f ca="1">IFERROR(__xludf.DUMMYFUNCTION("googletranslate(D1330,""en"",""ja"")"),"ケモカイン (C-X-C モチーフ) リガンド 9; CMK; crg-10;ヒューミッグ;ミグ;ガンマインターフェロンによって誘発されるモノカイン。 SCYB9")</f>
        <v>ケモカイン (C-X-C モチーフ) リガンド 9; CMK; crg-10;ヒューミッグ;ミグ;ガンマインターフェロンによって誘発されるモノカイン。 SCYB9</v>
      </c>
      <c r="H1330" s="3" t="str">
        <f ca="1">IFERROR(__xludf.DUMMYFUNCTION("googletranslate(E1330,""en"",""ja"")"),"生物学的標本中のケモカイン (C-X-C モチーフ) リガンド 9 である CXCL9 の測定。")</f>
        <v>生物学的標本中のケモカイン (C-X-C モチーフ) リガンド 9 である CXCL9 の測定。</v>
      </c>
      <c r="I1330" s="3" t="str">
        <f ca="1">IFERROR(__xludf.DUMMYFUNCTION("googletranslate(F1330,""en"",""ja"")"),"ケモカイン (C-X-C モチーフ) リガンド 9 の測定")</f>
        <v>ケモカイン (C-X-C モチーフ) リガンド 9 の測定</v>
      </c>
    </row>
    <row r="1331" spans="1:9" ht="30">
      <c r="A1331" s="3" t="s">
        <v>6</v>
      </c>
      <c r="B1331" s="3" t="s">
        <v>5605</v>
      </c>
      <c r="C1331" s="3" t="s">
        <v>5606</v>
      </c>
      <c r="D1331" s="3" t="s">
        <v>5607</v>
      </c>
      <c r="E1331" s="3" t="s">
        <v>5608</v>
      </c>
      <c r="F1331" s="3" t="s">
        <v>5609</v>
      </c>
      <c r="G1331" s="3" t="str">
        <f ca="1">IFERROR(__xludf.DUMMYFUNCTION("googletranslate(D1331,""en"",""ja"")"),"ケモカイン (C-X-C モチーフ) 受容体 3; CXCR3; GPR9;可溶性CD183")</f>
        <v>ケモカイン (C-X-C モチーフ) 受容体 3; CXCR3; GPR9;可溶性CD183</v>
      </c>
      <c r="H1331" s="3" t="str">
        <f ca="1">IFERROR(__xludf.DUMMYFUNCTION("googletranslate(E1331,""en"",""ja"")"),"生物学的標本中のケモカイン (C-X-C モチーフ) 受容体 3 である CXCR3 の測定。")</f>
        <v>生物学的標本中のケモカイン (C-X-C モチーフ) 受容体 3 である CXCR3 の測定。</v>
      </c>
      <c r="I1331" s="3" t="str">
        <f ca="1">IFERROR(__xludf.DUMMYFUNCTION("googletranslate(F1331,""en"",""ja"")"),"ケモカイン受容体CXCR3の測定")</f>
        <v>ケモカイン受容体CXCR3の測定</v>
      </c>
    </row>
    <row r="1332" spans="1:9" ht="60">
      <c r="A1332" s="3" t="s">
        <v>6</v>
      </c>
      <c r="B1332" s="3" t="s">
        <v>5610</v>
      </c>
      <c r="C1332" s="3" t="s">
        <v>5611</v>
      </c>
      <c r="D1332" s="3" t="s">
        <v>5612</v>
      </c>
      <c r="E1332" s="3" t="s">
        <v>5613</v>
      </c>
      <c r="F1332" s="3" t="s">
        <v>5614</v>
      </c>
      <c r="G1332" s="3" t="str">
        <f ca="1">IFERROR(__xludf.DUMMYFUNCTION("googletranslate(D1332,""en"",""ja"")"),"ケモカイン (C-X-C モチーフ) 受容体 4; LPS関連プロテイン3;可溶性CD184;間質細胞由来の第 1 因子受容体")</f>
        <v>ケモカイン (C-X-C モチーフ) 受容体 4; LPS関連プロテイン3;可溶性CD184;間質細胞由来の第 1 因子受容体</v>
      </c>
      <c r="H1332" s="3" t="str">
        <f ca="1">IFERROR(__xludf.DUMMYFUNCTION("googletranslate(E1332,""en"",""ja"")"),"生物学的標本における CXCR4、ケモカイン (C-X-C モチーフ) 受容体 4 の測定。")</f>
        <v>生物学的標本における CXCR4、ケモカイン (C-X-C モチーフ) 受容体 4 の測定。</v>
      </c>
      <c r="I1332" s="3" t="str">
        <f ca="1">IFERROR(__xludf.DUMMYFUNCTION("googletranslate(F1332,""en"",""ja"")"),"C-X-C ケモカイン受容体タイプ 4 の測定")</f>
        <v>C-X-C ケモカイン受容体タイプ 4 の測定</v>
      </c>
    </row>
    <row r="1333" spans="1:9" ht="45">
      <c r="A1333" s="3" t="s">
        <v>6</v>
      </c>
      <c r="B1333" s="3" t="s">
        <v>5615</v>
      </c>
      <c r="C1333" s="3" t="s">
        <v>5616</v>
      </c>
      <c r="D1333" s="3" t="s">
        <v>5617</v>
      </c>
      <c r="E1333" s="3" t="s">
        <v>5618</v>
      </c>
      <c r="F1333" s="3" t="s">
        <v>5619</v>
      </c>
      <c r="G1333" s="3" t="str">
        <f ca="1">IFERROR(__xludf.DUMMYFUNCTION("googletranslate(D1333,""en"",""ja"")"),"酸性尿酸アンモニウム結晶。重尿酸アンモニウム結晶。尿酸アンモニウム結晶")</f>
        <v>酸性尿酸アンモニウム結晶。重尿酸アンモニウム結晶。尿酸アンモニウム結晶</v>
      </c>
      <c r="H1333" s="3" t="str">
        <f ca="1">IFERROR(__xludf.DUMMYFUNCTION("googletranslate(E1333,""en"",""ja"")"),"生物学的標本中に存在する重尿酸アンモニウム結晶の測定。")</f>
        <v>生物学的標本中に存在する重尿酸アンモニウム結晶の測定。</v>
      </c>
      <c r="I1333" s="3" t="str">
        <f ca="1">IFERROR(__xludf.DUMMYFUNCTION("googletranslate(F1333,""en"",""ja"")"),"重尿酸アンモニウム結晶の測定")</f>
        <v>重尿酸アンモニウム結晶の測定</v>
      </c>
    </row>
    <row r="1334" spans="1:9" ht="30">
      <c r="A1334" s="3" t="s">
        <v>6</v>
      </c>
      <c r="B1334" s="3" t="s">
        <v>5620</v>
      </c>
      <c r="C1334" s="3" t="s">
        <v>5621</v>
      </c>
      <c r="D1334" s="3" t="s">
        <v>5621</v>
      </c>
      <c r="E1334" s="3" t="s">
        <v>5622</v>
      </c>
      <c r="F1334" s="3" t="s">
        <v>5623</v>
      </c>
      <c r="G1334" s="3" t="str">
        <f ca="1">IFERROR(__xludf.DUMMYFUNCTION("googletranslate(D1334,""en"",""ja"")"),"シュウ酸アンモニウム結晶")</f>
        <v>シュウ酸アンモニウム結晶</v>
      </c>
      <c r="H1334" s="3" t="str">
        <f ca="1">IFERROR(__xludf.DUMMYFUNCTION("googletranslate(E1334,""en"",""ja"")"),"生物学的標本中のシュウ酸アンモニウム結晶の測定。")</f>
        <v>生物学的標本中のシュウ酸アンモニウム結晶の測定。</v>
      </c>
      <c r="I1334" s="3" t="str">
        <f ca="1">IFERROR(__xludf.DUMMYFUNCTION("googletranslate(F1334,""en"",""ja"")"),"シュウ酸アンモニウム結晶の測定")</f>
        <v>シュウ酸アンモニウム結晶の測定</v>
      </c>
    </row>
    <row r="1335" spans="1:9" ht="30">
      <c r="A1335" s="3" t="s">
        <v>6</v>
      </c>
      <c r="B1335" s="3" t="s">
        <v>5624</v>
      </c>
      <c r="C1335" s="3" t="s">
        <v>5625</v>
      </c>
      <c r="D1335" s="3" t="s">
        <v>5625</v>
      </c>
      <c r="E1335" s="3" t="s">
        <v>5626</v>
      </c>
      <c r="F1335" s="3" t="s">
        <v>5627</v>
      </c>
      <c r="G1335" s="3" t="str">
        <f ca="1">IFERROR(__xludf.DUMMYFUNCTION("googletranslate(D1335,""en"",""ja"")"),"アモルファス結晶")</f>
        <v>アモルファス結晶</v>
      </c>
      <c r="H1335" s="3" t="str">
        <f ca="1">IFERROR(__xludf.DUMMYFUNCTION("googletranslate(E1335,""en"",""ja"")"),"生物標本中に存在する非晶質（注: pH に応じてリン酸塩または尿酸塩）結晶の測定。")</f>
        <v>生物標本中に存在する非晶質（注: pH に応じてリン酸塩または尿酸塩）結晶の測定。</v>
      </c>
      <c r="I1335" s="3" t="str">
        <f ca="1">IFERROR(__xludf.DUMMYFUNCTION("googletranslate(F1335,""en"",""ja"")"),"アモルファス結晶の測定")</f>
        <v>アモルファス結晶の測定</v>
      </c>
    </row>
    <row r="1336" spans="1:9" ht="30">
      <c r="A1336" s="3" t="s">
        <v>6</v>
      </c>
      <c r="B1336" s="3" t="s">
        <v>5628</v>
      </c>
      <c r="C1336" s="3" t="s">
        <v>5629</v>
      </c>
      <c r="D1336" s="3" t="s">
        <v>5629</v>
      </c>
      <c r="E1336" s="3" t="s">
        <v>5630</v>
      </c>
      <c r="F1336" s="3" t="s">
        <v>5631</v>
      </c>
      <c r="G1336" s="3" t="str">
        <f ca="1">IFERROR(__xludf.DUMMYFUNCTION("googletranslate(D1336,""en"",""ja"")"),"アモルファスリン酸塩結晶")</f>
        <v>アモルファスリン酸塩結晶</v>
      </c>
      <c r="H1336" s="3" t="str">
        <f ca="1">IFERROR(__xludf.DUMMYFUNCTION("googletranslate(E1336,""en"",""ja"")"),"生物学的標本中の非晶質リン酸塩結晶の測定。")</f>
        <v>生物学的標本中の非晶質リン酸塩結晶の測定。</v>
      </c>
      <c r="I1336" s="3" t="str">
        <f ca="1">IFERROR(__xludf.DUMMYFUNCTION("googletranslate(F1336,""en"",""ja"")"),"非晶質リン酸塩結晶の測定")</f>
        <v>非晶質リン酸塩結晶の測定</v>
      </c>
    </row>
    <row r="1337" spans="1:9" ht="30">
      <c r="A1337" s="3" t="s">
        <v>6</v>
      </c>
      <c r="B1337" s="3" t="s">
        <v>5632</v>
      </c>
      <c r="C1337" s="3" t="s">
        <v>5633</v>
      </c>
      <c r="D1337" s="3" t="s">
        <v>5633</v>
      </c>
      <c r="E1337" s="3" t="s">
        <v>5634</v>
      </c>
      <c r="F1337" s="3" t="s">
        <v>5635</v>
      </c>
      <c r="G1337" s="3" t="str">
        <f ca="1">IFERROR(__xludf.DUMMYFUNCTION("googletranslate(D1337,""en"",""ja"")"),"アモルファス尿酸塩結晶")</f>
        <v>アモルファス尿酸塩結晶</v>
      </c>
      <c r="H1337" s="3" t="str">
        <f ca="1">IFERROR(__xludf.DUMMYFUNCTION("googletranslate(E1337,""en"",""ja"")"),"生物学的標本中の非晶質尿酸塩結晶の測定。")</f>
        <v>生物学的標本中の非晶質尿酸塩結晶の測定。</v>
      </c>
      <c r="I1337" s="3" t="str">
        <f ca="1">IFERROR(__xludf.DUMMYFUNCTION("googletranslate(F1337,""en"",""ja"")"),"非晶質尿酸塩結晶の測定")</f>
        <v>非晶質尿酸塩結晶の測定</v>
      </c>
    </row>
    <row r="1338" spans="1:9" ht="45">
      <c r="A1338" s="3" t="s">
        <v>67</v>
      </c>
      <c r="B1338" s="3" t="s">
        <v>5636</v>
      </c>
      <c r="C1338" s="3" t="s">
        <v>5637</v>
      </c>
      <c r="D1338" s="3" t="s">
        <v>5637</v>
      </c>
      <c r="E1338" s="3" t="s">
        <v>5638</v>
      </c>
      <c r="F1338" s="3" t="s">
        <v>5639</v>
      </c>
      <c r="G1338" s="3" t="str">
        <f ca="1">IFERROR(__xludf.DUMMYFUNCTION("googletranslate(D1338,""en"",""ja"")"),"シアノバクテリア")</f>
        <v>シアノバクテリア</v>
      </c>
      <c r="H1338" s="3" t="str">
        <f ca="1">IFERROR(__xludf.DUMMYFUNCTION("googletranslate(E1338,""en"",""ja"")"),"生物学的標本において、種レベルには割り当てられていないが、シアノバクテリア門レベルに割り当てられている生物の測定値。")</f>
        <v>生物学的標本において、種レベルには割り当てられていないが、シアノバクテリア門レベルに割り当てられている生物の測定値。</v>
      </c>
      <c r="I1338" s="3" t="str">
        <f ca="1">IFERROR(__xludf.DUMMYFUNCTION("googletranslate(F1338,""en"",""ja"")"),"シアノバクテリアの測定")</f>
        <v>シアノバクテリアの測定</v>
      </c>
    </row>
    <row r="1339" spans="1:9" ht="30">
      <c r="A1339" s="3" t="s">
        <v>6</v>
      </c>
      <c r="B1339" s="3" t="s">
        <v>5640</v>
      </c>
      <c r="C1339" s="3" t="s">
        <v>5641</v>
      </c>
      <c r="D1339" s="3" t="s">
        <v>5641</v>
      </c>
      <c r="E1339" s="3" t="s">
        <v>5642</v>
      </c>
      <c r="F1339" s="3" t="s">
        <v>5643</v>
      </c>
      <c r="G1339" s="3" t="str">
        <f ca="1">IFERROR(__xludf.DUMMYFUNCTION("googletranslate(D1339,""en"",""ja"")"),"ビリルビン結晶")</f>
        <v>ビリルビン結晶</v>
      </c>
      <c r="H1339" s="3" t="str">
        <f ca="1">IFERROR(__xludf.DUMMYFUNCTION("googletranslate(E1339,""en"",""ja"")"),"生物学的標本中に存在するビリルビン結晶の測定。")</f>
        <v>生物学的標本中に存在するビリルビン結晶の測定。</v>
      </c>
      <c r="I1339" s="3" t="str">
        <f ca="1">IFERROR(__xludf.DUMMYFUNCTION("googletranslate(F1339,""en"",""ja"")"),"ビリルビン結晶の測定")</f>
        <v>ビリルビン結晶の測定</v>
      </c>
    </row>
    <row r="1340" spans="1:9" ht="30">
      <c r="A1340" s="3" t="s">
        <v>6</v>
      </c>
      <c r="B1340" s="3" t="s">
        <v>5644</v>
      </c>
      <c r="C1340" s="3" t="s">
        <v>5645</v>
      </c>
      <c r="D1340" s="3" t="s">
        <v>5645</v>
      </c>
      <c r="E1340" s="3" t="s">
        <v>5646</v>
      </c>
      <c r="F1340" s="3" t="s">
        <v>5647</v>
      </c>
      <c r="G1340" s="3" t="str">
        <f ca="1">IFERROR(__xludf.DUMMYFUNCTION("googletranslate(D1340,""en"",""ja"")"),"炭酸カルシウム結晶")</f>
        <v>炭酸カルシウム結晶</v>
      </c>
      <c r="H1340" s="3" t="str">
        <f ca="1">IFERROR(__xludf.DUMMYFUNCTION("googletranslate(E1340,""en"",""ja"")"),"生物標本中に存在する炭酸カルシウム結晶の測定。")</f>
        <v>生物標本中に存在する炭酸カルシウム結晶の測定。</v>
      </c>
      <c r="I1340" s="3" t="str">
        <f ca="1">IFERROR(__xludf.DUMMYFUNCTION("googletranslate(F1340,""en"",""ja"")"),"炭酸カルシウム結晶測定")</f>
        <v>炭酸カルシウム結晶測定</v>
      </c>
    </row>
    <row r="1341" spans="1:9" ht="30">
      <c r="A1341" s="3" t="s">
        <v>6</v>
      </c>
      <c r="B1341" s="3" t="s">
        <v>5648</v>
      </c>
      <c r="C1341" s="3" t="s">
        <v>5649</v>
      </c>
      <c r="D1341" s="3" t="s">
        <v>5649</v>
      </c>
      <c r="E1341" s="3" t="s">
        <v>5650</v>
      </c>
      <c r="F1341" s="3" t="s">
        <v>5651</v>
      </c>
      <c r="G1341" s="3" t="str">
        <f ca="1">IFERROR(__xludf.DUMMYFUNCTION("googletranslate(D1341,""en"",""ja"")"),"シュウ酸カルシウム結晶")</f>
        <v>シュウ酸カルシウム結晶</v>
      </c>
      <c r="H1341" s="3" t="str">
        <f ca="1">IFERROR(__xludf.DUMMYFUNCTION("googletranslate(E1341,""en"",""ja"")"),"生物学的標本中に存在するシュウ酸カルシウム結晶の測定。")</f>
        <v>生物学的標本中に存在するシュウ酸カルシウム結晶の測定。</v>
      </c>
      <c r="I1341" s="3" t="str">
        <f ca="1">IFERROR(__xludf.DUMMYFUNCTION("googletranslate(F1341,""en"",""ja"")"),"シュウ酸カルシウム結晶の測定")</f>
        <v>シュウ酸カルシウム結晶の測定</v>
      </c>
    </row>
    <row r="1342" spans="1:9" ht="30">
      <c r="A1342" s="3" t="s">
        <v>6</v>
      </c>
      <c r="B1342" s="3" t="s">
        <v>5652</v>
      </c>
      <c r="C1342" s="3" t="s">
        <v>5653</v>
      </c>
      <c r="D1342" s="3" t="s">
        <v>5653</v>
      </c>
      <c r="E1342" s="3" t="s">
        <v>5654</v>
      </c>
      <c r="F1342" s="3" t="s">
        <v>5655</v>
      </c>
      <c r="G1342" s="3" t="str">
        <f ca="1">IFERROR(__xludf.DUMMYFUNCTION("googletranslate(D1342,""en"",""ja"")"),"リン酸カルシウム結晶")</f>
        <v>リン酸カルシウム結晶</v>
      </c>
      <c r="H1342" s="3" t="str">
        <f ca="1">IFERROR(__xludf.DUMMYFUNCTION("googletranslate(E1342,""en"",""ja"")"),"生物学的標本中に存在するリン酸カルシウム結晶の測定。")</f>
        <v>生物学的標本中に存在するリン酸カルシウム結晶の測定。</v>
      </c>
      <c r="I1342" s="3" t="str">
        <f ca="1">IFERROR(__xludf.DUMMYFUNCTION("googletranslate(F1342,""en"",""ja"")"),"リン酸カルシウム結晶の測定")</f>
        <v>リン酸カルシウム結晶の測定</v>
      </c>
    </row>
    <row r="1343" spans="1:9" ht="30">
      <c r="A1343" s="3" t="s">
        <v>6</v>
      </c>
      <c r="B1343" s="3" t="s">
        <v>5656</v>
      </c>
      <c r="C1343" s="3" t="s">
        <v>5657</v>
      </c>
      <c r="D1343" s="3" t="s">
        <v>5657</v>
      </c>
      <c r="E1343" s="3" t="s">
        <v>5658</v>
      </c>
      <c r="F1343" s="3" t="s">
        <v>5659</v>
      </c>
      <c r="G1343" s="3" t="str">
        <f ca="1">IFERROR(__xludf.DUMMYFUNCTION("googletranslate(D1343,""en"",""ja"")"),"硫酸カルシウム結晶")</f>
        <v>硫酸カルシウム結晶</v>
      </c>
      <c r="H1343" s="3" t="str">
        <f ca="1">IFERROR(__xludf.DUMMYFUNCTION("googletranslate(E1343,""en"",""ja"")"),"生物標本中に存在する硫酸カルシウム結晶の測定。")</f>
        <v>生物標本中に存在する硫酸カルシウム結晶の測定。</v>
      </c>
      <c r="I1343" s="3" t="str">
        <f ca="1">IFERROR(__xludf.DUMMYFUNCTION("googletranslate(F1343,""en"",""ja"")"),"硫酸カルシウム結晶の測定")</f>
        <v>硫酸カルシウム結晶の測定</v>
      </c>
    </row>
    <row r="1344" spans="1:9" ht="30">
      <c r="A1344" s="3" t="s">
        <v>6</v>
      </c>
      <c r="B1344" s="3" t="s">
        <v>5660</v>
      </c>
      <c r="C1344" s="3" t="s">
        <v>5661</v>
      </c>
      <c r="D1344" s="3" t="s">
        <v>5661</v>
      </c>
      <c r="E1344" s="3" t="s">
        <v>5662</v>
      </c>
      <c r="F1344" s="3" t="s">
        <v>5663</v>
      </c>
      <c r="G1344" s="3" t="str">
        <f ca="1">IFERROR(__xludf.DUMMYFUNCTION("googletranslate(D1344,""en"",""ja"")"),"コレステロール結晶")</f>
        <v>コレステロール結晶</v>
      </c>
      <c r="H1344" s="3" t="str">
        <f ca="1">IFERROR(__xludf.DUMMYFUNCTION("googletranslate(E1344,""en"",""ja"")"),"生物学的標本中に存在するコレステロール結晶の測定。")</f>
        <v>生物学的標本中に存在するコレステロール結晶の測定。</v>
      </c>
      <c r="I1344" s="3" t="str">
        <f ca="1">IFERROR(__xludf.DUMMYFUNCTION("googletranslate(F1344,""en"",""ja"")"),"コレステロール結晶測定")</f>
        <v>コレステロール結晶測定</v>
      </c>
    </row>
    <row r="1345" spans="1:9" ht="60">
      <c r="A1345" s="3" t="s">
        <v>6</v>
      </c>
      <c r="B1345" s="3" t="s">
        <v>5664</v>
      </c>
      <c r="C1345" s="3" t="s">
        <v>5665</v>
      </c>
      <c r="D1345" s="3" t="s">
        <v>5666</v>
      </c>
      <c r="E1345" s="3" t="s">
        <v>5667</v>
      </c>
      <c r="F1345" s="3" t="s">
        <v>5668</v>
      </c>
      <c r="G1345" s="3" t="str">
        <f ca="1">IFERROR(__xludf.DUMMYFUNCTION("googletranslate(D1345,""en"",""ja"")"),"シャルコー・ライデン・クリスタル。シャルコー・ライデン結晶。 CLC;ガレクチン-10 結晶")</f>
        <v>シャルコー・ライデン・クリスタル。シャルコー・ライデン結晶。 CLC;ガレクチン-10 結晶</v>
      </c>
      <c r="H1345" s="3" t="str">
        <f ca="1">IFERROR(__xludf.DUMMYFUNCTION("googletranslate(E1345,""en"",""ja"")"),"生物学的標本に存在するシャルコー・ライデン結晶の測定。")</f>
        <v>生物学的標本に存在するシャルコー・ライデン結晶の測定。</v>
      </c>
      <c r="I1345" s="3" t="str">
        <f ca="1">IFERROR(__xludf.DUMMYFUNCTION("googletranslate(F1345,""en"",""ja"")"),"シャルコー・ライデン結晶測定")</f>
        <v>シャルコー・ライデン結晶測定</v>
      </c>
    </row>
    <row r="1346" spans="1:9" ht="30">
      <c r="A1346" s="3" t="s">
        <v>6</v>
      </c>
      <c r="B1346" s="3" t="s">
        <v>5669</v>
      </c>
      <c r="C1346" s="3" t="s">
        <v>5670</v>
      </c>
      <c r="D1346" s="3" t="s">
        <v>5670</v>
      </c>
      <c r="E1346" s="3" t="s">
        <v>5671</v>
      </c>
      <c r="F1346" s="3" t="s">
        <v>5672</v>
      </c>
      <c r="G1346" s="3" t="str">
        <f ca="1">IFERROR(__xludf.DUMMYFUNCTION("googletranslate(D1346,""en"",""ja"")"),"シスチン結晶")</f>
        <v>シスチン結晶</v>
      </c>
      <c r="H1346" s="3" t="str">
        <f ca="1">IFERROR(__xludf.DUMMYFUNCTION("googletranslate(E1346,""en"",""ja"")"),"生物学的標本に存在するシスチン結晶の測定。")</f>
        <v>生物学的標本に存在するシスチン結晶の測定。</v>
      </c>
      <c r="I1346" s="3" t="str">
        <f ca="1">IFERROR(__xludf.DUMMYFUNCTION("googletranslate(F1346,""en"",""ja"")"),"シスチン結晶の測定")</f>
        <v>シスチン結晶の測定</v>
      </c>
    </row>
    <row r="1347" spans="1:9" ht="30">
      <c r="A1347" s="3" t="s">
        <v>6</v>
      </c>
      <c r="B1347" s="3" t="s">
        <v>5673</v>
      </c>
      <c r="C1347" s="3" t="s">
        <v>5674</v>
      </c>
      <c r="D1347" s="3" t="s">
        <v>5674</v>
      </c>
      <c r="E1347" s="3" t="s">
        <v>5675</v>
      </c>
      <c r="F1347" s="3" t="s">
        <v>5676</v>
      </c>
      <c r="G1347" s="3" t="str">
        <f ca="1">IFERROR(__xludf.DUMMYFUNCTION("googletranslate(D1347,""en"",""ja"")"),"リン酸二カルシウム結晶")</f>
        <v>リン酸二カルシウム結晶</v>
      </c>
      <c r="H1347" s="3" t="str">
        <f ca="1">IFERROR(__xludf.DUMMYFUNCTION("googletranslate(E1347,""en"",""ja"")"),"生物標本中のリン酸二カルシウム結晶の測定。")</f>
        <v>生物標本中のリン酸二カルシウム結晶の測定。</v>
      </c>
      <c r="I1347" s="3" t="str">
        <f ca="1">IFERROR(__xludf.DUMMYFUNCTION("googletranslate(F1347,""en"",""ja"")"),"リン酸二カルシウム結晶の測定")</f>
        <v>リン酸二カルシウム結晶の測定</v>
      </c>
    </row>
    <row r="1348" spans="1:9">
      <c r="A1348" s="3" t="s">
        <v>6</v>
      </c>
      <c r="B1348" s="3" t="s">
        <v>5677</v>
      </c>
      <c r="C1348" s="3" t="s">
        <v>5678</v>
      </c>
      <c r="D1348" s="3" t="s">
        <v>5678</v>
      </c>
      <c r="E1348" s="3" t="s">
        <v>5679</v>
      </c>
      <c r="F1348" s="3" t="s">
        <v>5680</v>
      </c>
      <c r="G1348" s="3" t="str">
        <f ca="1">IFERROR(__xludf.DUMMYFUNCTION("googletranslate(D1348,""en"",""ja"")"),"薬物結晶")</f>
        <v>薬物結晶</v>
      </c>
      <c r="H1348" s="3" t="str">
        <f ca="1">IFERROR(__xludf.DUMMYFUNCTION("googletranslate(E1348,""en"",""ja"")"),"生物学的標本中の薬物結晶の測定。")</f>
        <v>生物学的標本中の薬物結晶の測定。</v>
      </c>
      <c r="I1348" s="3" t="str">
        <f ca="1">IFERROR(__xludf.DUMMYFUNCTION("googletranslate(F1348,""en"",""ja"")"),"薬物結晶の測定")</f>
        <v>薬物結晶の測定</v>
      </c>
    </row>
    <row r="1349" spans="1:9" ht="60">
      <c r="A1349" s="3" t="s">
        <v>6</v>
      </c>
      <c r="B1349" s="3" t="s">
        <v>5681</v>
      </c>
      <c r="C1349" s="3" t="s">
        <v>5682</v>
      </c>
      <c r="D1349" s="3" t="s">
        <v>5683</v>
      </c>
      <c r="E1349" s="3" t="s">
        <v>5684</v>
      </c>
      <c r="F1349" s="3" t="s">
        <v>5685</v>
      </c>
      <c r="G1349" s="3" t="str">
        <f ca="1">IFERROR(__xludf.DUMMYFUNCTION("googletranslate(D1349,""en"",""ja"")"),"2-シアノエートメルキャプチャレート; 2-シアノエチルメルカプツル酸; 2-シアノエチルメルカプツル酸; CEMA")</f>
        <v>2-シアノエートメルキャプチャレート; 2-シアノエチルメルカプツル酸; 2-シアノエチルメルカプツル酸; CEMA</v>
      </c>
      <c r="H1349" s="3" t="str">
        <f ca="1">IFERROR(__xludf.DUMMYFUNCTION("googletranslate(E1349,""en"",""ja"")"),"試料中の 2-シアノエチルメルカプツール酸の測定。")</f>
        <v>試料中の 2-シアノエチルメルカプツール酸の測定。</v>
      </c>
      <c r="I1349" s="3" t="str">
        <f ca="1">IFERROR(__xludf.DUMMYFUNCTION("googletranslate(F1349,""en"",""ja"")"),"2-シアノエチルメルカプツル酸の測定")</f>
        <v>2-シアノエチルメルカプツル酸の測定</v>
      </c>
    </row>
    <row r="1350" spans="1:9" ht="105">
      <c r="A1350" s="3" t="s">
        <v>6</v>
      </c>
      <c r="B1350" s="3" t="s">
        <v>5686</v>
      </c>
      <c r="C1350" s="3" t="s">
        <v>5687</v>
      </c>
      <c r="D1350" s="3" t="s">
        <v>5688</v>
      </c>
      <c r="E1350" s="3" t="s">
        <v>5689</v>
      </c>
      <c r="F1350" s="3" t="s">
        <v>5690</v>
      </c>
      <c r="G1350" s="3" t="str">
        <f ca="1">IFERROR(__xludf.DUMMYFUNCTION("googletranslate(D1350,""en"",""ja"")"),"2-シアノエチルメルカプチュレートシステイン; 2-シアノエチルメルカプツール酸システイン; 2-シアノエチルメルカプツル酸システイン; 2-CyEMA; N-アセチル-S-(2-シアノエチル)-L-システイン")</f>
        <v>2-シアノエチルメルカプチュレートシステイン; 2-シアノエチルメルカプツール酸システイン; 2-シアノエチルメルカプツル酸システイン; 2-CyEMA; N-アセチル-S-(2-シアノエチル)-L-システイン</v>
      </c>
      <c r="H1350" s="3" t="str">
        <f ca="1">IFERROR(__xludf.DUMMYFUNCTION("googletranslate(E1350,""en"",""ja"")"),"標本中の 2-シアノエチルメルカプツール酸システインの測定。")</f>
        <v>標本中の 2-シアノエチルメルカプツール酸システインの測定。</v>
      </c>
      <c r="I1350" s="3" t="str">
        <f ca="1">IFERROR(__xludf.DUMMYFUNCTION("googletranslate(F1350,""en"",""ja"")"),"2-シアノエチルメルカプツール酸システインの測定")</f>
        <v>2-シアノエチルメルカプツール酸システインの測定</v>
      </c>
    </row>
    <row r="1351" spans="1:9" ht="30">
      <c r="A1351" s="3" t="s">
        <v>6</v>
      </c>
      <c r="B1351" s="3" t="s">
        <v>5691</v>
      </c>
      <c r="C1351" s="3" t="s">
        <v>5692</v>
      </c>
      <c r="D1351" s="3" t="s">
        <v>5692</v>
      </c>
      <c r="E1351" s="3" t="s">
        <v>5693</v>
      </c>
      <c r="F1351" s="3" t="s">
        <v>5694</v>
      </c>
      <c r="G1351" s="3" t="str">
        <f ca="1">IFERROR(__xludf.DUMMYFUNCTION("googletranslate(D1351,""en"",""ja"")"),"サイトケラチン 18 フラグメント")</f>
        <v>サイトケラチン 18 フラグメント</v>
      </c>
      <c r="H1351" s="3" t="str">
        <f ca="1">IFERROR(__xludf.DUMMYFUNCTION("googletranslate(E1351,""en"",""ja"")"),"生物学的標本中のサイトケラチン 18 フラグメントの測定。")</f>
        <v>生物学的標本中のサイトケラチン 18 フラグメントの測定。</v>
      </c>
      <c r="I1351" s="3" t="str">
        <f ca="1">IFERROR(__xludf.DUMMYFUNCTION("googletranslate(F1351,""en"",""ja"")"),"サイトケラチン18フラグメントの測定")</f>
        <v>サイトケラチン18フラグメントの測定</v>
      </c>
    </row>
    <row r="1352" spans="1:9" ht="30">
      <c r="A1352" s="3" t="s">
        <v>6</v>
      </c>
      <c r="B1352" s="3" t="s">
        <v>5695</v>
      </c>
      <c r="C1352" s="3" t="s">
        <v>5696</v>
      </c>
      <c r="D1352" s="3" t="s">
        <v>5697</v>
      </c>
      <c r="E1352" s="3" t="s">
        <v>5698</v>
      </c>
      <c r="F1352" s="3" t="s">
        <v>5699</v>
      </c>
      <c r="G1352" s="3" t="str">
        <f ca="1">IFERROR(__xludf.DUMMYFUNCTION("googletranslate(D1352,""en"",""ja"")"),"CYFRA21-1;サイトケラチン 19 フラグメント 21-1")</f>
        <v>CYFRA21-1;サイトケラチン 19 フラグメント 21-1</v>
      </c>
      <c r="H1352" s="3" t="str">
        <f ca="1">IFERROR(__xludf.DUMMYFUNCTION("googletranslate(E1352,""en"",""ja"")"),"生物学的標本中のサイトケラチン 19 フラグメント 21-1 の測定。")</f>
        <v>生物学的標本中のサイトケラチン 19 フラグメント 21-1 の測定。</v>
      </c>
      <c r="I1352" s="3" t="str">
        <f ca="1">IFERROR(__xludf.DUMMYFUNCTION("googletranslate(F1352,""en"",""ja"")"),"サイトケラチン19フラグメント21-1の測定")</f>
        <v>サイトケラチン19フラグメント21-1の測定</v>
      </c>
    </row>
    <row r="1353" spans="1:9" ht="30">
      <c r="A1353" s="3" t="s">
        <v>6</v>
      </c>
      <c r="B1353" s="3" t="s">
        <v>5700</v>
      </c>
      <c r="C1353" s="3" t="s">
        <v>5701</v>
      </c>
      <c r="D1353" s="3" t="s">
        <v>5701</v>
      </c>
      <c r="E1353" s="3" t="s">
        <v>5702</v>
      </c>
      <c r="F1353" s="3" t="s">
        <v>5703</v>
      </c>
      <c r="G1353" s="3" t="str">
        <f ca="1">IFERROR(__xludf.DUMMYFUNCTION("googletranslate(D1353,""en"",""ja"")"),"ヘモグロビンC結晶")</f>
        <v>ヘモグロビンC結晶</v>
      </c>
      <c r="H1353" s="3" t="str">
        <f ca="1">IFERROR(__xludf.DUMMYFUNCTION("googletranslate(E1353,""en"",""ja"")"),"生物学的標本中のヘモグロビン C 結晶の測定。")</f>
        <v>生物学的標本中のヘモグロビン C 結晶の測定。</v>
      </c>
      <c r="I1353" s="3" t="str">
        <f ca="1">IFERROR(__xludf.DUMMYFUNCTION("googletranslate(F1353,""en"",""ja"")"),"ヘモグロビンC結晶の測定")</f>
        <v>ヘモグロビンC結晶の測定</v>
      </c>
    </row>
    <row r="1354" spans="1:9" ht="30">
      <c r="A1354" s="3" t="s">
        <v>6</v>
      </c>
      <c r="B1354" s="3" t="s">
        <v>5704</v>
      </c>
      <c r="C1354" s="3" t="s">
        <v>5705</v>
      </c>
      <c r="D1354" s="3" t="s">
        <v>5706</v>
      </c>
      <c r="E1354" s="3" t="s">
        <v>5707</v>
      </c>
      <c r="F1354" s="3" t="s">
        <v>5708</v>
      </c>
      <c r="G1354" s="3" t="str">
        <f ca="1">IFERROR(__xludf.DUMMYFUNCTION("googletranslate(D1354,""en"",""ja"")"),"ヒプレート結晶。馬尿酸結晶")</f>
        <v>ヒプレート結晶。馬尿酸結晶</v>
      </c>
      <c r="H1354" s="3" t="str">
        <f ca="1">IFERROR(__xludf.DUMMYFUNCTION("googletranslate(E1354,""en"",""ja"")"),"生物学的標本中に存在する馬尿酸結晶の測定。")</f>
        <v>生物学的標本中に存在する馬尿酸結晶の測定。</v>
      </c>
      <c r="I1354" s="3" t="str">
        <f ca="1">IFERROR(__xludf.DUMMYFUNCTION("googletranslate(F1354,""en"",""ja"")"),"馬尿酸結晶測定")</f>
        <v>馬尿酸結晶測定</v>
      </c>
    </row>
    <row r="1355" spans="1:9" ht="30">
      <c r="A1355" s="3" t="s">
        <v>180</v>
      </c>
      <c r="B1355" s="3" t="s">
        <v>5709</v>
      </c>
      <c r="C1355" s="3" t="s">
        <v>5710</v>
      </c>
      <c r="D1355" s="3" t="s">
        <v>5710</v>
      </c>
      <c r="E1355" s="3" t="s">
        <v>5711</v>
      </c>
      <c r="F1355" s="3" t="s">
        <v>5712</v>
      </c>
      <c r="G1355" s="3" t="str">
        <f ca="1">IFERROR(__xludf.DUMMYFUNCTION("googletranslate(D1355,""en"",""ja"")"),"サイトカイン分泌細胞")</f>
        <v>サイトカイン分泌細胞</v>
      </c>
      <c r="H1355" s="3" t="str">
        <f ca="1">IFERROR(__xludf.DUMMYFUNCTION("googletranslate(E1355,""en"",""ja"")"),"生物学的標本中のサイトカイン分泌細胞の測定。")</f>
        <v>生物学的標本中のサイトカイン分泌細胞の測定。</v>
      </c>
      <c r="I1355" s="3" t="str">
        <f ca="1">IFERROR(__xludf.DUMMYFUNCTION("googletranslate(F1355,""en"",""ja"")"),"サイトカイン分泌細胞の測定")</f>
        <v>サイトカイン分泌細胞の測定</v>
      </c>
    </row>
    <row r="1356" spans="1:9" ht="30">
      <c r="A1356" s="3" t="s">
        <v>180</v>
      </c>
      <c r="B1356" s="3" t="s">
        <v>5713</v>
      </c>
      <c r="C1356" s="3" t="s">
        <v>5714</v>
      </c>
      <c r="D1356" s="3" t="s">
        <v>5714</v>
      </c>
      <c r="E1356" s="3" t="s">
        <v>5715</v>
      </c>
      <c r="F1356" s="3" t="s">
        <v>5716</v>
      </c>
      <c r="G1356" s="3" t="str">
        <f ca="1">IFERROR(__xludf.DUMMYFUNCTION("googletranslate(D1356,""en"",""ja"")"),"サイトカイン分泌T細胞")</f>
        <v>サイトカイン分泌T細胞</v>
      </c>
      <c r="H1356" s="3" t="str">
        <f ca="1">IFERROR(__xludf.DUMMYFUNCTION("googletranslate(E1356,""en"",""ja"")"),"生物学的標本中のサイトカイン分泌 T リンパ球の測定。")</f>
        <v>生物学的標本中のサイトカイン分泌 T リンパ球の測定。</v>
      </c>
      <c r="I1356" s="3" t="str">
        <f ca="1">IFERROR(__xludf.DUMMYFUNCTION("googletranslate(F1356,""en"",""ja"")"),"サイトカイン分泌Tリンパ球数")</f>
        <v>サイトカイン分泌Tリンパ球数</v>
      </c>
    </row>
    <row r="1357" spans="1:9" ht="30">
      <c r="A1357" s="3" t="s">
        <v>6</v>
      </c>
      <c r="B1357" s="3" t="s">
        <v>5717</v>
      </c>
      <c r="C1357" s="3" t="s">
        <v>5718</v>
      </c>
      <c r="D1357" s="3" t="s">
        <v>5718</v>
      </c>
      <c r="E1357" s="3" t="s">
        <v>5719</v>
      </c>
      <c r="F1357" s="3" t="s">
        <v>5720</v>
      </c>
      <c r="G1357" s="3" t="str">
        <f ca="1">IFERROR(__xludf.DUMMYFUNCTION("googletranslate(D1357,""en"",""ja"")"),"ロイシン結晶")</f>
        <v>ロイシン結晶</v>
      </c>
      <c r="H1357" s="3" t="str">
        <f ca="1">IFERROR(__xludf.DUMMYFUNCTION("googletranslate(E1357,""en"",""ja"")"),"生物学的標本中に存在するロイシン結晶の測定。")</f>
        <v>生物学的標本中に存在するロイシン結晶の測定。</v>
      </c>
      <c r="I1357" s="3" t="str">
        <f ca="1">IFERROR(__xludf.DUMMYFUNCTION("googletranslate(F1357,""en"",""ja"")"),"ロイシン結晶の測定")</f>
        <v>ロイシン結晶の測定</v>
      </c>
    </row>
    <row r="1358" spans="1:9" ht="30">
      <c r="A1358" s="3" t="s">
        <v>6</v>
      </c>
      <c r="B1358" s="3" t="s">
        <v>5721</v>
      </c>
      <c r="C1358" s="3" t="s">
        <v>5722</v>
      </c>
      <c r="D1358" s="3" t="s">
        <v>5723</v>
      </c>
      <c r="E1358" s="3" t="s">
        <v>5724</v>
      </c>
      <c r="F1358" s="3" t="s">
        <v>5725</v>
      </c>
      <c r="G1358" s="3" t="str">
        <f ca="1">IFERROR(__xludf.DUMMYFUNCTION("googletranslate(D1358,""en"",""ja"")"),"尿酸一ナトリウム結晶;尿酸ナトリウム結晶")</f>
        <v>尿酸一ナトリウム結晶;尿酸ナトリウム結晶</v>
      </c>
      <c r="H1358" s="3" t="str">
        <f ca="1">IFERROR(__xludf.DUMMYFUNCTION("googletranslate(E1358,""en"",""ja"")"),"生物標本中に存在する尿酸ナトリウム結晶の測定。")</f>
        <v>生物標本中に存在する尿酸ナトリウム結晶の測定。</v>
      </c>
      <c r="I1358" s="3" t="str">
        <f ca="1">IFERROR(__xludf.DUMMYFUNCTION("googletranslate(F1358,""en"",""ja"")"),"尿酸一ナトリウム結晶の測定")</f>
        <v>尿酸一ナトリウム結晶の測定</v>
      </c>
    </row>
    <row r="1359" spans="1:9" ht="30">
      <c r="A1359" s="3" t="s">
        <v>6</v>
      </c>
      <c r="B1359" s="3" t="s">
        <v>5726</v>
      </c>
      <c r="C1359" s="3" t="s">
        <v>5727</v>
      </c>
      <c r="D1359" s="3" t="s">
        <v>5727</v>
      </c>
      <c r="E1359" s="3" t="s">
        <v>5728</v>
      </c>
      <c r="F1359" s="3" t="s">
        <v>5729</v>
      </c>
      <c r="G1359" s="3" t="str">
        <f ca="1">IFERROR(__xludf.DUMMYFUNCTION("googletranslate(D1359,""en"",""ja"")"),"シトクロム P450 2A6")</f>
        <v>シトクロム P450 2A6</v>
      </c>
      <c r="H1359" s="3" t="str">
        <f ca="1">IFERROR(__xludf.DUMMYFUNCTION("googletranslate(E1359,""en"",""ja"")"),"検体中のチトクロム P450 2A6 酵素の測定。")</f>
        <v>検体中のチトクロム P450 2A6 酵素の測定。</v>
      </c>
      <c r="I1359" s="3" t="str">
        <f ca="1">IFERROR(__xludf.DUMMYFUNCTION("googletranslate(F1359,""en"",""ja"")"),"シトクロム P450 2A6 測定")</f>
        <v>シトクロム P450 2A6 測定</v>
      </c>
    </row>
    <row r="1360" spans="1:9" ht="30">
      <c r="A1360" s="3" t="s">
        <v>6</v>
      </c>
      <c r="B1360" s="3" t="s">
        <v>5730</v>
      </c>
      <c r="C1360" s="3" t="s">
        <v>5731</v>
      </c>
      <c r="D1360" s="3" t="s">
        <v>5731</v>
      </c>
      <c r="E1360" s="3" t="s">
        <v>5732</v>
      </c>
      <c r="F1360" s="3" t="s">
        <v>5733</v>
      </c>
      <c r="G1360" s="3" t="str">
        <f ca="1">IFERROR(__xludf.DUMMYFUNCTION("googletranslate(D1360,""en"",""ja"")"),"シトクロム P450 2C9")</f>
        <v>シトクロム P450 2C9</v>
      </c>
      <c r="H1360" s="3" t="str">
        <f ca="1">IFERROR(__xludf.DUMMYFUNCTION("googletranslate(E1360,""en"",""ja"")"),"生物学的標本中のシトクロム P450 2C9 酵素の測定。")</f>
        <v>生物学的標本中のシトクロム P450 2C9 酵素の測定。</v>
      </c>
      <c r="I1360" s="3" t="str">
        <f ca="1">IFERROR(__xludf.DUMMYFUNCTION("googletranslate(F1360,""en"",""ja"")"),"チトクロム P450 2C9 測定")</f>
        <v>チトクロム P450 2C9 測定</v>
      </c>
    </row>
    <row r="1361" spans="1:9" ht="30">
      <c r="A1361" s="3" t="s">
        <v>6</v>
      </c>
      <c r="B1361" s="3" t="s">
        <v>5734</v>
      </c>
      <c r="C1361" s="3" t="s">
        <v>5735</v>
      </c>
      <c r="D1361" s="3" t="s">
        <v>5735</v>
      </c>
      <c r="E1361" s="3" t="s">
        <v>5736</v>
      </c>
      <c r="F1361" s="3" t="s">
        <v>5737</v>
      </c>
      <c r="G1361" s="3" t="str">
        <f ca="1">IFERROR(__xludf.DUMMYFUNCTION("googletranslate(D1361,""en"",""ja"")"),"リン酸塩結晶")</f>
        <v>リン酸塩結晶</v>
      </c>
      <c r="H1361" s="3" t="str">
        <f ca="1">IFERROR(__xludf.DUMMYFUNCTION("googletranslate(E1361,""en"",""ja"")"),"生物学的標本中の総リン酸塩結晶の測定。")</f>
        <v>生物学的標本中の総リン酸塩結晶の測定。</v>
      </c>
      <c r="I1361" s="3" t="str">
        <f ca="1">IFERROR(__xludf.DUMMYFUNCTION("googletranslate(F1361,""en"",""ja"")"),"リン酸塩結晶の測定")</f>
        <v>リン酸塩結晶の測定</v>
      </c>
    </row>
    <row r="1362" spans="1:9" ht="45">
      <c r="A1362" s="3" t="s">
        <v>6</v>
      </c>
      <c r="B1362" s="3" t="s">
        <v>5738</v>
      </c>
      <c r="C1362" s="3" t="s">
        <v>5739</v>
      </c>
      <c r="D1362" s="3" t="s">
        <v>5739</v>
      </c>
      <c r="E1362" s="3" t="s">
        <v>5740</v>
      </c>
      <c r="F1362" s="3" t="s">
        <v>5741</v>
      </c>
      <c r="G1362" s="3" t="str">
        <f ca="1">IFERROR(__xludf.DUMMYFUNCTION("googletranslate(D1362,""en"",""ja"")"),"シスタチンC/クレアチニン")</f>
        <v>シスタチンC/クレアチニン</v>
      </c>
      <c r="H1362" s="3" t="str">
        <f ca="1">IFERROR(__xludf.DUMMYFUNCTION("googletranslate(E1362,""en"",""ja"")"),"サンプル中に存在するクレアチニンに対するシスタチン C の相対測定値 (比率またはパーセンテージ)。")</f>
        <v>サンプル中に存在するクレアチニンに対するシスタチン C の相対測定値 (比率またはパーセンテージ)。</v>
      </c>
      <c r="I1362" s="3" t="str">
        <f ca="1">IFERROR(__xludf.DUMMYFUNCTION("googletranslate(F1362,""en"",""ja"")"),"シスタチンCとクレアチニンの比率の測定")</f>
        <v>シスタチンCとクレアチニンの比率の測定</v>
      </c>
    </row>
    <row r="1363" spans="1:9" ht="30">
      <c r="A1363" s="3" t="s">
        <v>6</v>
      </c>
      <c r="B1363" s="3" t="s">
        <v>5742</v>
      </c>
      <c r="C1363" s="3" t="s">
        <v>5743</v>
      </c>
      <c r="D1363" s="3" t="s">
        <v>5744</v>
      </c>
      <c r="E1363" s="3" t="s">
        <v>5745</v>
      </c>
      <c r="F1363" s="3" t="s">
        <v>5746</v>
      </c>
      <c r="G1363" s="3" t="str">
        <f ca="1">IFERROR(__xludf.DUMMYFUNCTION("googletranslate(D1363,""en"",""ja"")"),"CysLTR1;システイニルロイコトリエン受容体 1")</f>
        <v>CysLTR1;システイニルロイコトリエン受容体 1</v>
      </c>
      <c r="H1363" s="3" t="str">
        <f ca="1">IFERROR(__xludf.DUMMYFUNCTION("googletranslate(E1363,""en"",""ja"")"),"生体試料中のシステイニルロイコトリエン受容体 1 の測定。")</f>
        <v>生体試料中のシステイニルロイコトリエン受容体 1 の測定。</v>
      </c>
      <c r="I1363" s="3" t="str">
        <f ca="1">IFERROR(__xludf.DUMMYFUNCTION("googletranslate(F1363,""en"",""ja"")"),"システイニルロイコトリエン受容体 1 の測定")</f>
        <v>システイニルロイコトリエン受容体 1 の測定</v>
      </c>
    </row>
    <row r="1364" spans="1:9" ht="30">
      <c r="A1364" s="3" t="s">
        <v>6</v>
      </c>
      <c r="B1364" s="3" t="s">
        <v>5747</v>
      </c>
      <c r="C1364" s="3" t="s">
        <v>5748</v>
      </c>
      <c r="D1364" s="3" t="s">
        <v>5749</v>
      </c>
      <c r="E1364" s="3" t="s">
        <v>5750</v>
      </c>
      <c r="F1364" s="3" t="s">
        <v>5751</v>
      </c>
      <c r="G1364" s="3" t="str">
        <f ca="1">IFERROR(__xludf.DUMMYFUNCTION("googletranslate(D1364,""en"",""ja"")"),"でんぷんの結晶。でんぷん顆粒")</f>
        <v>でんぷんの結晶。でんぷん顆粒</v>
      </c>
      <c r="H1364" s="3" t="str">
        <f ca="1">IFERROR(__xludf.DUMMYFUNCTION("googletranslate(E1364,""en"",""ja"")"),"生物学的標本中のデンプン結晶の測定。")</f>
        <v>生物学的標本中のデンプン結晶の測定。</v>
      </c>
      <c r="I1364" s="3" t="str">
        <f ca="1">IFERROR(__xludf.DUMMYFUNCTION("googletranslate(F1364,""en"",""ja"")"),"でんぷん結晶の測定")</f>
        <v>でんぷん結晶の測定</v>
      </c>
    </row>
    <row r="1365" spans="1:9">
      <c r="A1365" s="3" t="s">
        <v>6</v>
      </c>
      <c r="B1365" s="3" t="s">
        <v>5752</v>
      </c>
      <c r="C1365" s="3" t="s">
        <v>5753</v>
      </c>
      <c r="D1365" s="3" t="s">
        <v>5754</v>
      </c>
      <c r="E1365" s="3" t="s">
        <v>5755</v>
      </c>
      <c r="F1365" s="3" t="s">
        <v>5756</v>
      </c>
      <c r="G1365" s="3" t="str">
        <f ca="1">IFERROR(__xludf.DUMMYFUNCTION("googletranslate(D1365,""en"",""ja"")"),"CPI-B;シスタチンB")</f>
        <v>CPI-B;シスタチンB</v>
      </c>
      <c r="H1365" s="3" t="str">
        <f ca="1">IFERROR(__xludf.DUMMYFUNCTION("googletranslate(E1365,""en"",""ja"")"),"生物学的標本中のシスタチン B の測定。")</f>
        <v>生物学的標本中のシスタチン B の測定。</v>
      </c>
      <c r="I1365" s="3" t="str">
        <f ca="1">IFERROR(__xludf.DUMMYFUNCTION("googletranslate(F1365,""en"",""ja"")"),"シスタチンBの測定")</f>
        <v>シスタチンBの測定</v>
      </c>
    </row>
    <row r="1366" spans="1:9">
      <c r="A1366" s="3" t="s">
        <v>6</v>
      </c>
      <c r="B1366" s="3" t="s">
        <v>5757</v>
      </c>
      <c r="C1366" s="3" t="s">
        <v>5758</v>
      </c>
      <c r="D1366" s="3" t="s">
        <v>5758</v>
      </c>
      <c r="E1366" s="3" t="s">
        <v>5759</v>
      </c>
      <c r="F1366" s="3" t="s">
        <v>5760</v>
      </c>
      <c r="G1366" s="3" t="str">
        <f ca="1">IFERROR(__xludf.DUMMYFUNCTION("googletranslate(D1366,""en"",""ja"")"),"シスタチンC")</f>
        <v>シスタチンC</v>
      </c>
      <c r="H1366" s="3" t="str">
        <f ca="1">IFERROR(__xludf.DUMMYFUNCTION("googletranslate(E1366,""en"",""ja"")"),"生物学的標本中のシスタチン C の測定。")</f>
        <v>生物学的標本中のシスタチン C の測定。</v>
      </c>
      <c r="I1366" s="3" t="str">
        <f ca="1">IFERROR(__xludf.DUMMYFUNCTION("googletranslate(F1366,""en"",""ja"")"),"シスタチンCの測定")</f>
        <v>シスタチンCの測定</v>
      </c>
    </row>
    <row r="1367" spans="1:9">
      <c r="A1367" s="3" t="s">
        <v>6</v>
      </c>
      <c r="B1367" s="3" t="s">
        <v>5761</v>
      </c>
      <c r="C1367" s="3" t="s">
        <v>5762</v>
      </c>
      <c r="D1367" s="3" t="s">
        <v>5762</v>
      </c>
      <c r="E1367" s="3" t="s">
        <v>5763</v>
      </c>
      <c r="F1367" s="3" t="s">
        <v>5764</v>
      </c>
      <c r="G1367" s="3" t="str">
        <f ca="1">IFERROR(__xludf.DUMMYFUNCTION("googletranslate(D1367,""en"",""ja"")"),"システイン")</f>
        <v>システイン</v>
      </c>
      <c r="H1367" s="3" t="str">
        <f ca="1">IFERROR(__xludf.DUMMYFUNCTION("googletranslate(E1367,""en"",""ja"")"),"生物学的標本中のシステインの測定。")</f>
        <v>生物学的標本中のシステインの測定。</v>
      </c>
      <c r="I1367" s="3" t="str">
        <f ca="1">IFERROR(__xludf.DUMMYFUNCTION("googletranslate(F1367,""en"",""ja"")"),"システイン測定")</f>
        <v>システイン測定</v>
      </c>
    </row>
    <row r="1368" spans="1:9">
      <c r="A1368" s="3" t="s">
        <v>6</v>
      </c>
      <c r="B1368" s="3" t="s">
        <v>5765</v>
      </c>
      <c r="C1368" s="3" t="s">
        <v>5766</v>
      </c>
      <c r="D1368" s="3" t="s">
        <v>5766</v>
      </c>
      <c r="E1368" s="3" t="s">
        <v>5767</v>
      </c>
      <c r="F1368" s="3" t="s">
        <v>5768</v>
      </c>
      <c r="G1368" s="3" t="str">
        <f ca="1">IFERROR(__xludf.DUMMYFUNCTION("googletranslate(D1368,""en"",""ja"")"),"シスタチオニン")</f>
        <v>シスタチオニン</v>
      </c>
      <c r="H1368" s="3" t="str">
        <f ca="1">IFERROR(__xludf.DUMMYFUNCTION("googletranslate(E1368,""en"",""ja"")"),"生物学的標本中のシスタチオニンの測定。")</f>
        <v>生物学的標本中のシスタチオニンの測定。</v>
      </c>
      <c r="I1368" s="3" t="str">
        <f ca="1">IFERROR(__xludf.DUMMYFUNCTION("googletranslate(F1368,""en"",""ja"")"),"シスタチオニンの測定")</f>
        <v>シスタチオニンの測定</v>
      </c>
    </row>
    <row r="1369" spans="1:9">
      <c r="A1369" s="3" t="s">
        <v>6</v>
      </c>
      <c r="B1369" s="3" t="s">
        <v>5769</v>
      </c>
      <c r="C1369" s="3" t="s">
        <v>5770</v>
      </c>
      <c r="D1369" s="3" t="s">
        <v>5770</v>
      </c>
      <c r="E1369" s="3" t="s">
        <v>5771</v>
      </c>
      <c r="F1369" s="3" t="s">
        <v>5772</v>
      </c>
      <c r="G1369" s="3" t="str">
        <f ca="1">IFERROR(__xludf.DUMMYFUNCTION("googletranslate(D1369,""en"",""ja"")"),"シスチン")</f>
        <v>シスチン</v>
      </c>
      <c r="H1369" s="3" t="str">
        <f ca="1">IFERROR(__xludf.DUMMYFUNCTION("googletranslate(E1369,""en"",""ja"")"),"生物学的標本中のシスチンの測定。")</f>
        <v>生物学的標本中のシスチンの測定。</v>
      </c>
      <c r="I1369" s="3" t="str">
        <f ca="1">IFERROR(__xludf.DUMMYFUNCTION("googletranslate(F1369,""en"",""ja"")"),"シスチン測定")</f>
        <v>シスチン測定</v>
      </c>
    </row>
    <row r="1370" spans="1:9" ht="30">
      <c r="A1370" s="3" t="s">
        <v>6</v>
      </c>
      <c r="B1370" s="3" t="s">
        <v>5773</v>
      </c>
      <c r="C1370" s="3" t="s">
        <v>5774</v>
      </c>
      <c r="D1370" s="3" t="s">
        <v>5775</v>
      </c>
      <c r="E1370" s="3" t="s">
        <v>5776</v>
      </c>
      <c r="F1370" s="3" t="s">
        <v>5777</v>
      </c>
      <c r="G1370" s="3" t="str">
        <f ca="1">IFERROR(__xludf.DUMMYFUNCTION("googletranslate(D1370,""en"",""ja"")"),"サルファ結晶;スルホンアミド結晶")</f>
        <v>サルファ結晶;スルホンアミド結晶</v>
      </c>
      <c r="H1370" s="3" t="str">
        <f ca="1">IFERROR(__xludf.DUMMYFUNCTION("googletranslate(E1370,""en"",""ja"")"),"生物標本中に存在するサルファ結晶の測定。")</f>
        <v>生物標本中に存在するサルファ結晶の測定。</v>
      </c>
      <c r="I1370" s="3" t="str">
        <f ca="1">IFERROR(__xludf.DUMMYFUNCTION("googletranslate(F1370,""en"",""ja"")"),"サルファ結晶の測定")</f>
        <v>サルファ結晶の測定</v>
      </c>
    </row>
    <row r="1371" spans="1:9" ht="45">
      <c r="A1371" s="3" t="s">
        <v>6</v>
      </c>
      <c r="B1371" s="3" t="s">
        <v>5778</v>
      </c>
      <c r="C1371" s="3" t="s">
        <v>5779</v>
      </c>
      <c r="D1371" s="3" t="s">
        <v>5780</v>
      </c>
      <c r="E1371" s="3" t="s">
        <v>5781</v>
      </c>
      <c r="F1371" s="3" t="s">
        <v>5782</v>
      </c>
      <c r="G1371" s="3" t="str">
        <f ca="1">IFERROR(__xludf.DUMMYFUNCTION("googletranslate(D1371,""en"",""ja"")"),"リン酸アンモニウムマグネシウム結晶。ストルバイト結晶。三重リン酸塩結晶")</f>
        <v>リン酸アンモニウムマグネシウム結晶。ストルバイト結晶。三重リン酸塩結晶</v>
      </c>
      <c r="H1371" s="3" t="str">
        <f ca="1">IFERROR(__xludf.DUMMYFUNCTION("googletranslate(E1371,""en"",""ja"")"),"生物学的標本中に存在する三重リン酸塩結晶の測定。")</f>
        <v>生物学的標本中に存在する三重リン酸塩結晶の測定。</v>
      </c>
      <c r="I1371" s="3" t="str">
        <f ca="1">IFERROR(__xludf.DUMMYFUNCTION("googletranslate(F1371,""en"",""ja"")"),"三価リン酸塩結晶の測定")</f>
        <v>三価リン酸塩結晶の測定</v>
      </c>
    </row>
    <row r="1372" spans="1:9" ht="30">
      <c r="A1372" s="3" t="s">
        <v>6</v>
      </c>
      <c r="B1372" s="3" t="s">
        <v>5783</v>
      </c>
      <c r="C1372" s="3" t="s">
        <v>5784</v>
      </c>
      <c r="D1372" s="3" t="s">
        <v>5784</v>
      </c>
      <c r="E1372" s="3" t="s">
        <v>5785</v>
      </c>
      <c r="F1372" s="3" t="s">
        <v>5786</v>
      </c>
      <c r="G1372" s="3" t="str">
        <f ca="1">IFERROR(__xludf.DUMMYFUNCTION("googletranslate(D1372,""en"",""ja"")"),"チロシン結晶")</f>
        <v>チロシン結晶</v>
      </c>
      <c r="H1372" s="3" t="str">
        <f ca="1">IFERROR(__xludf.DUMMYFUNCTION("googletranslate(E1372,""en"",""ja"")"),"生物標本中に存在するチロシン結晶の測定。")</f>
        <v>生物標本中に存在するチロシン結晶の測定。</v>
      </c>
      <c r="I1372" s="3" t="str">
        <f ca="1">IFERROR(__xludf.DUMMYFUNCTION("googletranslate(F1372,""en"",""ja"")"),"チロシン結晶の測定")</f>
        <v>チロシン結晶の測定</v>
      </c>
    </row>
    <row r="1373" spans="1:9" ht="30">
      <c r="A1373" s="3" t="s">
        <v>6</v>
      </c>
      <c r="B1373" s="3" t="s">
        <v>5787</v>
      </c>
      <c r="C1373" s="3" t="s">
        <v>5788</v>
      </c>
      <c r="D1373" s="3" t="s">
        <v>5788</v>
      </c>
      <c r="E1373" s="3" t="s">
        <v>5789</v>
      </c>
      <c r="F1373" s="3" t="s">
        <v>5790</v>
      </c>
      <c r="G1373" s="3" t="str">
        <f ca="1">IFERROR(__xludf.DUMMYFUNCTION("googletranslate(D1373,""en"",""ja"")"),"未分類の結晶")</f>
        <v>未分類の結晶</v>
      </c>
      <c r="H1373" s="3" t="str">
        <f ca="1">IFERROR(__xludf.DUMMYFUNCTION("googletranslate(E1373,""en"",""ja"")"),"生物学的標本中に存在する分類できない結晶の測定。")</f>
        <v>生物学的標本中に存在する分類できない結晶の測定。</v>
      </c>
      <c r="I1373" s="3" t="str">
        <f ca="1">IFERROR(__xludf.DUMMYFUNCTION("googletranslate(F1373,""en"",""ja"")"),"未分類の結晶測定")</f>
        <v>未分類の結晶測定</v>
      </c>
    </row>
    <row r="1374" spans="1:9" ht="30">
      <c r="A1374" s="3" t="s">
        <v>6</v>
      </c>
      <c r="B1374" s="3" t="s">
        <v>5791</v>
      </c>
      <c r="C1374" s="3" t="s">
        <v>5792</v>
      </c>
      <c r="D1374" s="3" t="s">
        <v>5792</v>
      </c>
      <c r="E1374" s="3" t="s">
        <v>5793</v>
      </c>
      <c r="F1374" s="3" t="s">
        <v>5794</v>
      </c>
      <c r="G1374" s="3" t="str">
        <f ca="1">IFERROR(__xludf.DUMMYFUNCTION("googletranslate(D1374,""en"",""ja"")"),"尿酸結晶")</f>
        <v>尿酸結晶</v>
      </c>
      <c r="H1374" s="3" t="str">
        <f ca="1">IFERROR(__xludf.DUMMYFUNCTION("googletranslate(E1374,""en"",""ja"")"),"生物学的検体中に存在する尿酸結晶（酸性尿酸塩および尿酸塩結晶を含む）の測定。")</f>
        <v>生物学的検体中に存在する尿酸結晶（酸性尿酸塩および尿酸塩結晶を含む）の測定。</v>
      </c>
      <c r="I1374" s="3" t="str">
        <f ca="1">IFERROR(__xludf.DUMMYFUNCTION("googletranslate(F1374,""en"",""ja"")"),"尿酸結晶測定")</f>
        <v>尿酸結晶測定</v>
      </c>
    </row>
    <row r="1375" spans="1:9" ht="30">
      <c r="A1375" s="3" t="s">
        <v>185</v>
      </c>
      <c r="B1375" s="3" t="s">
        <v>5795</v>
      </c>
      <c r="C1375" s="3" t="s">
        <v>5796</v>
      </c>
      <c r="D1375" s="3" t="s">
        <v>5796</v>
      </c>
      <c r="E1375" s="3" t="s">
        <v>5797</v>
      </c>
      <c r="F1375" s="3" t="s">
        <v>5798</v>
      </c>
      <c r="G1375" s="3" t="str">
        <f ca="1">IFERROR(__xludf.DUMMYFUNCTION("googletranslate(D1375,""en"",""ja"")"),"食事のアルファカロテン")</f>
        <v>食事のアルファカロテン</v>
      </c>
      <c r="H1375" s="3" t="str">
        <f ca="1">IFERROR(__xludf.DUMMYFUNCTION("googletranslate(E1375,""en"",""ja"")"),"栄養製品または食事、またはその一部に含まれるアルファカロテンの測定。")</f>
        <v>栄養製品または食事、またはその一部に含まれるアルファカロテンの測定。</v>
      </c>
      <c r="I1375" s="3" t="str">
        <f ca="1">IFERROR(__xludf.DUMMYFUNCTION("googletranslate(F1375,""en"",""ja"")"),"食事によるアルファカロテンの測定")</f>
        <v>食事によるアルファカロテンの測定</v>
      </c>
    </row>
    <row r="1376" spans="1:9">
      <c r="A1376" s="3" t="s">
        <v>51</v>
      </c>
      <c r="B1376" s="3" t="s">
        <v>5799</v>
      </c>
      <c r="C1376" s="3" t="s">
        <v>5800</v>
      </c>
      <c r="D1376" s="3" t="s">
        <v>5800</v>
      </c>
      <c r="E1376" s="3" t="s">
        <v>5801</v>
      </c>
      <c r="F1376" s="3" t="s">
        <v>5802</v>
      </c>
      <c r="G1376" s="3" t="str">
        <f ca="1">IFERROR(__xludf.DUMMYFUNCTION("googletranslate(D1376,""en"",""ja"")"),"ジアセチル")</f>
        <v>ジアセチル</v>
      </c>
      <c r="H1376" s="3" t="str">
        <f ca="1">IFERROR(__xludf.DUMMYFUNCTION("googletranslate(E1376,""en"",""ja"")"),"試料中のジアセチルの測定。")</f>
        <v>試料中のジアセチルの測定。</v>
      </c>
      <c r="I1376" s="3" t="str">
        <f ca="1">IFERROR(__xludf.DUMMYFUNCTION("googletranslate(F1376,""en"",""ja"")"),"ジアセチル測定")</f>
        <v>ジアセチル測定</v>
      </c>
    </row>
    <row r="1377" spans="1:9" ht="30">
      <c r="A1377" s="3" t="s">
        <v>185</v>
      </c>
      <c r="B1377" s="3" t="s">
        <v>5803</v>
      </c>
      <c r="C1377" s="3" t="s">
        <v>5804</v>
      </c>
      <c r="D1377" s="3" t="s">
        <v>5804</v>
      </c>
      <c r="E1377" s="3" t="s">
        <v>5805</v>
      </c>
      <c r="F1377" s="3" t="s">
        <v>5806</v>
      </c>
      <c r="G1377" s="3" t="str">
        <f ca="1">IFERROR(__xludf.DUMMYFUNCTION("googletranslate(D1377,""en"",""ja"")"),"食物添加砂糖")</f>
        <v>食物添加砂糖</v>
      </c>
      <c r="H1377" s="3" t="str">
        <f ca="1">IFERROR(__xludf.DUMMYFUNCTION("googletranslate(E1377,""en"",""ja"")"),"栄養製品または食事、あるいはその一部に加えられた砂糖の総量の測定。")</f>
        <v>栄養製品または食事、あるいはその一部に加えられた砂糖の総量の測定。</v>
      </c>
      <c r="I1377" s="3" t="str">
        <f ca="1">IFERROR(__xludf.DUMMYFUNCTION("googletranslate(F1377,""en"",""ja"")"),"食事添加糖の測定")</f>
        <v>食事添加糖の測定</v>
      </c>
    </row>
    <row r="1378" spans="1:9" ht="45">
      <c r="A1378" s="3" t="s">
        <v>6</v>
      </c>
      <c r="B1378" s="3" t="s">
        <v>5807</v>
      </c>
      <c r="C1378" s="3" t="s">
        <v>5808</v>
      </c>
      <c r="D1378" s="3" t="s">
        <v>5809</v>
      </c>
      <c r="E1378" s="3" t="s">
        <v>5810</v>
      </c>
      <c r="F1378" s="3" t="s">
        <v>5811</v>
      </c>
      <c r="G1378" s="3" t="str">
        <f ca="1">IFERROR(__xludf.DUMMYFUNCTION("googletranslate(D1378,""en"",""ja"")"),"5-アミノレブリン酸; 5ALA;ダラ。デルタアミノレブリネート;デルタアミノレブリン酸")</f>
        <v>5-アミノレブリン酸; 5ALA;ダラ。デルタアミノレブリネート;デルタアミノレブリン酸</v>
      </c>
      <c r="H1378" s="3" t="str">
        <f ca="1">IFERROR(__xludf.DUMMYFUNCTION("googletranslate(E1378,""en"",""ja"")"),"生物学的標本中のデルタアミノレブリン酸の測定。")</f>
        <v>生物学的標本中のデルタアミノレブリン酸の測定。</v>
      </c>
      <c r="I1378" s="3" t="str">
        <f ca="1">IFERROR(__xludf.DUMMYFUNCTION("googletranslate(F1378,""en"",""ja"")"),"デルタアミノレブリネートの測定")</f>
        <v>デルタアミノレブリネートの測定</v>
      </c>
    </row>
    <row r="1379" spans="1:9" ht="45">
      <c r="A1379" s="3" t="s">
        <v>6</v>
      </c>
      <c r="B1379" s="3" t="s">
        <v>5812</v>
      </c>
      <c r="C1379" s="3" t="s">
        <v>5813</v>
      </c>
      <c r="D1379" s="3" t="s">
        <v>5813</v>
      </c>
      <c r="E1379" s="3" t="s">
        <v>5814</v>
      </c>
      <c r="F1379" s="3" t="s">
        <v>5815</v>
      </c>
      <c r="G1379" s="3" t="str">
        <f ca="1">IFERROR(__xludf.DUMMYFUNCTION("googletranslate(D1379,""en"",""ja"")"),"デルタ アミノレブリネート/クレアチニン")</f>
        <v>デルタ アミノレブリネート/クレアチニン</v>
      </c>
      <c r="H1379" s="3" t="str">
        <f ca="1">IFERROR(__xludf.DUMMYFUNCTION("googletranslate(E1379,""en"",""ja"")"),"生物学的標本におけるクレアチニンに対するデルタアミノレブリネートの相対測定値 (比率またはパーセンテージ)。")</f>
        <v>生物学的標本におけるクレアチニンに対するデルタアミノレブリネートの相対測定値 (比率またはパーセンテージ)。</v>
      </c>
      <c r="I1379" s="3" t="str">
        <f ca="1">IFERROR(__xludf.DUMMYFUNCTION("googletranslate(F1379,""en"",""ja"")"),"デルタアミノレブリネート対クレアチニン比の測定")</f>
        <v>デルタアミノレブリネート対クレアチニン比の測定</v>
      </c>
    </row>
    <row r="1380" spans="1:9" ht="30">
      <c r="A1380" s="3" t="s">
        <v>185</v>
      </c>
      <c r="B1380" s="3" t="s">
        <v>5816</v>
      </c>
      <c r="C1380" s="3" t="s">
        <v>5817</v>
      </c>
      <c r="D1380" s="3" t="s">
        <v>5818</v>
      </c>
      <c r="E1380" s="3" t="s">
        <v>5819</v>
      </c>
      <c r="F1380" s="3" t="s">
        <v>5820</v>
      </c>
      <c r="G1380" s="3" t="str">
        <f ca="1">IFERROR(__xludf.DUMMYFUNCTION("googletranslate(D1380,""en"",""ja"")"),"食用アルコール;食物エタノール")</f>
        <v>食用アルコール;食物エタノール</v>
      </c>
      <c r="H1380" s="3" t="str">
        <f ca="1">IFERROR(__xludf.DUMMYFUNCTION("googletranslate(E1380,""en"",""ja"")"),"栄養製品または食事、またはその一部に含まれるアルコールの総量の測定。")</f>
        <v>栄養製品または食事、またはその一部に含まれるアルコールの総量の測定。</v>
      </c>
      <c r="I1380" s="3" t="str">
        <f ca="1">IFERROR(__xludf.DUMMYFUNCTION("googletranslate(F1380,""en"",""ja"")"),"食事性アルコールの測定")</f>
        <v>食事性アルコールの測定</v>
      </c>
    </row>
    <row r="1381" spans="1:9" ht="45">
      <c r="A1381" s="3" t="s">
        <v>185</v>
      </c>
      <c r="B1381" s="3" t="s">
        <v>5821</v>
      </c>
      <c r="C1381" s="3" t="s">
        <v>5822</v>
      </c>
      <c r="D1381" s="3" t="s">
        <v>5823</v>
      </c>
      <c r="E1381" s="3" t="s">
        <v>5824</v>
      </c>
      <c r="F1381" s="3" t="s">
        <v>5825</v>
      </c>
      <c r="G1381" s="3" t="str">
        <f ca="1">IFERROR(__xludf.DUMMYFUNCTION("googletranslate(D1381,""en"",""ja"")"),"食物 20:4 アラキドン酸;食事 20:4 アラキドン酸;食物由来のアラキドン酸")</f>
        <v>食物 20:4 アラキドン酸;食事 20:4 アラキドン酸;食物由来のアラキドン酸</v>
      </c>
      <c r="H1381" s="3" t="str">
        <f ca="1">IFERROR(__xludf.DUMMYFUNCTION("googletranslate(E1381,""en"",""ja"")"),"栄養製品または食事、あるいはその一部に含まれる 20:4 アラキドン酸の合計の測定。")</f>
        <v>栄養製品または食事、あるいはその一部に含まれる 20:4 アラキドン酸の合計の測定。</v>
      </c>
      <c r="I1381" s="3" t="str">
        <f ca="1">IFERROR(__xludf.DUMMYFUNCTION("googletranslate(F1381,""en"",""ja"")"),"食事中のアラキドン酸の測定")</f>
        <v>食事中のアラキドン酸の測定</v>
      </c>
    </row>
    <row r="1382" spans="1:9" ht="30">
      <c r="A1382" s="3" t="s">
        <v>185</v>
      </c>
      <c r="B1382" s="3" t="s">
        <v>5826</v>
      </c>
      <c r="C1382" s="3" t="s">
        <v>5827</v>
      </c>
      <c r="D1382" s="3" t="s">
        <v>5827</v>
      </c>
      <c r="E1382" s="3" t="s">
        <v>5828</v>
      </c>
      <c r="F1382" s="3" t="s">
        <v>5829</v>
      </c>
      <c r="G1382" s="3" t="str">
        <f ca="1">IFERROR(__xludf.DUMMYFUNCTION("googletranslate(D1382,""en"",""ja"")"),"食事性アルファトコフェロール")</f>
        <v>食事性アルファトコフェロール</v>
      </c>
      <c r="H1382" s="3" t="str">
        <f ca="1">IFERROR(__xludf.DUMMYFUNCTION("googletranslate(E1382,""en"",""ja"")"),"栄養製品または食事、あるいはその一部に含まれるαトコフェロールの測定。")</f>
        <v>栄養製品または食事、あるいはその一部に含まれるαトコフェロールの測定。</v>
      </c>
      <c r="I1382" s="3" t="str">
        <f ca="1">IFERROR(__xludf.DUMMYFUNCTION("googletranslate(F1382,""en"",""ja"")"),"食事によるアルファトコフェロールの測定")</f>
        <v>食事によるアルファトコフェロールの測定</v>
      </c>
    </row>
    <row r="1383" spans="1:9" ht="30">
      <c r="A1383" s="3" t="s">
        <v>185</v>
      </c>
      <c r="B1383" s="3" t="s">
        <v>5830</v>
      </c>
      <c r="C1383" s="3" t="s">
        <v>5831</v>
      </c>
      <c r="D1383" s="3" t="s">
        <v>5831</v>
      </c>
      <c r="E1383" s="3" t="s">
        <v>5832</v>
      </c>
      <c r="F1383" s="3" t="s">
        <v>5833</v>
      </c>
      <c r="G1383" s="3" t="str">
        <f ca="1">IFERROR(__xludf.DUMMYFUNCTION("googletranslate(D1383,""en"",""ja"")"),"食物添加ビタミンB12")</f>
        <v>食物添加ビタミンB12</v>
      </c>
      <c r="H1383" s="3" t="str">
        <f ca="1">IFERROR(__xludf.DUMMYFUNCTION("googletranslate(E1383,""en"",""ja"")"),"栄養製品または食事、またはその一部に添加されたビタミン B12 の総量の測定。")</f>
        <v>栄養製品または食事、またはその一部に添加されたビタミン B12 の総量の測定。</v>
      </c>
      <c r="I1383" s="3" t="str">
        <f ca="1">IFERROR(__xludf.DUMMYFUNCTION("googletranslate(F1383,""en"",""ja"")"),"食事添加ビタミンB12の測定")</f>
        <v>食事添加ビタミンB12の測定</v>
      </c>
    </row>
    <row r="1384" spans="1:9" ht="30">
      <c r="A1384" s="3" t="s">
        <v>185</v>
      </c>
      <c r="B1384" s="3" t="s">
        <v>5834</v>
      </c>
      <c r="C1384" s="3" t="s">
        <v>5835</v>
      </c>
      <c r="D1384" s="3" t="s">
        <v>5835</v>
      </c>
      <c r="E1384" s="3" t="s">
        <v>5836</v>
      </c>
      <c r="F1384" s="3" t="s">
        <v>5837</v>
      </c>
      <c r="G1384" s="3" t="str">
        <f ca="1">IFERROR(__xludf.DUMMYFUNCTION("googletranslate(D1384,""en"",""ja"")"),"食物添加ビタミンE")</f>
        <v>食物添加ビタミンE</v>
      </c>
      <c r="H1384" s="3" t="str">
        <f ca="1">IFERROR(__xludf.DUMMYFUNCTION("googletranslate(E1384,""en"",""ja"")"),"栄養製品または食事、またはその一部に添加されたビタミン E の総量の測定。")</f>
        <v>栄養製品または食事、またはその一部に添加されたビタミン E の総量の測定。</v>
      </c>
      <c r="I1384" s="3" t="str">
        <f ca="1">IFERROR(__xludf.DUMMYFUNCTION("googletranslate(F1384,""en"",""ja"")"),"食事添加ビタミンEの測定")</f>
        <v>食事添加ビタミンEの測定</v>
      </c>
    </row>
    <row r="1385" spans="1:9" ht="30">
      <c r="A1385" s="3" t="s">
        <v>503</v>
      </c>
      <c r="B1385" s="3" t="s">
        <v>5838</v>
      </c>
      <c r="C1385" s="3" t="s">
        <v>5839</v>
      </c>
      <c r="D1385" s="3" t="s">
        <v>5840</v>
      </c>
      <c r="E1385" s="3" t="s">
        <v>5841</v>
      </c>
      <c r="F1385" s="3" t="s">
        <v>5842</v>
      </c>
      <c r="G1385" s="3" t="str">
        <f ca="1">IFERROR(__xludf.DUMMYFUNCTION("googletranslate(D1385,""en"",""ja"")"),"デイケアインジケーター;保育指標")</f>
        <v>デイケアインジケーター;保育指標</v>
      </c>
      <c r="H1385" s="3" t="str">
        <f ca="1">IFERROR(__xludf.DUMMYFUNCTION("googletranslate(E1385,""en"",""ja"")"),"個人がデイケア施設に登録されているかどうかに関する指標。")</f>
        <v>個人がデイケア施設に登録されているかどうかに関する指標。</v>
      </c>
      <c r="I1385" s="3" t="str">
        <f ca="1">IFERROR(__xludf.DUMMYFUNCTION("googletranslate(F1385,""en"",""ja"")"),"保育所への登録指標")</f>
        <v>保育所への登録指標</v>
      </c>
    </row>
    <row r="1386" spans="1:9" ht="30">
      <c r="A1386" s="3" t="s">
        <v>185</v>
      </c>
      <c r="B1386" s="3" t="s">
        <v>5843</v>
      </c>
      <c r="C1386" s="3" t="s">
        <v>5844</v>
      </c>
      <c r="D1386" s="3" t="s">
        <v>5844</v>
      </c>
      <c r="E1386" s="3" t="s">
        <v>5845</v>
      </c>
      <c r="F1386" s="3" t="s">
        <v>5846</v>
      </c>
      <c r="G1386" s="3" t="str">
        <f ca="1">IFERROR(__xludf.DUMMYFUNCTION("googletranslate(D1386,""en"",""ja"")"),"食事のベータカロテン")</f>
        <v>食事のベータカロテン</v>
      </c>
      <c r="H1386" s="3" t="str">
        <f ca="1">IFERROR(__xludf.DUMMYFUNCTION("googletranslate(E1386,""en"",""ja"")"),"栄養製品または食事、またはその一部に含まれるベータカロテンの測定。")</f>
        <v>栄養製品または食事、またはその一部に含まれるベータカロテンの測定。</v>
      </c>
      <c r="I1386" s="3" t="str">
        <f ca="1">IFERROR(__xludf.DUMMYFUNCTION("googletranslate(F1386,""en"",""ja"")"),"食事中のベータカロテン測定")</f>
        <v>食事中のベータカロテン測定</v>
      </c>
    </row>
    <row r="1387" spans="1:9" ht="30">
      <c r="A1387" s="3" t="s">
        <v>185</v>
      </c>
      <c r="B1387" s="3" t="s">
        <v>5847</v>
      </c>
      <c r="C1387" s="3" t="s">
        <v>5848</v>
      </c>
      <c r="D1387" s="3" t="s">
        <v>5848</v>
      </c>
      <c r="E1387" s="3" t="s">
        <v>5849</v>
      </c>
      <c r="F1387" s="3" t="s">
        <v>5850</v>
      </c>
      <c r="G1387" s="3" t="str">
        <f ca="1">IFERROR(__xludf.DUMMYFUNCTION("googletranslate(D1387,""en"",""ja"")"),"食事用の豆とエンドウ豆")</f>
        <v>食事用の豆とエンドウ豆</v>
      </c>
      <c r="H1387" s="3" t="str">
        <f ca="1">IFERROR(__xludf.DUMMYFUNCTION("googletranslate(E1387,""en"",""ja"")"),"栄養製品または食事、またはその一部に含まれる豆とエンドウ豆の合計の測定。")</f>
        <v>栄養製品または食事、またはその一部に含まれる豆とエンドウ豆の合計の測定。</v>
      </c>
      <c r="I1387" s="3" t="str">
        <f ca="1">IFERROR(__xludf.DUMMYFUNCTION("googletranslate(F1387,""en"",""ja"")"),"食事用の豆とエンドウ豆の測定")</f>
        <v>食事用の豆とエンドウ豆の測定</v>
      </c>
    </row>
    <row r="1388" spans="1:9" ht="30">
      <c r="A1388" s="3" t="s">
        <v>1557</v>
      </c>
      <c r="B1388" s="3" t="s">
        <v>5851</v>
      </c>
      <c r="C1388" s="3" t="s">
        <v>5852</v>
      </c>
      <c r="D1388" s="3" t="s">
        <v>5852</v>
      </c>
      <c r="E1388" s="3" t="s">
        <v>5853</v>
      </c>
      <c r="F1388" s="3" t="s">
        <v>5852</v>
      </c>
      <c r="G1388" s="3" t="str">
        <f ca="1">IFERROR(__xludf.DUMMYFUNCTION("googletranslate(D1388,""en"",""ja"")"),"糖尿病黄斑浮腫グレード")</f>
        <v>糖尿病黄斑浮腫グレード</v>
      </c>
      <c r="H1388" s="3" t="str">
        <f ca="1">IFERROR(__xludf.DUMMYFUNCTION("googletranslate(E1388,""en"",""ja"")"),"糖尿病性黄斑浮腫を評価するためのスケール上の位置。")</f>
        <v>糖尿病性黄斑浮腫を評価するためのスケール上の位置。</v>
      </c>
      <c r="I1388" s="3" t="str">
        <f ca="1">IFERROR(__xludf.DUMMYFUNCTION("googletranslate(F1388,""en"",""ja"")"),"糖尿病黄斑浮腫グレード")</f>
        <v>糖尿病黄斑浮腫グレード</v>
      </c>
    </row>
    <row r="1389" spans="1:9" ht="60">
      <c r="A1389" s="3" t="s">
        <v>118</v>
      </c>
      <c r="B1389" s="3" t="s">
        <v>5854</v>
      </c>
      <c r="C1389" s="3" t="s">
        <v>5855</v>
      </c>
      <c r="D1389" s="3" t="s">
        <v>5856</v>
      </c>
      <c r="E1389" s="3" t="s">
        <v>5857</v>
      </c>
      <c r="F1389" s="3" t="s">
        <v>5858</v>
      </c>
      <c r="G1389" s="3" t="str">
        <f ca="1">IFERROR(__xludf.DUMMYFUNCTION("googletranslate(D1389,""en"",""ja"")"),"年齢に対する拡張期血圧のパーセンタイル。年齢に対する拡張期血圧のパーセンタイル")</f>
        <v>年齢に対する拡張期血圧のパーセンタイル。年齢に対する拡張期血圧のパーセンタイル</v>
      </c>
      <c r="H1389" s="3" t="str">
        <f ca="1">IFERROR(__xludf.DUMMYFUNCTION("googletranslate(E1389,""en"",""ja"")"),"個人の拡張期血圧および年齢と参照集団の拡張期血圧および年齢との関係を評価したもので、パーセンタイルで表されます。")</f>
        <v>個人の拡張期血圧および年齢と参照集団の拡張期血圧および年齢との関係を評価したもので、パーセンタイルで表されます。</v>
      </c>
      <c r="I1389" s="3" t="str">
        <f ca="1">IFERROR(__xludf.DUMMYFUNCTION("googletranslate(F1389,""en"",""ja"")"),"年齢に対する拡張期血圧のパーセンタイル")</f>
        <v>年齢に対する拡張期血圧のパーセンタイル</v>
      </c>
    </row>
    <row r="1390" spans="1:9" ht="60">
      <c r="A1390" s="3" t="s">
        <v>118</v>
      </c>
      <c r="B1390" s="3" t="s">
        <v>5859</v>
      </c>
      <c r="C1390" s="3" t="s">
        <v>5860</v>
      </c>
      <c r="D1390" s="3" t="s">
        <v>5861</v>
      </c>
      <c r="E1390" s="3" t="s">
        <v>5862</v>
      </c>
      <c r="F1390" s="3" t="s">
        <v>5863</v>
      </c>
      <c r="G1390" s="3" t="str">
        <f ca="1">IFERROR(__xludf.DUMMYFUNCTION("googletranslate(D1390,""en"",""ja"")"),"身長に対する拡張期血圧のパーセンタイル。身長に対する拡張期血圧のパーセンタイル")</f>
        <v>身長に対する拡張期血圧のパーセンタイル。身長に対する拡張期血圧のパーセンタイル</v>
      </c>
      <c r="H1390" s="3" t="str">
        <f ca="1">IFERROR(__xludf.DUMMYFUNCTION("googletranslate(E1390,""en"",""ja"")"),"個人の拡張期血圧および身長と参照集団の拡張期血圧および身長との関係を評価したもので、パーセンタイルで表されます。")</f>
        <v>個人の拡張期血圧および身長と参照集団の拡張期血圧および身長との関係を評価したもので、パーセンタイルで表されます。</v>
      </c>
      <c r="I1390" s="3" t="str">
        <f ca="1">IFERROR(__xludf.DUMMYFUNCTION("googletranslate(F1390,""en"",""ja"")"),"身長に対する拡張期血圧のパーセンタイル")</f>
        <v>身長に対する拡張期血圧のパーセンタイル</v>
      </c>
    </row>
    <row r="1391" spans="1:9" ht="30">
      <c r="A1391" s="3" t="s">
        <v>1557</v>
      </c>
      <c r="B1391" s="3" t="s">
        <v>5864</v>
      </c>
      <c r="C1391" s="3" t="s">
        <v>5865</v>
      </c>
      <c r="D1391" s="3" t="s">
        <v>5865</v>
      </c>
      <c r="E1391" s="3" t="s">
        <v>5866</v>
      </c>
      <c r="F1391" s="3" t="s">
        <v>5865</v>
      </c>
      <c r="G1391" s="3" t="str">
        <f ca="1">IFERROR(__xludf.DUMMYFUNCTION("googletranslate(D1391,""en"",""ja"")"),"糖尿病網膜症のグレード")</f>
        <v>糖尿病網膜症のグレード</v>
      </c>
      <c r="H1391" s="3" t="str">
        <f ca="1">IFERROR(__xludf.DUMMYFUNCTION("googletranslate(E1391,""en"",""ja"")"),"糖尿病性網膜症を評価するためのスケール上の位置。")</f>
        <v>糖尿病性網膜症を評価するためのスケール上の位置。</v>
      </c>
      <c r="I1391" s="3" t="str">
        <f ca="1">IFERROR(__xludf.DUMMYFUNCTION("googletranslate(F1391,""en"",""ja"")"),"糖尿病網膜症のグレード")</f>
        <v>糖尿病網膜症のグレード</v>
      </c>
    </row>
    <row r="1392" spans="1:9" ht="30">
      <c r="A1392" s="3" t="s">
        <v>185</v>
      </c>
      <c r="B1392" s="3" t="s">
        <v>5867</v>
      </c>
      <c r="C1392" s="3" t="s">
        <v>5868</v>
      </c>
      <c r="D1392" s="3" t="s">
        <v>5869</v>
      </c>
      <c r="E1392" s="3" t="s">
        <v>5870</v>
      </c>
      <c r="F1392" s="3" t="s">
        <v>5871</v>
      </c>
      <c r="G1392" s="3" t="str">
        <f ca="1">IFERROR(__xludf.DUMMYFUNCTION("googletranslate(D1392,""en"",""ja"")"),"食事性 4:0 酪酸塩。食物成分 4:0 酪酸;食事性酪酸")</f>
        <v>食事性 4:0 酪酸塩。食物成分 4:0 酪酸;食事性酪酸</v>
      </c>
      <c r="H1392" s="3" t="str">
        <f ca="1">IFERROR(__xludf.DUMMYFUNCTION("googletranslate(E1392,""en"",""ja"")"),"栄養製品または食事、あるいはその一部に含まれる 4:0 酪酸の合計の測定。")</f>
        <v>栄養製品または食事、あるいはその一部に含まれる 4:0 酪酸の合計の測定。</v>
      </c>
      <c r="I1392" s="3" t="str">
        <f ca="1">IFERROR(__xludf.DUMMYFUNCTION("googletranslate(F1392,""en"",""ja"")"),"食事中の酪酸の測定")</f>
        <v>食事中の酪酸の測定</v>
      </c>
    </row>
    <row r="1393" spans="1:9" ht="60">
      <c r="A1393" s="3" t="s">
        <v>51</v>
      </c>
      <c r="B1393" s="3" t="s">
        <v>5872</v>
      </c>
      <c r="C1393" s="3" t="s">
        <v>5873</v>
      </c>
      <c r="D1393" s="3" t="s">
        <v>5874</v>
      </c>
      <c r="E1393" s="3" t="s">
        <v>5875</v>
      </c>
      <c r="F1393" s="3" t="s">
        <v>5876</v>
      </c>
      <c r="G1393" s="3" t="str">
        <f ca="1">IFERROR(__xludf.DUMMYFUNCTION("googletranslate(D1393,""en"",""ja"")"),"ジベンズ(a,e)ピレン;ジベンズ[a,e]ピレン;ジベンゾ(a,e)ピレン;ジベンゾ[a,e]ピレン")</f>
        <v>ジベンズ(a,e)ピレン;ジベンズ[a,e]ピレン;ジベンゾ(a,e)ピレン;ジベンゾ[a,e]ピレン</v>
      </c>
      <c r="H1393" s="3" t="str">
        <f ca="1">IFERROR(__xludf.DUMMYFUNCTION("googletranslate(E1393,""en"",""ja"")"),"試料中のジベンゾ[a,e]ピレンの測定。")</f>
        <v>試料中のジベンゾ[a,e]ピレンの測定。</v>
      </c>
      <c r="I1393" s="3" t="str">
        <f ca="1">IFERROR(__xludf.DUMMYFUNCTION("googletranslate(F1393,""en"",""ja"")"),"ジベンゾ[a,e]ピレンの測定")</f>
        <v>ジベンゾ[a,e]ピレンの測定</v>
      </c>
    </row>
    <row r="1394" spans="1:9" ht="60">
      <c r="A1394" s="3" t="s">
        <v>51</v>
      </c>
      <c r="B1394" s="3" t="s">
        <v>5877</v>
      </c>
      <c r="C1394" s="3" t="s">
        <v>5878</v>
      </c>
      <c r="D1394" s="3" t="s">
        <v>5879</v>
      </c>
      <c r="E1394" s="3" t="s">
        <v>5880</v>
      </c>
      <c r="F1394" s="3" t="s">
        <v>5881</v>
      </c>
      <c r="G1394" s="3" t="str">
        <f ca="1">IFERROR(__xludf.DUMMYFUNCTION("googletranslate(D1394,""en"",""ja"")"),"ジベンズ(a,h)アントラセン;ジベンズ[a,h]アントラセン;ジベンゾ(a,h)アントラセン;ジベンゾ[a,h]アントラセン")</f>
        <v>ジベンズ(a,h)アントラセン;ジベンズ[a,h]アントラセン;ジベンゾ(a,h)アントラセン;ジベンゾ[a,h]アントラセン</v>
      </c>
      <c r="H1394" s="3" t="str">
        <f ca="1">IFERROR(__xludf.DUMMYFUNCTION("googletranslate(E1394,""en"",""ja"")"),"試料中のジベンゾ[a,h]アントラセンの測定。")</f>
        <v>試料中のジベンゾ[a,h]アントラセンの測定。</v>
      </c>
      <c r="I1394" s="3" t="str">
        <f ca="1">IFERROR(__xludf.DUMMYFUNCTION("googletranslate(F1394,""en"",""ja"")"),"ジベンゾ[a,h]アントラセンの測定")</f>
        <v>ジベンゾ[a,h]アントラセンの測定</v>
      </c>
    </row>
    <row r="1395" spans="1:9" ht="60">
      <c r="A1395" s="3" t="s">
        <v>51</v>
      </c>
      <c r="B1395" s="3" t="s">
        <v>5882</v>
      </c>
      <c r="C1395" s="3" t="s">
        <v>5883</v>
      </c>
      <c r="D1395" s="3" t="s">
        <v>5884</v>
      </c>
      <c r="E1395" s="3" t="s">
        <v>5885</v>
      </c>
      <c r="F1395" s="3" t="s">
        <v>5886</v>
      </c>
      <c r="G1395" s="3" t="str">
        <f ca="1">IFERROR(__xludf.DUMMYFUNCTION("googletranslate(D1395,""en"",""ja"")"),"ジベンズ(a,h)ピレン;ジベンズ[a,h]ピレン;ジベンゾ(a,h)ピレン;ジベンゾ[a,h]ピレン")</f>
        <v>ジベンズ(a,h)ピレン;ジベンズ[a,h]ピレン;ジベンゾ(a,h)ピレン;ジベンゾ[a,h]ピレン</v>
      </c>
      <c r="H1395" s="3" t="str">
        <f ca="1">IFERROR(__xludf.DUMMYFUNCTION("googletranslate(E1395,""en"",""ja"")"),"試料中のジベンゾ[a,h]ピレンの測定。")</f>
        <v>試料中のジベンゾ[a,h]ピレンの測定。</v>
      </c>
      <c r="I1395" s="3" t="str">
        <f ca="1">IFERROR(__xludf.DUMMYFUNCTION("googletranslate(F1395,""en"",""ja"")"),"ジベンゾ[a,h]ピレンの測定")</f>
        <v>ジベンゾ[a,h]ピレンの測定</v>
      </c>
    </row>
    <row r="1396" spans="1:9" ht="60">
      <c r="A1396" s="3" t="s">
        <v>51</v>
      </c>
      <c r="B1396" s="3" t="s">
        <v>5887</v>
      </c>
      <c r="C1396" s="3" t="s">
        <v>5888</v>
      </c>
      <c r="D1396" s="3" t="s">
        <v>5889</v>
      </c>
      <c r="E1396" s="3" t="s">
        <v>5890</v>
      </c>
      <c r="F1396" s="3" t="s">
        <v>5891</v>
      </c>
      <c r="G1396" s="3" t="str">
        <f ca="1">IFERROR(__xludf.DUMMYFUNCTION("googletranslate(D1396,""en"",""ja"")"),"ジベンズ(a,i)ピレン;ジベンズ[a,i]ピレン;ジベンゾ(a,i)ピレン;ジベンゾ[a,i]ピレン")</f>
        <v>ジベンズ(a,i)ピレン;ジベンズ[a,i]ピレン;ジベンゾ(a,i)ピレン;ジベンゾ[a,i]ピレン</v>
      </c>
      <c r="H1396" s="3" t="str">
        <f ca="1">IFERROR(__xludf.DUMMYFUNCTION("googletranslate(E1396,""en"",""ja"")"),"試料中のジベンゾ[a,i]ピレンの測定。")</f>
        <v>試料中のジベンゾ[a,i]ピレンの測定。</v>
      </c>
      <c r="I1396" s="3" t="str">
        <f ca="1">IFERROR(__xludf.DUMMYFUNCTION("googletranslate(F1396,""en"",""ja"")"),"ジベンゾ[a,i]ピレンの測定")</f>
        <v>ジベンゾ[a,i]ピレンの測定</v>
      </c>
    </row>
    <row r="1397" spans="1:9" ht="60">
      <c r="A1397" s="3" t="s">
        <v>51</v>
      </c>
      <c r="B1397" s="3" t="s">
        <v>5892</v>
      </c>
      <c r="C1397" s="3" t="s">
        <v>5893</v>
      </c>
      <c r="D1397" s="3" t="s">
        <v>5894</v>
      </c>
      <c r="E1397" s="3" t="s">
        <v>5895</v>
      </c>
      <c r="F1397" s="3" t="s">
        <v>5896</v>
      </c>
      <c r="G1397" s="3" t="str">
        <f ca="1">IFERROR(__xludf.DUMMYFUNCTION("googletranslate(D1397,""en"",""ja"")"),"ジベンズ(a,l)ピレン;ジベンズ[a,l]ピレン;ジベンゾ(a,l)ピレン;ジベンゾ[a,l]ピレン")</f>
        <v>ジベンズ(a,l)ピレン;ジベンズ[a,l]ピレン;ジベンゾ(a,l)ピレン;ジベンゾ[a,l]ピレン</v>
      </c>
      <c r="H1397" s="3" t="str">
        <f ca="1">IFERROR(__xludf.DUMMYFUNCTION("googletranslate(E1397,""en"",""ja"")"),"試料中のジベンゾ[a,l]ピレンの測定。")</f>
        <v>試料中のジベンゾ[a,l]ピレンの測定。</v>
      </c>
      <c r="I1397" s="3" t="str">
        <f ca="1">IFERROR(__xludf.DUMMYFUNCTION("googletranslate(F1397,""en"",""ja"")"),"ジベンゾ[a,l]ピレンの測定")</f>
        <v>ジベンゾ[a,l]ピレンの測定</v>
      </c>
    </row>
    <row r="1398" spans="1:9">
      <c r="A1398" s="3" t="s">
        <v>103</v>
      </c>
      <c r="B1398" s="3" t="s">
        <v>5897</v>
      </c>
      <c r="C1398" s="3" t="s">
        <v>5898</v>
      </c>
      <c r="D1398" s="3" t="s">
        <v>5899</v>
      </c>
      <c r="E1398" s="3" t="s">
        <v>5900</v>
      </c>
      <c r="F1398" s="3" t="s">
        <v>5901</v>
      </c>
      <c r="G1398" s="3" t="str">
        <f ca="1">IFERROR(__xludf.DUMMYFUNCTION("googletranslate(D1398,""en"",""ja"")"),"直流;樹状細胞")</f>
        <v>直流;樹状細胞</v>
      </c>
      <c r="H1398" s="3" t="str">
        <f ca="1">IFERROR(__xludf.DUMMYFUNCTION("googletranslate(E1398,""en"",""ja"")"),"生物学的標本中の樹状細胞の測定。")</f>
        <v>生物学的標本中の樹状細胞の測定。</v>
      </c>
      <c r="I1398" s="3" t="str">
        <f ca="1">IFERROR(__xludf.DUMMYFUNCTION("googletranslate(F1398,""en"",""ja"")"),"樹状細胞数")</f>
        <v>樹状細胞数</v>
      </c>
    </row>
    <row r="1399" spans="1:9" ht="30">
      <c r="A1399" s="3" t="s">
        <v>185</v>
      </c>
      <c r="B1399" s="3" t="s">
        <v>5902</v>
      </c>
      <c r="C1399" s="3" t="s">
        <v>5903</v>
      </c>
      <c r="D1399" s="3" t="s">
        <v>5903</v>
      </c>
      <c r="E1399" s="3" t="s">
        <v>5904</v>
      </c>
      <c r="F1399" s="3" t="s">
        <v>5905</v>
      </c>
      <c r="G1399" s="3" t="str">
        <f ca="1">IFERROR(__xludf.DUMMYFUNCTION("googletranslate(D1399,""en"",""ja"")"),"食事から摂取するカルシウム")</f>
        <v>食事から摂取するカルシウム</v>
      </c>
      <c r="H1399" s="3" t="str">
        <f ca="1">IFERROR(__xludf.DUMMYFUNCTION("googletranslate(E1399,""en"",""ja"")"),"栄養製品または食事、またはその一部に含まれる総カルシウムの測定。")</f>
        <v>栄養製品または食事、またはその一部に含まれる総カルシウムの測定。</v>
      </c>
      <c r="I1399" s="3" t="str">
        <f ca="1">IFERROR(__xludf.DUMMYFUNCTION("googletranslate(F1399,""en"",""ja"")"),"食事によるカルシウムの測定")</f>
        <v>食事によるカルシウムの測定</v>
      </c>
    </row>
    <row r="1400" spans="1:9" ht="30">
      <c r="A1400" s="3" t="s">
        <v>6</v>
      </c>
      <c r="B1400" s="3" t="s">
        <v>5902</v>
      </c>
      <c r="C1400" s="3" t="s">
        <v>5906</v>
      </c>
      <c r="D1400" s="3" t="s">
        <v>5907</v>
      </c>
      <c r="E1400" s="3" t="s">
        <v>5908</v>
      </c>
      <c r="F1400" s="3" t="s">
        <v>5909</v>
      </c>
      <c r="G1400" s="3" t="str">
        <f ca="1">IFERROR(__xludf.DUMMYFUNCTION("googletranslate(D1400,""en"",""ja"")"),"デオキシコール酸塩;デオキシコール酸")</f>
        <v>デオキシコール酸塩;デオキシコール酸</v>
      </c>
      <c r="H1400" s="3" t="str">
        <f ca="1">IFERROR(__xludf.DUMMYFUNCTION("googletranslate(E1400,""en"",""ja"")"),"生物学的標本中のデオキシコール酸の測定。")</f>
        <v>生物学的標本中のデオキシコール酸の測定。</v>
      </c>
      <c r="I1400" s="3" t="str">
        <f ca="1">IFERROR(__xludf.DUMMYFUNCTION("googletranslate(F1400,""en"",""ja"")"),"デオキシコール酸の測定")</f>
        <v>デオキシコール酸の測定</v>
      </c>
    </row>
    <row r="1401" spans="1:9" ht="30">
      <c r="A1401" s="3" t="s">
        <v>185</v>
      </c>
      <c r="B1401" s="3" t="s">
        <v>5910</v>
      </c>
      <c r="C1401" s="3" t="s">
        <v>5911</v>
      </c>
      <c r="D1401" s="3" t="s">
        <v>5911</v>
      </c>
      <c r="E1401" s="3" t="s">
        <v>5912</v>
      </c>
      <c r="F1401" s="3" t="s">
        <v>5913</v>
      </c>
      <c r="G1401" s="3" t="str">
        <f ca="1">IFERROR(__xludf.DUMMYFUNCTION("googletranslate(D1401,""en"",""ja"")"),"食事性カフェイン")</f>
        <v>食事性カフェイン</v>
      </c>
      <c r="H1401" s="3" t="str">
        <f ca="1">IFERROR(__xludf.DUMMYFUNCTION("googletranslate(E1401,""en"",""ja"")"),"栄養製品または食事、あるいはその一部に含まれるカフェインの測定。")</f>
        <v>栄養製品または食事、あるいはその一部に含まれるカフェインの測定。</v>
      </c>
      <c r="I1401" s="3" t="str">
        <f ca="1">IFERROR(__xludf.DUMMYFUNCTION("googletranslate(F1401,""en"",""ja"")"),"食事中のカフェイン測定")</f>
        <v>食事中のカフェイン測定</v>
      </c>
    </row>
    <row r="1402" spans="1:9" ht="30">
      <c r="A1402" s="3" t="s">
        <v>185</v>
      </c>
      <c r="B1402" s="3" t="s">
        <v>5914</v>
      </c>
      <c r="C1402" s="3" t="s">
        <v>5915</v>
      </c>
      <c r="D1402" s="3" t="s">
        <v>5915</v>
      </c>
      <c r="E1402" s="3" t="s">
        <v>5916</v>
      </c>
      <c r="F1402" s="3" t="s">
        <v>5917</v>
      </c>
      <c r="G1402" s="3" t="str">
        <f ca="1">IFERROR(__xludf.DUMMYFUNCTION("googletranslate(D1402,""en"",""ja"")"),"食事カロリー")</f>
        <v>食事カロリー</v>
      </c>
      <c r="H1402" s="3" t="str">
        <f ca="1">IFERROR(__xludf.DUMMYFUNCTION("googletranslate(E1402,""en"",""ja"")"),"栄養製品、食事、またはその一部の総食事カロリーの決定。")</f>
        <v>栄養製品、食事、またはその一部の総食事カロリーの決定。</v>
      </c>
      <c r="I1402" s="3" t="str">
        <f ca="1">IFERROR(__xludf.DUMMYFUNCTION("googletranslate(F1402,""en"",""ja"")"),"食事カロリー測定")</f>
        <v>食事カロリー測定</v>
      </c>
    </row>
    <row r="1403" spans="1:9" ht="30">
      <c r="A1403" s="3" t="s">
        <v>185</v>
      </c>
      <c r="B1403" s="3" t="s">
        <v>5918</v>
      </c>
      <c r="C1403" s="3" t="s">
        <v>5919</v>
      </c>
      <c r="D1403" s="3" t="s">
        <v>5920</v>
      </c>
      <c r="E1403" s="3" t="s">
        <v>5921</v>
      </c>
      <c r="F1403" s="3" t="s">
        <v>5922</v>
      </c>
      <c r="G1403" s="3" t="str">
        <f ca="1">IFERROR(__xludf.DUMMYFUNCTION("googletranslate(D1403,""en"",""ja"")"),"食事 6:0 カプロン酸;食事性 6:0 カプロン酸;食事性カプロン酸")</f>
        <v>食事 6:0 カプロン酸;食事性 6:0 カプロン酸;食事性カプロン酸</v>
      </c>
      <c r="H1403" s="3" t="str">
        <f ca="1">IFERROR(__xludf.DUMMYFUNCTION("googletranslate(E1403,""en"",""ja"")"),"栄養製品または食事、またはその一部に含まれる合計 6:0 カプロン酸の測定。")</f>
        <v>栄養製品または食事、またはその一部に含まれる合計 6:0 カプロン酸の測定。</v>
      </c>
      <c r="I1403" s="3" t="str">
        <f ca="1">IFERROR(__xludf.DUMMYFUNCTION("googletranslate(F1403,""en"",""ja"")"),"食事によるカプロン酸の測定")</f>
        <v>食事によるカプロン酸の測定</v>
      </c>
    </row>
    <row r="1404" spans="1:9" ht="45">
      <c r="A1404" s="3" t="s">
        <v>185</v>
      </c>
      <c r="B1404" s="3" t="s">
        <v>5923</v>
      </c>
      <c r="C1404" s="3" t="s">
        <v>5924</v>
      </c>
      <c r="D1404" s="3" t="s">
        <v>5925</v>
      </c>
      <c r="E1404" s="3" t="s">
        <v>5926</v>
      </c>
      <c r="F1404" s="3" t="s">
        <v>5927</v>
      </c>
      <c r="G1404" s="3" t="str">
        <f ca="1">IFERROR(__xludf.DUMMYFUNCTION("googletranslate(D1404,""en"",""ja"")"),"食事療法 10:0 カプリン酸;食事性 10:0 カプリン酸;食事性カプリン酸")</f>
        <v>食事療法 10:0 カプリン酸;食事性 10:0 カプリン酸;食事性カプリン酸</v>
      </c>
      <c r="H1404" s="3" t="str">
        <f ca="1">IFERROR(__xludf.DUMMYFUNCTION("googletranslate(E1404,""en"",""ja"")"),"栄養製品または食事、またはその一部に含まれる 10:0 カプリン酸の合計の測定。")</f>
        <v>栄養製品または食事、またはその一部に含まれる 10:0 カプリン酸の合計の測定。</v>
      </c>
      <c r="I1404" s="3" t="str">
        <f ca="1">IFERROR(__xludf.DUMMYFUNCTION("googletranslate(F1404,""en"",""ja"")"),"食事性カプリン酸測定")</f>
        <v>食事性カプリン酸測定</v>
      </c>
    </row>
    <row r="1405" spans="1:9" ht="45">
      <c r="A1405" s="3" t="s">
        <v>185</v>
      </c>
      <c r="B1405" s="3" t="s">
        <v>5928</v>
      </c>
      <c r="C1405" s="3" t="s">
        <v>5929</v>
      </c>
      <c r="D1405" s="3" t="s">
        <v>5930</v>
      </c>
      <c r="E1405" s="3" t="s">
        <v>5931</v>
      </c>
      <c r="F1405" s="3" t="s">
        <v>5932</v>
      </c>
      <c r="G1405" s="3" t="str">
        <f ca="1">IFERROR(__xludf.DUMMYFUNCTION("googletranslate(D1405,""en"",""ja"")"),"食事 8:0 カプリル酸;食物由来 8:0 カプリル酸;食物性カプリル酸")</f>
        <v>食事 8:0 カプリル酸;食物由来 8:0 カプリル酸;食物性カプリル酸</v>
      </c>
      <c r="H1405" s="3" t="str">
        <f ca="1">IFERROR(__xludf.DUMMYFUNCTION("googletranslate(E1405,""en"",""ja"")"),"栄養製品または食事、またはその一部に含まれる 8:0 カプリル酸の合計の測定。")</f>
        <v>栄養製品または食事、またはその一部に含まれる 8:0 カプリル酸の合計の測定。</v>
      </c>
      <c r="I1405" s="3" t="str">
        <f ca="1">IFERROR(__xludf.DUMMYFUNCTION("googletranslate(F1405,""en"",""ja"")"),"食事によるカプリル酸の測定")</f>
        <v>食事によるカプリル酸の測定</v>
      </c>
    </row>
    <row r="1406" spans="1:9" ht="30">
      <c r="A1406" s="3" t="s">
        <v>185</v>
      </c>
      <c r="B1406" s="3" t="s">
        <v>5933</v>
      </c>
      <c r="C1406" s="3" t="s">
        <v>5934</v>
      </c>
      <c r="D1406" s="3" t="s">
        <v>5934</v>
      </c>
      <c r="E1406" s="3" t="s">
        <v>5935</v>
      </c>
      <c r="F1406" s="3" t="s">
        <v>5936</v>
      </c>
      <c r="G1406" s="3" t="str">
        <f ca="1">IFERROR(__xludf.DUMMYFUNCTION("googletranslate(D1406,""en"",""ja"")"),"食事の総炭水化物量")</f>
        <v>食事の総炭水化物量</v>
      </c>
      <c r="H1406" s="3" t="str">
        <f ca="1">IFERROR(__xludf.DUMMYFUNCTION("googletranslate(E1406,""en"",""ja"")"),"栄養製品または食事、またはその一部に含まれる総炭水化物の測定。")</f>
        <v>栄養製品または食事、またはその一部に含まれる総炭水化物の測定。</v>
      </c>
      <c r="I1406" s="3" t="str">
        <f ca="1">IFERROR(__xludf.DUMMYFUNCTION("googletranslate(F1406,""en"",""ja"")"),"食事中の総炭水化物量の測定")</f>
        <v>食事中の総炭水化物量の測定</v>
      </c>
    </row>
    <row r="1407" spans="1:9" ht="30">
      <c r="A1407" s="3" t="s">
        <v>6</v>
      </c>
      <c r="B1407" s="3" t="s">
        <v>5937</v>
      </c>
      <c r="C1407" s="3" t="s">
        <v>5938</v>
      </c>
      <c r="D1407" s="3" t="s">
        <v>5939</v>
      </c>
      <c r="E1407" s="3" t="s">
        <v>5940</v>
      </c>
      <c r="F1407" s="3" t="s">
        <v>5941</v>
      </c>
      <c r="G1407" s="3" t="str">
        <f ca="1">IFERROR(__xludf.DUMMYFUNCTION("googletranslate(D1407,""en"",""ja"")"),"C10;デカノイルカルニチン")</f>
        <v>C10;デカノイルカルニチン</v>
      </c>
      <c r="H1407" s="3" t="str">
        <f ca="1">IFERROR(__xludf.DUMMYFUNCTION("googletranslate(E1407,""en"",""ja"")"),"生物学的標本中のデカノイルカルニチンの測定。")</f>
        <v>生物学的標本中のデカノイルカルニチンの測定。</v>
      </c>
      <c r="I1407" s="3" t="str">
        <f ca="1">IFERROR(__xludf.DUMMYFUNCTION("googletranslate(F1407,""en"",""ja"")"),"デカノイルカルニチンの測定")</f>
        <v>デカノイルカルニチンの測定</v>
      </c>
    </row>
    <row r="1408" spans="1:9" ht="30">
      <c r="A1408" s="3" t="s">
        <v>103</v>
      </c>
      <c r="B1408" s="3" t="s">
        <v>5942</v>
      </c>
      <c r="C1408" s="3" t="s">
        <v>5943</v>
      </c>
      <c r="D1408" s="3" t="s">
        <v>5943</v>
      </c>
      <c r="E1408" s="3" t="s">
        <v>5944</v>
      </c>
      <c r="F1408" s="3" t="s">
        <v>5945</v>
      </c>
      <c r="G1408" s="3" t="str">
        <f ca="1">IFERROR(__xludf.DUMMYFUNCTION("googletranslate(D1408,""en"",""ja"")"),"樹状細胞/全細胞")</f>
        <v>樹状細胞/全細胞</v>
      </c>
      <c r="H1408" s="3" t="str">
        <f ca="1">IFERROR(__xludf.DUMMYFUNCTION("googletranslate(E1408,""en"",""ja"")"),"生物学的標本の全細胞に対する樹状細胞の相対的な測定値 (比率またはパーセンテージ)。")</f>
        <v>生物学的標本の全細胞に対する樹状細胞の相対的な測定値 (比率またはパーセンテージ)。</v>
      </c>
      <c r="I1408" s="3" t="str">
        <f ca="1">IFERROR(__xludf.DUMMYFUNCTION("googletranslate(F1408,""en"",""ja"")"),"樹状細胞と総細胞の比率の測定")</f>
        <v>樹状細胞と総細胞の比率の測定</v>
      </c>
    </row>
    <row r="1409" spans="1:9" ht="60">
      <c r="A1409" s="3" t="s">
        <v>185</v>
      </c>
      <c r="B1409" s="3" t="s">
        <v>5946</v>
      </c>
      <c r="C1409" s="3" t="s">
        <v>5947</v>
      </c>
      <c r="D1409" s="3" t="s">
        <v>5948</v>
      </c>
      <c r="E1409" s="3" t="s">
        <v>5949</v>
      </c>
      <c r="F1409" s="3" t="s">
        <v>5950</v>
      </c>
      <c r="G1409" s="3" t="str">
        <f ca="1">IFERROR(__xludf.DUMMYFUNCTION("googletranslate(D1409,""en"",""ja"")"),"依存するインジケーターをディスコンできません。依存インジケーターを中止できません")</f>
        <v>依存するインジケーターをディスコンできません。依存インジケーターを中止できません</v>
      </c>
      <c r="H1409" s="3" t="str">
        <f ca="1">IFERROR(__xludf.DUMMYFUNCTION("googletranslate(E1409,""en"",""ja"")"),"個人が依存症のために物質の使用を中止できないかどうかを示す指標。")</f>
        <v>個人が依存症のために物質の使用を中止できないかどうかを示す指標。</v>
      </c>
      <c r="I1409" s="3" t="str">
        <f ca="1">IFERROR(__xludf.DUMMYFUNCTION("googletranslate(F1409,""en"",""ja"")"),"依存性インジケーターのため使用を中止できない")</f>
        <v>依存性インジケーターのため使用を中止できない</v>
      </c>
    </row>
    <row r="1410" spans="1:9" ht="30">
      <c r="A1410" s="3" t="s">
        <v>185</v>
      </c>
      <c r="B1410" s="3" t="s">
        <v>5951</v>
      </c>
      <c r="C1410" s="3" t="s">
        <v>5952</v>
      </c>
      <c r="D1410" s="3" t="s">
        <v>5952</v>
      </c>
      <c r="E1410" s="3" t="s">
        <v>5953</v>
      </c>
      <c r="F1410" s="3" t="s">
        <v>5954</v>
      </c>
      <c r="G1410" s="3" t="str">
        <f ca="1">IFERROR(__xludf.DUMMYFUNCTION("googletranslate(D1410,""en"",""ja"")"),"ダイエットチーズ")</f>
        <v>ダイエットチーズ</v>
      </c>
      <c r="H1410" s="3" t="str">
        <f ca="1">IFERROR(__xludf.DUMMYFUNCTION("googletranslate(E1410,""en"",""ja"")"),"栄養製品または食事、あるいはその一部に含まれるチーズの総量の測定。")</f>
        <v>栄養製品または食事、あるいはその一部に含まれるチーズの総量の測定。</v>
      </c>
      <c r="I1410" s="3" t="str">
        <f ca="1">IFERROR(__xludf.DUMMYFUNCTION("googletranslate(F1410,""en"",""ja"")"),"食事中のチーズの測定")</f>
        <v>食事中のチーズの測定</v>
      </c>
    </row>
    <row r="1411" spans="1:9" ht="30">
      <c r="A1411" s="3" t="s">
        <v>185</v>
      </c>
      <c r="B1411" s="3" t="s">
        <v>5955</v>
      </c>
      <c r="C1411" s="3" t="s">
        <v>5956</v>
      </c>
      <c r="D1411" s="3" t="s">
        <v>5956</v>
      </c>
      <c r="E1411" s="3" t="s">
        <v>5957</v>
      </c>
      <c r="F1411" s="3" t="s">
        <v>5958</v>
      </c>
      <c r="G1411" s="3" t="str">
        <f ca="1">IFERROR(__xludf.DUMMYFUNCTION("googletranslate(D1411,""en"",""ja"")"),"食事のコレステロール")</f>
        <v>食事のコレステロール</v>
      </c>
      <c r="H1411" s="3" t="str">
        <f ca="1">IFERROR(__xludf.DUMMYFUNCTION("googletranslate(E1411,""en"",""ja"")"),"栄養製品または食事、またはその一部に含まれる総コレステロールの測定。")</f>
        <v>栄養製品または食事、またはその一部に含まれる総コレステロールの測定。</v>
      </c>
      <c r="I1411" s="3" t="str">
        <f ca="1">IFERROR(__xludf.DUMMYFUNCTION("googletranslate(F1411,""en"",""ja"")"),"食事中のコレステロール測定")</f>
        <v>食事中のコレステロール測定</v>
      </c>
    </row>
    <row r="1412" spans="1:9" ht="30">
      <c r="A1412" s="3" t="s">
        <v>185</v>
      </c>
      <c r="B1412" s="3" t="s">
        <v>5959</v>
      </c>
      <c r="C1412" s="3" t="s">
        <v>5960</v>
      </c>
      <c r="D1412" s="3" t="s">
        <v>5960</v>
      </c>
      <c r="E1412" s="3" t="s">
        <v>5961</v>
      </c>
      <c r="F1412" s="3" t="s">
        <v>5962</v>
      </c>
      <c r="G1412" s="3" t="str">
        <f ca="1">IFERROR(__xludf.DUMMYFUNCTION("googletranslate(D1412,""en"",""ja"")"),"食事性コリン")</f>
        <v>食事性コリン</v>
      </c>
      <c r="H1412" s="3" t="str">
        <f ca="1">IFERROR(__xludf.DUMMYFUNCTION("googletranslate(E1412,""en"",""ja"")"),"栄養製品または食事、あるいはその一部に含まれるコリンの測定。")</f>
        <v>栄養製品または食事、あるいはその一部に含まれるコリンの測定。</v>
      </c>
      <c r="I1412" s="3" t="str">
        <f ca="1">IFERROR(__xludf.DUMMYFUNCTION("googletranslate(F1412,""en"",""ja"")"),"食事中のコリンの測定")</f>
        <v>食事中のコリンの測定</v>
      </c>
    </row>
    <row r="1413" spans="1:9" ht="30">
      <c r="A1413" s="3" t="s">
        <v>185</v>
      </c>
      <c r="B1413" s="3" t="s">
        <v>5963</v>
      </c>
      <c r="C1413" s="3" t="s">
        <v>5964</v>
      </c>
      <c r="D1413" s="3" t="s">
        <v>5964</v>
      </c>
      <c r="E1413" s="3" t="s">
        <v>5965</v>
      </c>
      <c r="F1413" s="3" t="s">
        <v>5966</v>
      </c>
      <c r="G1413" s="3" t="str">
        <f ca="1">IFERROR(__xludf.DUMMYFUNCTION("googletranslate(D1413,""en"",""ja"")"),"柑橘類、メロン、ベリー類の食事療法")</f>
        <v>柑橘類、メロン、ベリー類の食事療法</v>
      </c>
      <c r="H1413" s="3" t="str">
        <f ca="1">IFERROR(__xludf.DUMMYFUNCTION("googletranslate(E1413,""en"",""ja"")"),"栄養製品または食事、あるいはその一部に含まれる柑橘類、メロン、ベリー類の総量の測定。")</f>
        <v>栄養製品または食事、あるいはその一部に含まれる柑橘類、メロン、ベリー類の総量の測定。</v>
      </c>
      <c r="I1413" s="3" t="str">
        <f ca="1">IFERROR(__xludf.DUMMYFUNCTION("googletranslate(F1413,""en"",""ja"")"),"柑橘類、メロン、ベリー類の食事の測定")</f>
        <v>柑橘類、メロン、ベリー類の食事の測定</v>
      </c>
    </row>
    <row r="1414" spans="1:9" ht="30">
      <c r="A1414" s="3" t="s">
        <v>103</v>
      </c>
      <c r="B1414" s="3" t="s">
        <v>5967</v>
      </c>
      <c r="C1414" s="3" t="s">
        <v>5968</v>
      </c>
      <c r="D1414" s="3" t="s">
        <v>5969</v>
      </c>
      <c r="E1414" s="3" t="s">
        <v>5970</v>
      </c>
      <c r="F1414" s="3" t="s">
        <v>5971</v>
      </c>
      <c r="G1414" s="3" t="str">
        <f ca="1">IFERROR(__xludf.DUMMYFUNCTION("googletranslate(D1414,""en"",""ja"")"),"DC/ロイク;樹状細胞/白血球")</f>
        <v>DC/ロイク;樹状細胞/白血球</v>
      </c>
      <c r="H1414" s="3" t="str">
        <f ca="1">IFERROR(__xludf.DUMMYFUNCTION("googletranslate(E1414,""en"",""ja"")"),"生物学的標本における白血球に対する樹状細胞の相対的な測定値 (比率またはパーセンテージ)。")</f>
        <v>生物学的標本における白血球に対する樹状細胞の相対的な測定値 (比率またはパーセンテージ)。</v>
      </c>
      <c r="I1414" s="3" t="str">
        <f ca="1">IFERROR(__xludf.DUMMYFUNCTION("googletranslate(F1414,""en"",""ja"")"),"樹状細胞と白血球の比率の測定")</f>
        <v>樹状細胞と白血球の比率の測定</v>
      </c>
    </row>
    <row r="1415" spans="1:9" ht="45">
      <c r="A1415" s="3" t="s">
        <v>103</v>
      </c>
      <c r="B1415" s="3" t="s">
        <v>5972</v>
      </c>
      <c r="C1415" s="3" t="s">
        <v>5973</v>
      </c>
      <c r="D1415" s="3" t="s">
        <v>5974</v>
      </c>
      <c r="E1415" s="3" t="s">
        <v>5975</v>
      </c>
      <c r="F1415" s="3" t="s">
        <v>5976</v>
      </c>
      <c r="G1415" s="3" t="str">
        <f ca="1">IFERROR(__xludf.DUMMYFUNCTION("googletranslate(D1415,""en"",""ja"")"),"樹状細胞/Lym+Mono;樹状細胞/リンパ球および単球")</f>
        <v>樹状細胞/Lym+Mono;樹状細胞/リンパ球および単球</v>
      </c>
      <c r="H1415" s="3" t="str">
        <f ca="1">IFERROR(__xludf.DUMMYFUNCTION("googletranslate(E1415,""en"",""ja"")"),"生物学的標本中のリンパ球および単球に対する樹状細胞の相対的な測定値 (比率またはパーセンテージ)。")</f>
        <v>生物学的標本中のリンパ球および単球に対する樹状細胞の相対的な測定値 (比率またはパーセンテージ)。</v>
      </c>
      <c r="I1415" s="3" t="str">
        <f ca="1">IFERROR(__xludf.DUMMYFUNCTION("googletranslate(F1415,""en"",""ja"")"),"樹状細胞とリンパ球および単球の比率の測定")</f>
        <v>樹状細胞とリンパ球および単球の比率の測定</v>
      </c>
    </row>
    <row r="1416" spans="1:9" ht="30">
      <c r="A1416" s="3" t="s">
        <v>103</v>
      </c>
      <c r="B1416" s="3" t="s">
        <v>5977</v>
      </c>
      <c r="C1416" s="3" t="s">
        <v>5978</v>
      </c>
      <c r="D1416" s="3" t="s">
        <v>5979</v>
      </c>
      <c r="E1416" s="3" t="s">
        <v>5980</v>
      </c>
      <c r="F1416" s="3" t="s">
        <v>5981</v>
      </c>
      <c r="G1416" s="3" t="str">
        <f ca="1">IFERROR(__xludf.DUMMYFUNCTION("googletranslate(D1416,""en"",""ja"")"),"CDC;従来のDC。 DC骨髄性;樹状細胞 骨髄性細胞; mDC")</f>
        <v>CDC;従来のDC。 DC骨髄性;樹状細胞 骨髄性細胞; mDC</v>
      </c>
      <c r="H1416" s="3" t="str">
        <f ca="1">IFERROR(__xludf.DUMMYFUNCTION("googletranslate(E1416,""en"",""ja"")"),"生物学的標本中の骨髄樹状細胞の測定。")</f>
        <v>生物学的標本中の骨髄樹状細胞の測定。</v>
      </c>
      <c r="I1416" s="3" t="str">
        <f ca="1">IFERROR(__xludf.DUMMYFUNCTION("googletranslate(F1416,""en"",""ja"")"),"骨髄樹状細胞数")</f>
        <v>骨髄樹状細胞数</v>
      </c>
    </row>
    <row r="1417" spans="1:9" ht="60">
      <c r="A1417" s="3" t="s">
        <v>103</v>
      </c>
      <c r="B1417" s="3" t="s">
        <v>5982</v>
      </c>
      <c r="C1417" s="3" t="s">
        <v>5983</v>
      </c>
      <c r="D1417" s="3" t="s">
        <v>5984</v>
      </c>
      <c r="E1417" s="3" t="s">
        <v>5985</v>
      </c>
      <c r="F1417" s="3" t="s">
        <v>5986</v>
      </c>
      <c r="G1417" s="3" t="str">
        <f ca="1">IFERROR(__xludf.DUMMYFUNCTION("googletranslate(D1417,""en"",""ja"")"),"cDC1;クラシック DC タイプ 1;従来のDCタイプ1; DC骨髄1; DC骨髄タイプ1;樹状細胞骨髄 1; mDC1")</f>
        <v>cDC1;クラシック DC タイプ 1;従来のDCタイプ1; DC骨髄1; DC骨髄タイプ1;樹状細胞骨髄 1; mDC1</v>
      </c>
      <c r="H1417" s="3" t="str">
        <f ca="1">IFERROR(__xludf.DUMMYFUNCTION("googletranslate(E1417,""en"",""ja"")"),"生物学的標本中の 1 型骨髄樹状細胞の測定。")</f>
        <v>生物学的標本中の 1 型骨髄樹状細胞の測定。</v>
      </c>
      <c r="I1417" s="3" t="str">
        <f ca="1">IFERROR(__xludf.DUMMYFUNCTION("googletranslate(F1417,""en"",""ja"")"),"1 型骨髄樹状細胞数")</f>
        <v>1 型骨髄樹状細胞数</v>
      </c>
    </row>
    <row r="1418" spans="1:9" ht="75">
      <c r="A1418" s="3" t="s">
        <v>103</v>
      </c>
      <c r="B1418" s="3" t="s">
        <v>5987</v>
      </c>
      <c r="C1418" s="3" t="s">
        <v>5988</v>
      </c>
      <c r="D1418" s="3" t="s">
        <v>5989</v>
      </c>
      <c r="E1418" s="3" t="s">
        <v>5990</v>
      </c>
      <c r="F1418" s="3" t="s">
        <v>5991</v>
      </c>
      <c r="G1418" s="3" t="str">
        <f ca="1">IFERROR(__xludf.DUMMYFUNCTION("googletranslate(D1418,""en"",""ja"")"),"cDC1/cDC;クラシック DC タイプ 1/クラシック DC;従来型 DC タイプ 1/従来型 DC; DC 骨髄 1/DC 骨髄; DC 骨髄 1/DCM; mDC1/mDC")</f>
        <v>cDC1/cDC;クラシック DC タイプ 1/クラシック DC;従来型 DC タイプ 1/従来型 DC; DC 骨髄 1/DC 骨髄; DC 骨髄 1/DCM; mDC1/mDC</v>
      </c>
      <c r="H1418" s="3" t="str">
        <f ca="1">IFERROR(__xludf.DUMMYFUNCTION("googletranslate(E1418,""en"",""ja"")"),"生物学的標本中の総骨髄性樹状細胞に対する 1 型骨髄性樹状細胞の相対的な測定値 (比率またはパーセンテージ)。")</f>
        <v>生物学的標本中の総骨髄性樹状細胞に対する 1 型骨髄性樹状細胞の相対的な測定値 (比率またはパーセンテージ)。</v>
      </c>
      <c r="I1418" s="3" t="str">
        <f ca="1">IFERROR(__xludf.DUMMYFUNCTION("googletranslate(F1418,""en"",""ja"")"),"1 型骨髄系樹状細胞と総骨髄系樹状細胞の比率の測定")</f>
        <v>1 型骨髄系樹状細胞と総骨髄系樹状細胞の比率の測定</v>
      </c>
    </row>
    <row r="1419" spans="1:9" ht="75">
      <c r="A1419" s="3" t="s">
        <v>103</v>
      </c>
      <c r="B1419" s="3" t="s">
        <v>5992</v>
      </c>
      <c r="C1419" s="3" t="s">
        <v>5993</v>
      </c>
      <c r="D1419" s="3" t="s">
        <v>5994</v>
      </c>
      <c r="E1419" s="3" t="s">
        <v>5995</v>
      </c>
      <c r="F1419" s="3" t="s">
        <v>5996</v>
      </c>
      <c r="G1419" s="3" t="str">
        <f ca="1">IFERROR(__xludf.DUMMYFUNCTION("googletranslate(D1419,""en"",""ja"")"),"cDC1/白血球;古典的DC 1型/白血球。従来の DC 1 型/白血球。 DC骨髄1/白血病; DC骨髄1/白血球; mDC1/白血球")</f>
        <v>cDC1/白血球;古典的DC 1型/白血球。従来の DC 1 型/白血球。 DC骨髄1/白血病; DC骨髄1/白血球; mDC1/白血球</v>
      </c>
      <c r="H1419" s="3" t="str">
        <f ca="1">IFERROR(__xludf.DUMMYFUNCTION("googletranslate(E1419,""en"",""ja"")"),"生物学的標本中の白血球に対する 1 型骨髄樹状細胞の相対測定値 (比率またはパーセンテージ)。")</f>
        <v>生物学的標本中の白血球に対する 1 型骨髄樹状細胞の相対測定値 (比率またはパーセンテージ)。</v>
      </c>
      <c r="I1419" s="3" t="str">
        <f ca="1">IFERROR(__xludf.DUMMYFUNCTION("googletranslate(F1419,""en"",""ja"")"),"1 型骨髄樹状細胞と白血球の比率の測定")</f>
        <v>1 型骨髄樹状細胞と白血球の比率の測定</v>
      </c>
    </row>
    <row r="1420" spans="1:9" ht="90">
      <c r="A1420" s="3" t="s">
        <v>103</v>
      </c>
      <c r="B1420" s="3" t="s">
        <v>5997</v>
      </c>
      <c r="C1420" s="3" t="s">
        <v>5998</v>
      </c>
      <c r="D1420" s="3" t="s">
        <v>5999</v>
      </c>
      <c r="E1420" s="3" t="s">
        <v>6000</v>
      </c>
      <c r="F1420" s="3" t="s">
        <v>6001</v>
      </c>
      <c r="G1420" s="3" t="str">
        <f ca="1">IFERROR(__xludf.DUMMYFUNCTION("googletranslate(D1420,""en"",""ja"")"),"cDC1 亜集団;古典的な DC タイプ 1 亜集団。従来の DC タイプ 1 亜集団。 DC 骨髄 1 サブ;樹状細胞骨髄 1 亜集団。 mDC1 亜集団")</f>
        <v>cDC1 亜集団;古典的な DC タイプ 1 亜集団。従来の DC タイプ 1 亜集団。 DC 骨髄 1 サブ;樹状細胞骨髄 1 亜集団。 mDC1 亜集団</v>
      </c>
      <c r="H1420" s="3" t="str">
        <f ca="1">IFERROR(__xludf.DUMMYFUNCTION("googletranslate(E1420,""en"",""ja"")"),"生物学的標本中の 1 型骨髄樹状細胞の部分集団の測定。")</f>
        <v>生物学的標本中の 1 型骨髄樹状細胞の部分集団の測定。</v>
      </c>
      <c r="I1420" s="3" t="str">
        <f ca="1">IFERROR(__xludf.DUMMYFUNCTION("googletranslate(F1420,""en"",""ja"")"),"1 型骨髄樹状細胞部分集団の数")</f>
        <v>1 型骨髄樹状細胞部分集団の数</v>
      </c>
    </row>
    <row r="1421" spans="1:9" ht="135">
      <c r="A1421" s="3" t="s">
        <v>103</v>
      </c>
      <c r="B1421" s="3" t="s">
        <v>6002</v>
      </c>
      <c r="C1421" s="3" t="s">
        <v>6003</v>
      </c>
      <c r="D1421" s="3" t="s">
        <v>6004</v>
      </c>
      <c r="E1421" s="3" t="s">
        <v>6005</v>
      </c>
      <c r="F1421" s="3" t="s">
        <v>6006</v>
      </c>
      <c r="G1421" s="3" t="str">
        <f ca="1">IFERROR(__xludf.DUMMYFUNCTION("googletranslate(D1421,""en"",""ja"")"),"cDC1 サブ集団/cDC;古典的 DC タイプ 1 亜集団/古典的 DC;従来型 DC タイプ 1 亜集団/従来型 DC; DC 骨髄 1 サブ/DCM;樹状細胞骨髄 1 サブ集団/樹状細胞骨髄; mDC1 サブ集団/mDC")</f>
        <v>cDC1 サブ集団/cDC;古典的 DC タイプ 1 亜集団/古典的 DC;従来型 DC タイプ 1 亜集団/従来型 DC; DC 骨髄 1 サブ/DCM;樹状細胞骨髄 1 サブ集団/樹状細胞骨髄; mDC1 サブ集団/mDC</v>
      </c>
      <c r="H1421" s="3" t="str">
        <f ca="1">IFERROR(__xludf.DUMMYFUNCTION("googletranslate(E1421,""en"",""ja"")"),"生物学的標本中の総骨髄性樹状細胞に対する 1 型骨髄性樹状細胞の部分集団の相対的な測定値 (比率またはパーセンテージ)。")</f>
        <v>生物学的標本中の総骨髄性樹状細胞に対する 1 型骨髄性樹状細胞の部分集団の相対的な測定値 (比率またはパーセンテージ)。</v>
      </c>
      <c r="I1421" s="3" t="str">
        <f ca="1">IFERROR(__xludf.DUMMYFUNCTION("googletranslate(F1421,""en"",""ja"")"),"1 型骨髄性樹状細胞部分集団と総骨髄性樹状細胞の比率の測定")</f>
        <v>1 型骨髄性樹状細胞部分集団と総骨髄性樹状細胞の比率の測定</v>
      </c>
    </row>
    <row r="1422" spans="1:9" ht="135">
      <c r="A1422" s="3" t="s">
        <v>103</v>
      </c>
      <c r="B1422" s="3" t="s">
        <v>6007</v>
      </c>
      <c r="C1422" s="3" t="s">
        <v>6008</v>
      </c>
      <c r="D1422" s="3" t="s">
        <v>6009</v>
      </c>
      <c r="E1422" s="3" t="s">
        <v>6010</v>
      </c>
      <c r="F1422" s="3" t="s">
        <v>6011</v>
      </c>
      <c r="G1422" s="3" t="str">
        <f ca="1">IFERROR(__xludf.DUMMYFUNCTION("googletranslate(D1422,""en"",""ja"")"),"古典的 DC タイプ 1 亜集団/古典的 DC タイプ 1;従来型 DC タイプ 1 亜集団/従来型 DC タイプ 1; DC 骨髄 1 亜集団/DC 骨髄 1; DC 骨髄 1 サブ/DC 骨髄 1; DC 骨髄 1 Sub/DCM1; mDC1 サブ/mDC1; DC 骨髄性 1 サブ/DC 骨髄性")</f>
        <v>古典的 DC タイプ 1 亜集団/古典的 DC タイプ 1;従来型 DC タイプ 1 亜集団/従来型 DC タイプ 1; DC 骨髄 1 亜集団/DC 骨髄 1; DC 骨髄 1 サブ/DC 骨髄 1; DC 骨髄 1 Sub/DCM1; mDC1 サブ/mDC1; DC 骨髄性 1 サブ/DC 骨髄性</v>
      </c>
      <c r="H1422" s="3" t="str">
        <f ca="1">IFERROR(__xludf.DUMMYFUNCTION("googletranslate(E1422,""en"",""ja"")"),"生物学的標本中の総 1 型骨髄樹状細胞に対する 1 型骨髄樹状細胞の部分集団の相対測定値 (比率またはパーセンテージ)。")</f>
        <v>生物学的標本中の総 1 型骨髄樹状細胞に対する 1 型骨髄樹状細胞の部分集団の相対測定値 (比率またはパーセンテージ)。</v>
      </c>
      <c r="I1422" s="3" t="str">
        <f ca="1">IFERROR(__xludf.DUMMYFUNCTION("googletranslate(F1422,""en"",""ja"")"),"1 型骨髄系樹状細胞サブ集団と 1 型骨髄系樹状細胞の比率の測定")</f>
        <v>1 型骨髄系樹状細胞サブ集団と 1 型骨髄系樹状細胞の比率の測定</v>
      </c>
    </row>
    <row r="1423" spans="1:9" ht="60">
      <c r="A1423" s="3" t="s">
        <v>103</v>
      </c>
      <c r="B1423" s="3" t="s">
        <v>6012</v>
      </c>
      <c r="C1423" s="3" t="s">
        <v>6013</v>
      </c>
      <c r="D1423" s="3" t="s">
        <v>6014</v>
      </c>
      <c r="E1423" s="3" t="s">
        <v>6015</v>
      </c>
      <c r="F1423" s="3" t="s">
        <v>6016</v>
      </c>
      <c r="G1423" s="3" t="str">
        <f ca="1">IFERROR(__xludf.DUMMYFUNCTION("googletranslate(D1423,""en"",""ja"")"),"cDC2;クラシック DC タイプ 2;従来のDCタイプ2。 DC骨髄2; DC骨髄2型。樹状細胞骨髄 2; mDC2")</f>
        <v>cDC2;クラシック DC タイプ 2;従来のDCタイプ2。 DC骨髄2; DC骨髄2型。樹状細胞骨髄 2; mDC2</v>
      </c>
      <c r="H1423" s="3" t="str">
        <f ca="1">IFERROR(__xludf.DUMMYFUNCTION("googletranslate(E1423,""en"",""ja"")"),"生物学的標本中の 2 型骨髄樹状細胞の測定。")</f>
        <v>生物学的標本中の 2 型骨髄樹状細胞の測定。</v>
      </c>
      <c r="I1423" s="3" t="str">
        <f ca="1">IFERROR(__xludf.DUMMYFUNCTION("googletranslate(F1423,""en"",""ja"")"),"2 型骨髄樹状細胞数")</f>
        <v>2 型骨髄樹状細胞数</v>
      </c>
    </row>
    <row r="1424" spans="1:9" ht="75">
      <c r="A1424" s="3" t="s">
        <v>103</v>
      </c>
      <c r="B1424" s="3" t="s">
        <v>6017</v>
      </c>
      <c r="C1424" s="3" t="s">
        <v>6018</v>
      </c>
      <c r="D1424" s="3" t="s">
        <v>6019</v>
      </c>
      <c r="E1424" s="3" t="s">
        <v>6020</v>
      </c>
      <c r="F1424" s="3" t="s">
        <v>6021</v>
      </c>
      <c r="G1424" s="3" t="str">
        <f ca="1">IFERROR(__xludf.DUMMYFUNCTION("googletranslate(D1424,""en"",""ja"")"),"cDC2/cDC;クラシック DC タイプ 2/クラシック DC;従来型 DC タイプ 2/従来型 DC; DC 骨髄 2/DC 骨髄; DC骨髄2/DCM; mDC2/mDC")</f>
        <v>cDC2/cDC;クラシック DC タイプ 2/クラシック DC;従来型 DC タイプ 2/従来型 DC; DC 骨髄 2/DC 骨髄; DC骨髄2/DCM; mDC2/mDC</v>
      </c>
      <c r="H1424" s="3" t="str">
        <f ca="1">IFERROR(__xludf.DUMMYFUNCTION("googletranslate(E1424,""en"",""ja"")"),"生物学的標本中の総骨髄性樹状細胞に対する 2 型骨髄性樹状細胞の相対的な測定値 (比率またはパーセンテージ)。")</f>
        <v>生物学的標本中の総骨髄性樹状細胞に対する 2 型骨髄性樹状細胞の相対的な測定値 (比率またはパーセンテージ)。</v>
      </c>
      <c r="I1424" s="3" t="str">
        <f ca="1">IFERROR(__xludf.DUMMYFUNCTION("googletranslate(F1424,""en"",""ja"")"),"2 型骨髄系樹状細胞と総骨髄系樹状細胞の比率の測定")</f>
        <v>2 型骨髄系樹状細胞と総骨髄系樹状細胞の比率の測定</v>
      </c>
    </row>
    <row r="1425" spans="1:9" ht="75">
      <c r="A1425" s="3" t="s">
        <v>103</v>
      </c>
      <c r="B1425" s="3" t="s">
        <v>6022</v>
      </c>
      <c r="C1425" s="3" t="s">
        <v>6023</v>
      </c>
      <c r="D1425" s="3" t="s">
        <v>6024</v>
      </c>
      <c r="E1425" s="3" t="s">
        <v>6025</v>
      </c>
      <c r="F1425" s="3" t="s">
        <v>6026</v>
      </c>
      <c r="G1425" s="3" t="str">
        <f ca="1">IFERROR(__xludf.DUMMYFUNCTION("googletranslate(D1425,""en"",""ja"")"),"cDC2/白血球;古典的DC 2型/白血球。従来の DC 2 型/白血球。 DC骨髄2/白血病; DC骨髄2/白血球; mDC2/白血球")</f>
        <v>cDC2/白血球;古典的DC 2型/白血球。従来の DC 2 型/白血球。 DC骨髄2/白血病; DC骨髄2/白血球; mDC2/白血球</v>
      </c>
      <c r="H1425" s="3" t="str">
        <f ca="1">IFERROR(__xludf.DUMMYFUNCTION("googletranslate(E1425,""en"",""ja"")"),"生物学的標本中の白血球に対する 2 型骨髄樹状細胞の相対測定値 (比率またはパーセンテージ)。")</f>
        <v>生物学的標本中の白血球に対する 2 型骨髄樹状細胞の相対測定値 (比率またはパーセンテージ)。</v>
      </c>
      <c r="I1425" s="3" t="str">
        <f ca="1">IFERROR(__xludf.DUMMYFUNCTION("googletranslate(F1425,""en"",""ja"")"),"2 型骨髄樹状細胞と白血球の比率の測定")</f>
        <v>2 型骨髄樹状細胞と白血球の比率の測定</v>
      </c>
    </row>
    <row r="1426" spans="1:9" ht="90">
      <c r="A1426" s="3" t="s">
        <v>103</v>
      </c>
      <c r="B1426" s="3" t="s">
        <v>6027</v>
      </c>
      <c r="C1426" s="3" t="s">
        <v>6028</v>
      </c>
      <c r="D1426" s="3" t="s">
        <v>6029</v>
      </c>
      <c r="E1426" s="3" t="s">
        <v>6030</v>
      </c>
      <c r="F1426" s="3" t="s">
        <v>6031</v>
      </c>
      <c r="G1426" s="3" t="str">
        <f ca="1">IFERROR(__xludf.DUMMYFUNCTION("googletranslate(D1426,""en"",""ja"")"),"cDC2 亜集団;古典的な DC タイプ 2 亜集団。従来の DC タイプ 2 亜集団。 DC骨髄2サブ;樹状細胞骨髄 2 亜集団。 mDC2 亜集団")</f>
        <v>cDC2 亜集団;古典的な DC タイプ 2 亜集団。従来の DC タイプ 2 亜集団。 DC骨髄2サブ;樹状細胞骨髄 2 亜集団。 mDC2 亜集団</v>
      </c>
      <c r="H1426" s="3" t="str">
        <f ca="1">IFERROR(__xludf.DUMMYFUNCTION("googletranslate(E1426,""en"",""ja"")"),"生物学的標本中の 2 型骨髄樹状細胞の部分集団の測定。")</f>
        <v>生物学的標本中の 2 型骨髄樹状細胞の部分集団の測定。</v>
      </c>
      <c r="I1426" s="3" t="str">
        <f ca="1">IFERROR(__xludf.DUMMYFUNCTION("googletranslate(F1426,""en"",""ja"")"),"2 型骨髄樹状細胞部分集団の数")</f>
        <v>2 型骨髄樹状細胞部分集団の数</v>
      </c>
    </row>
    <row r="1427" spans="1:9" ht="135">
      <c r="A1427" s="3" t="s">
        <v>103</v>
      </c>
      <c r="B1427" s="3" t="s">
        <v>6032</v>
      </c>
      <c r="C1427" s="3" t="s">
        <v>6033</v>
      </c>
      <c r="D1427" s="3" t="s">
        <v>6034</v>
      </c>
      <c r="E1427" s="3" t="s">
        <v>6035</v>
      </c>
      <c r="F1427" s="3" t="s">
        <v>6036</v>
      </c>
      <c r="G1427" s="3" t="str">
        <f ca="1">IFERROR(__xludf.DUMMYFUNCTION("googletranslate(D1427,""en"",""ja"")"),"cDC2 サブ集団/cDC;古典的 DC タイプ 2 亜集団/古典的 DC;従来型 DC タイプ 2 亜集団/従来型 DC; DC 骨髄 2 サブ/DCM;樹状細胞骨髄 2 サブ集団/樹状細胞骨髄; mDC2 サブ集団/mDC")</f>
        <v>cDC2 サブ集団/cDC;古典的 DC タイプ 2 亜集団/古典的 DC;従来型 DC タイプ 2 亜集団/従来型 DC; DC 骨髄 2 サブ/DCM;樹状細胞骨髄 2 サブ集団/樹状細胞骨髄; mDC2 サブ集団/mDC</v>
      </c>
      <c r="H1427" s="3" t="str">
        <f ca="1">IFERROR(__xludf.DUMMYFUNCTION("googletranslate(E1427,""en"",""ja"")"),"生物学的標本中の総骨髄性樹状細胞に対する 2 型骨髄性樹状細胞の部分集団の相対的な測定値 (比率またはパーセンテージ)。")</f>
        <v>生物学的標本中の総骨髄性樹状細胞に対する 2 型骨髄性樹状細胞の部分集団の相対的な測定値 (比率またはパーセンテージ)。</v>
      </c>
      <c r="I1427" s="3" t="str">
        <f ca="1">IFERROR(__xludf.DUMMYFUNCTION("googletranslate(F1427,""en"",""ja"")"),"2 型骨髄性樹状細胞部分集団と総骨髄性樹状細胞の比率の測定")</f>
        <v>2 型骨髄性樹状細胞部分集団と総骨髄性樹状細胞の比率の測定</v>
      </c>
    </row>
    <row r="1428" spans="1:9" ht="120">
      <c r="A1428" s="3" t="s">
        <v>103</v>
      </c>
      <c r="B1428" s="3" t="s">
        <v>6037</v>
      </c>
      <c r="C1428" s="3" t="s">
        <v>6038</v>
      </c>
      <c r="D1428" s="3" t="s">
        <v>6039</v>
      </c>
      <c r="E1428" s="3" t="s">
        <v>6040</v>
      </c>
      <c r="F1428" s="3" t="s">
        <v>6041</v>
      </c>
      <c r="G1428" s="3" t="str">
        <f ca="1">IFERROR(__xludf.DUMMYFUNCTION("googletranslate(D1428,""en"",""ja"")"),"古典的 DC タイプ 2 亜集団/古典的 DC タイプ 2;従来型 DC タイプ 2 サブ集団/従来型 DC タイプ 2; DC 骨髄 2 亜集団/DC 骨髄 2; DC 骨髄 2 サブ/DC 骨髄 2; DC 骨髄 2 Sub/DCM2; mDC2サブ/mDC2")</f>
        <v>古典的 DC タイプ 2 亜集団/古典的 DC タイプ 2;従来型 DC タイプ 2 サブ集団/従来型 DC タイプ 2; DC 骨髄 2 亜集団/DC 骨髄 2; DC 骨髄 2 サブ/DC 骨髄 2; DC 骨髄 2 Sub/DCM2; mDC2サブ/mDC2</v>
      </c>
      <c r="H1428" s="3" t="str">
        <f ca="1">IFERROR(__xludf.DUMMYFUNCTION("googletranslate(E1428,""en"",""ja"")"),"生物学的標本中の全 2 型骨髄性樹状細胞に対する 2 型骨髄性樹状細胞の部分集団の相対測定値 (比率またはパーセンテージ)。")</f>
        <v>生物学的標本中の全 2 型骨髄性樹状細胞に対する 2 型骨髄性樹状細胞の部分集団の相対測定値 (比率またはパーセンテージ)。</v>
      </c>
      <c r="I1428" s="3" t="str">
        <f ca="1">IFERROR(__xludf.DUMMYFUNCTION("googletranslate(F1428,""en"",""ja"")"),"2 型骨髄性樹状細胞サブ集団と 2 型骨髄性樹状細胞の比率の測定")</f>
        <v>2 型骨髄性樹状細胞サブ集団と 2 型骨髄性樹状細胞の比率の測定</v>
      </c>
    </row>
    <row r="1429" spans="1:9" ht="60">
      <c r="A1429" s="3" t="s">
        <v>103</v>
      </c>
      <c r="B1429" s="3" t="s">
        <v>6042</v>
      </c>
      <c r="C1429" s="3" t="s">
        <v>6043</v>
      </c>
      <c r="D1429" s="3" t="s">
        <v>6044</v>
      </c>
      <c r="E1429" s="3" t="s">
        <v>6045</v>
      </c>
      <c r="F1429" s="3" t="s">
        <v>6046</v>
      </c>
      <c r="G1429" s="3" t="str">
        <f ca="1">IFERROR(__xludf.DUMMYFUNCTION("googletranslate(D1429,""en"",""ja"")"),"cDC3;クラシック DC タイプ 3;従来の DC タイプ 3。 DC骨髄3; DC 骨髄性 3 型。樹状細胞骨髄 3; mDC3")</f>
        <v>cDC3;クラシック DC タイプ 3;従来の DC タイプ 3。 DC骨髄3; DC 骨髄性 3 型。樹状細胞骨髄 3; mDC3</v>
      </c>
      <c r="H1429" s="3" t="str">
        <f ca="1">IFERROR(__xludf.DUMMYFUNCTION("googletranslate(E1429,""en"",""ja"")"),"生物学的標本中の 3 型骨髄樹状細胞の測定。")</f>
        <v>生物学的標本中の 3 型骨髄樹状細胞の測定。</v>
      </c>
      <c r="I1429" s="3" t="str">
        <f ca="1">IFERROR(__xludf.DUMMYFUNCTION("googletranslate(F1429,""en"",""ja"")"),"3 型骨髄樹状細胞数")</f>
        <v>3 型骨髄樹状細胞数</v>
      </c>
    </row>
    <row r="1430" spans="1:9" ht="75">
      <c r="A1430" s="3" t="s">
        <v>103</v>
      </c>
      <c r="B1430" s="3" t="s">
        <v>6047</v>
      </c>
      <c r="C1430" s="3" t="s">
        <v>6048</v>
      </c>
      <c r="D1430" s="3" t="s">
        <v>6049</v>
      </c>
      <c r="E1430" s="3" t="s">
        <v>6050</v>
      </c>
      <c r="F1430" s="3" t="s">
        <v>6051</v>
      </c>
      <c r="G1430" s="3" t="str">
        <f ca="1">IFERROR(__xludf.DUMMYFUNCTION("googletranslate(D1430,""en"",""ja"")"),"cDC3/白血球;古典的DC 3型/白血球。従来の DC 3 型/白血球。 DC骨髄3/白血病; DC骨髄3/白血球; mDC3/白血球")</f>
        <v>cDC3/白血球;古典的DC 3型/白血球。従来の DC 3 型/白血球。 DC骨髄3/白血病; DC骨髄3/白血球; mDC3/白血球</v>
      </c>
      <c r="H1430" s="3" t="str">
        <f ca="1">IFERROR(__xludf.DUMMYFUNCTION("googletranslate(E1430,""en"",""ja"")"),"生物学的標本中の全白血球に対する 3 型骨髄樹状細胞の相対測定値 (比率またはパーセンテージ)。")</f>
        <v>生物学的標本中の全白血球に対する 3 型骨髄樹状細胞の相対測定値 (比率またはパーセンテージ)。</v>
      </c>
      <c r="I1430" s="3" t="str">
        <f ca="1">IFERROR(__xludf.DUMMYFUNCTION("googletranslate(F1430,""en"",""ja"")"),"3 型骨髄樹状細胞と白血球の比率の測定")</f>
        <v>3 型骨髄樹状細胞と白血球の比率の測定</v>
      </c>
    </row>
    <row r="1431" spans="1:9" ht="105">
      <c r="A1431" s="3" t="s">
        <v>103</v>
      </c>
      <c r="B1431" s="3" t="s">
        <v>6052</v>
      </c>
      <c r="C1431" s="3" t="s">
        <v>6053</v>
      </c>
      <c r="D1431" s="3" t="s">
        <v>6054</v>
      </c>
      <c r="E1431" s="3" t="s">
        <v>6055</v>
      </c>
      <c r="F1431" s="3" t="s">
        <v>6056</v>
      </c>
      <c r="G1431" s="3" t="str">
        <f ca="1">IFERROR(__xludf.DUMMYFUNCTION("googletranslate(D1431,""en"",""ja"")"),"古典的 DC タイプ 3 亜集団/古典的 DC タイプ 3;従来型 DC タイプ 3 亜集団/従来型 DC タイプ 3; DC 骨髄 3 亜集団/DC 骨髄 3; DC 骨髄 3 サブ/DC 骨髄 3; mDC3サブ/mDC3")</f>
        <v>古典的 DC タイプ 3 亜集団/古典的 DC タイプ 3;従来型 DC タイプ 3 亜集団/従来型 DC タイプ 3; DC 骨髄 3 亜集団/DC 骨髄 3; DC 骨髄 3 サブ/DC 骨髄 3; mDC3サブ/mDC3</v>
      </c>
      <c r="H1431" s="3" t="str">
        <f ca="1">IFERROR(__xludf.DUMMYFUNCTION("googletranslate(E1431,""en"",""ja"")"),"生物学的標本中の 3 型骨髄性樹状細胞に対する 3 型骨髄性樹状細胞の部分集団の相対的な測定値 (比率またはパーセンテージ)。")</f>
        <v>生物学的標本中の 3 型骨髄性樹状細胞に対する 3 型骨髄性樹状細胞の部分集団の相対的な測定値 (比率またはパーセンテージ)。</v>
      </c>
      <c r="I1431" s="3" t="str">
        <f ca="1">IFERROR(__xludf.DUMMYFUNCTION("googletranslate(F1431,""en"",""ja"")"),"3 型骨髄性樹状細胞サブ集団と 3 型骨髄性樹状細胞の比率の測定")</f>
        <v>3 型骨髄性樹状細胞サブ集団と 3 型骨髄性樹状細胞の比率の測定</v>
      </c>
    </row>
    <row r="1432" spans="1:9" ht="60">
      <c r="A1432" s="3" t="s">
        <v>103</v>
      </c>
      <c r="B1432" s="3" t="s">
        <v>6057</v>
      </c>
      <c r="C1432" s="3" t="s">
        <v>6058</v>
      </c>
      <c r="D1432" s="3" t="s">
        <v>6059</v>
      </c>
      <c r="E1432" s="3" t="s">
        <v>6060</v>
      </c>
      <c r="F1432" s="3" t="s">
        <v>6061</v>
      </c>
      <c r="G1432" s="3" t="str">
        <f ca="1">IFERROR(__xludf.DUMMYFUNCTION("googletranslate(D1432,""en"",""ja"")"),"cDC4;クラシック DC タイプ 4;従来のDCタイプ4; DC骨髄4; DC 骨髄系 4 型。エンドライト細胞骨髄 4; mDC4")</f>
        <v>cDC4;クラシック DC タイプ 4;従来のDCタイプ4; DC骨髄4; DC 骨髄系 4 型。エンドライト細胞骨髄 4; mDC4</v>
      </c>
      <c r="H1432" s="3" t="str">
        <f ca="1">IFERROR(__xludf.DUMMYFUNCTION("googletranslate(E1432,""en"",""ja"")"),"生物学的標本中の 4 型骨髄樹状細胞の測定。")</f>
        <v>生物学的標本中の 4 型骨髄樹状細胞の測定。</v>
      </c>
      <c r="I1432" s="3" t="str">
        <f ca="1">IFERROR(__xludf.DUMMYFUNCTION("googletranslate(F1432,""en"",""ja"")"),"4 型骨髄樹状細胞数")</f>
        <v>4 型骨髄樹状細胞数</v>
      </c>
    </row>
    <row r="1433" spans="1:9" ht="75">
      <c r="A1433" s="3" t="s">
        <v>103</v>
      </c>
      <c r="B1433" s="3" t="s">
        <v>6062</v>
      </c>
      <c r="C1433" s="3" t="s">
        <v>6063</v>
      </c>
      <c r="D1433" s="3" t="s">
        <v>6064</v>
      </c>
      <c r="E1433" s="3" t="s">
        <v>6065</v>
      </c>
      <c r="F1433" s="3" t="s">
        <v>6066</v>
      </c>
      <c r="G1433" s="3" t="str">
        <f ca="1">IFERROR(__xludf.DUMMYFUNCTION("googletranslate(D1433,""en"",""ja"")"),"cDC4/白血球;古典的な DC タイプ 4/白血球。従来の DC タイプ 4/白血球。 DC骨髄4/白血病; DC骨髄4/白血球; mDC4/白血球")</f>
        <v>cDC4/白血球;古典的な DC タイプ 4/白血球。従来の DC タイプ 4/白血球。 DC骨髄4/白血病; DC骨髄4/白血球; mDC4/白血球</v>
      </c>
      <c r="H1433" s="3" t="str">
        <f ca="1">IFERROR(__xludf.DUMMYFUNCTION("googletranslate(E1433,""en"",""ja"")"),"生物学的標本中の全白血球に対する 4 型骨髄樹状細胞の相対測定値 (比率またはパーセンテージ)。")</f>
        <v>生物学的標本中の全白血球に対する 4 型骨髄樹状細胞の相対測定値 (比率またはパーセンテージ)。</v>
      </c>
      <c r="I1433" s="3" t="str">
        <f ca="1">IFERROR(__xludf.DUMMYFUNCTION("googletranslate(F1433,""en"",""ja"")"),"4 型骨髄樹状細胞と白血球の比率の測定")</f>
        <v>4 型骨髄樹状細胞と白血球の比率の測定</v>
      </c>
    </row>
    <row r="1434" spans="1:9" ht="105">
      <c r="A1434" s="3" t="s">
        <v>103</v>
      </c>
      <c r="B1434" s="3" t="s">
        <v>6067</v>
      </c>
      <c r="C1434" s="3" t="s">
        <v>6068</v>
      </c>
      <c r="D1434" s="3" t="s">
        <v>6069</v>
      </c>
      <c r="E1434" s="3" t="s">
        <v>6070</v>
      </c>
      <c r="F1434" s="3" t="s">
        <v>6071</v>
      </c>
      <c r="G1434" s="3" t="str">
        <f ca="1">IFERROR(__xludf.DUMMYFUNCTION("googletranslate(D1434,""en"",""ja"")"),"古典的 DC タイプ 4 亜集団/古典的 DC タイプ 4;従来型 DC タイプ 4 サブ集団/従来型 DC タイプ 4; DC 骨髄 4 亜集団/DC 骨髄 4; DC 骨髄 4 サブ/DC 骨髄 4; mDC4サブ/mDC4")</f>
        <v>古典的 DC タイプ 4 亜集団/古典的 DC タイプ 4;従来型 DC タイプ 4 サブ集団/従来型 DC タイプ 4; DC 骨髄 4 亜集団/DC 骨髄 4; DC 骨髄 4 サブ/DC 骨髄 4; mDC4サブ/mDC4</v>
      </c>
      <c r="H1434" s="3" t="str">
        <f ca="1">IFERROR(__xludf.DUMMYFUNCTION("googletranslate(E1434,""en"",""ja"")"),"生物学的標本中の 4 型骨髄樹状細胞に対する 4 型骨髄樹状細胞の部分集団の相対的な測定値 (比率またはパーセンテージ)。")</f>
        <v>生物学的標本中の 4 型骨髄樹状細胞に対する 4 型骨髄樹状細胞の部分集団の相対的な測定値 (比率またはパーセンテージ)。</v>
      </c>
      <c r="I1434" s="3" t="str">
        <f ca="1">IFERROR(__xludf.DUMMYFUNCTION("googletranslate(F1434,""en"",""ja"")"),"4 型骨髄系樹状細胞サブ集団と 4 型骨髄系樹状細胞の比率の測定")</f>
        <v>4 型骨髄系樹状細胞サブ集団と 4 型骨髄系樹状細胞の比率の測定</v>
      </c>
    </row>
    <row r="1435" spans="1:9" ht="45">
      <c r="A1435" s="3" t="s">
        <v>103</v>
      </c>
      <c r="B1435" s="3" t="s">
        <v>6072</v>
      </c>
      <c r="C1435" s="3" t="s">
        <v>6073</v>
      </c>
      <c r="D1435" s="3" t="s">
        <v>6074</v>
      </c>
      <c r="E1435" s="3" t="s">
        <v>6075</v>
      </c>
      <c r="F1435" s="3" t="s">
        <v>6076</v>
      </c>
      <c r="G1435" s="3" t="str">
        <f ca="1">IFERROR(__xludf.DUMMYFUNCTION("googletranslate(D1435,""en"",""ja"")"),"DC骨髄性Dbl陰性。 DC骨髄性ダブルネガティブ;樹状細胞 骨髄性ダブルネガティブ。 mDC DN")</f>
        <v>DC骨髄性Dbl陰性。 DC骨髄性ダブルネガティブ;樹状細胞 骨髄性ダブルネガティブ。 mDC DN</v>
      </c>
      <c r="H1435" s="3" t="str">
        <f ca="1">IFERROR(__xludf.DUMMYFUNCTION("googletranslate(E1435,""en"",""ja"")"),"生物学的検体中のダブルネガティブ骨髄系樹状細胞（CD1c-CD141-の両方である任意の骨髄系樹状細胞）の測定。")</f>
        <v>生物学的検体中のダブルネガティブ骨髄系樹状細胞（CD1c-CD141-の両方である任意の骨髄系樹状細胞）の測定。</v>
      </c>
      <c r="I1435" s="3" t="str">
        <f ca="1">IFERROR(__xludf.DUMMYFUNCTION("googletranslate(F1435,""en"",""ja"")"),"ダブルネガティブ骨髄樹状細胞数")</f>
        <v>ダブルネガティブ骨髄樹状細胞数</v>
      </c>
    </row>
    <row r="1436" spans="1:9" ht="60">
      <c r="A1436" s="3" t="s">
        <v>103</v>
      </c>
      <c r="B1436" s="3" t="s">
        <v>6077</v>
      </c>
      <c r="C1436" s="3" t="s">
        <v>6078</v>
      </c>
      <c r="D1436" s="3" t="s">
        <v>6079</v>
      </c>
      <c r="E1436" s="3" t="s">
        <v>6080</v>
      </c>
      <c r="F1436" s="3" t="s">
        <v>6081</v>
      </c>
      <c r="G1436" s="3" t="str">
        <f ca="1">IFERROR(__xludf.DUMMYFUNCTION("googletranslate(D1436,""en"",""ja"")"),"ＤＣ骨髄性Ｄｂｌ陰性／ＤＣ骨髄性。樹状細胞 骨髄性 ダブルネガティブ / 樹状細胞 骨髄性; mDC DN/mDC")</f>
        <v>ＤＣ骨髄性Ｄｂｌ陰性／ＤＣ骨髄性。樹状細胞 骨髄性 ダブルネガティブ / 樹状細胞 骨髄性; mDC DN/mDC</v>
      </c>
      <c r="H1436" s="3" t="str">
        <f ca="1">IFERROR(__xludf.DUMMYFUNCTION("googletranslate(E1436,""en"",""ja"")"),"生物学的標本中の総骨髄性樹状細胞に対するダブルネガティブ骨髄性樹状細胞の相対測定値 (比率またはパーセンテージ)。")</f>
        <v>生物学的標本中の総骨髄性樹状細胞に対するダブルネガティブ骨髄性樹状細胞の相対測定値 (比率またはパーセンテージ)。</v>
      </c>
      <c r="I1436" s="3" t="str">
        <f ca="1">IFERROR(__xludf.DUMMYFUNCTION("googletranslate(F1436,""en"",""ja"")"),"ダブルネガティブ骨髄系樹状細胞と骨髄系樹状細胞の比率の測定")</f>
        <v>ダブルネガティブ骨髄系樹状細胞と骨髄系樹状細胞の比率の測定</v>
      </c>
    </row>
    <row r="1437" spans="1:9" ht="75">
      <c r="A1437" s="3" t="s">
        <v>103</v>
      </c>
      <c r="B1437" s="3" t="s">
        <v>6082</v>
      </c>
      <c r="C1437" s="3" t="s">
        <v>6083</v>
      </c>
      <c r="D1437" s="3" t="s">
        <v>6084</v>
      </c>
      <c r="E1437" s="3" t="s">
        <v>6085</v>
      </c>
      <c r="F1437" s="3" t="s">
        <v>6086</v>
      </c>
      <c r="G1437" s="3" t="str">
        <f ca="1">IFERROR(__xludf.DUMMYFUNCTION("googletranslate(D1437,""en"",""ja"")"),"cDC/白血球;古典的なDC/白血球。従来の DC/白血球。 DC骨髄性/白血球; DC 骨髄球/白血球; mDC/白血球")</f>
        <v>cDC/白血球;古典的なDC/白血球。従来の DC/白血球。 DC骨髄性/白血球; DC 骨髄球/白血球; mDC/白血球</v>
      </c>
      <c r="H1437" s="3" t="str">
        <f ca="1">IFERROR(__xludf.DUMMYFUNCTION("googletranslate(E1437,""en"",""ja"")"),"生物学的標本における白血球に対する骨髄樹状細胞の相対的な測定値 (比率またはパーセンテージ)。")</f>
        <v>生物学的標本における白血球に対する骨髄樹状細胞の相対的な測定値 (比率またはパーセンテージ)。</v>
      </c>
      <c r="I1437" s="3" t="str">
        <f ca="1">IFERROR(__xludf.DUMMYFUNCTION("googletranslate(F1437,""en"",""ja"")"),"骨髄樹状細胞と白血球の比率の測定")</f>
        <v>骨髄樹状細胞と白血球の比率の測定</v>
      </c>
    </row>
    <row r="1438" spans="1:9" ht="90">
      <c r="A1438" s="3" t="s">
        <v>103</v>
      </c>
      <c r="B1438" s="3" t="s">
        <v>6087</v>
      </c>
      <c r="C1438" s="3" t="s">
        <v>6088</v>
      </c>
      <c r="D1438" s="3" t="s">
        <v>6089</v>
      </c>
      <c r="E1438" s="3" t="s">
        <v>6090</v>
      </c>
      <c r="F1438" s="3" t="s">
        <v>6091</v>
      </c>
      <c r="G1438" s="3" t="str">
        <f ca="1">IFERROR(__xludf.DUMMYFUNCTION("googletranslate(D1438,""en"",""ja"")"),"cDC/骨髄細胞;古典的な DC/骨髄細胞;従来の DC/骨髄細胞; DC骨髄/骨髄細胞;樹状細胞 骨髄系/骨髄系細胞; mDC/骨髄細胞")</f>
        <v>cDC/骨髄細胞;古典的な DC/骨髄細胞;従来の DC/骨髄細胞; DC骨髄/骨髄細胞;樹状細胞 骨髄系/骨髄系細胞; mDC/骨髄細胞</v>
      </c>
      <c r="H1438" s="3" t="str">
        <f ca="1">IFERROR(__xludf.DUMMYFUNCTION("googletranslate(E1438,""en"",""ja"")"),"生物学的標本中の全骨髄細胞に対する骨髄樹状細胞の相対測定値 (比率またはパーセンテージ)。")</f>
        <v>生物学的標本中の全骨髄細胞に対する骨髄樹状細胞の相対測定値 (比率またはパーセンテージ)。</v>
      </c>
      <c r="I1438" s="3" t="str">
        <f ca="1">IFERROR(__xludf.DUMMYFUNCTION("googletranslate(F1438,""en"",""ja"")"),"骨髄系樹状細胞と骨髄系細胞の比率の測定")</f>
        <v>骨髄系樹状細胞と骨髄系細胞の比率の測定</v>
      </c>
    </row>
    <row r="1439" spans="1:9" ht="60">
      <c r="A1439" s="3" t="s">
        <v>103</v>
      </c>
      <c r="B1439" s="3" t="s">
        <v>6092</v>
      </c>
      <c r="C1439" s="3" t="s">
        <v>6093</v>
      </c>
      <c r="D1439" s="3" t="s">
        <v>6094</v>
      </c>
      <c r="E1439" s="3" t="s">
        <v>6095</v>
      </c>
      <c r="F1439" s="3" t="s">
        <v>6096</v>
      </c>
      <c r="G1439" s="3" t="str">
        <f ca="1">IFERROR(__xludf.DUMMYFUNCTION("googletranslate(D1439,""en"",""ja"")"),"cDC/DC;古典的な DC/DC。従来の DC/DC。 DC 骨髄性/DC;樹状細胞 骨髄/樹状細胞; mDC/DC")</f>
        <v>cDC/DC;古典的な DC/DC。従来の DC/DC。 DC 骨髄性/DC;樹状細胞 骨髄/樹状細胞; mDC/DC</v>
      </c>
      <c r="H1439" s="3" t="str">
        <f ca="1">IFERROR(__xludf.DUMMYFUNCTION("googletranslate(E1439,""en"",""ja"")"),"生物学的標本中の総樹状細胞に対する骨髄樹状細胞の相対的な測定値 (比率またはパーセンテージ)。")</f>
        <v>生物学的標本中の総樹状細胞に対する骨髄樹状細胞の相対的な測定値 (比率またはパーセンテージ)。</v>
      </c>
      <c r="I1439" s="3" t="str">
        <f ca="1">IFERROR(__xludf.DUMMYFUNCTION("googletranslate(F1439,""en"",""ja"")"),"骨髄樹状細胞と総樹状細胞の比率の測定")</f>
        <v>骨髄樹状細胞と総樹状細胞の比率の測定</v>
      </c>
    </row>
    <row r="1440" spans="1:9" ht="30">
      <c r="A1440" s="3" t="s">
        <v>103</v>
      </c>
      <c r="B1440" s="3" t="s">
        <v>6097</v>
      </c>
      <c r="C1440" s="3" t="s">
        <v>6098</v>
      </c>
      <c r="D1440" s="3" t="s">
        <v>6099</v>
      </c>
      <c r="E1440" s="3" t="s">
        <v>6100</v>
      </c>
      <c r="F1440" s="3" t="s">
        <v>6101</v>
      </c>
      <c r="G1440" s="3" t="str">
        <f ca="1">IFERROR(__xludf.DUMMYFUNCTION("googletranslate(D1440,""en"",""ja"")"),"DC骨髄サブ;樹状細胞骨髄サブ集団")</f>
        <v>DC骨髄サブ;樹状細胞骨髄サブ集団</v>
      </c>
      <c r="H1440" s="3" t="str">
        <f ca="1">IFERROR(__xludf.DUMMYFUNCTION("googletranslate(E1440,""en"",""ja"")"),"生物学的標本中の骨髄樹状細胞の部分集団の測定。")</f>
        <v>生物学的標本中の骨髄樹状細胞の部分集団の測定。</v>
      </c>
      <c r="I1440" s="3" t="str">
        <f ca="1">IFERROR(__xludf.DUMMYFUNCTION("googletranslate(F1440,""en"",""ja"")"),"骨髄系樹状細胞部分集団の数")</f>
        <v>骨髄系樹状細胞部分集団の数</v>
      </c>
    </row>
    <row r="1441" spans="1:9" ht="105">
      <c r="A1441" s="3" t="s">
        <v>103</v>
      </c>
      <c r="B1441" s="3" t="s">
        <v>6102</v>
      </c>
      <c r="C1441" s="3" t="s">
        <v>6103</v>
      </c>
      <c r="D1441" s="3" t="s">
        <v>6104</v>
      </c>
      <c r="E1441" s="3" t="s">
        <v>6105</v>
      </c>
      <c r="F1441" s="3" t="s">
        <v>6106</v>
      </c>
      <c r="G1441" s="3" t="str">
        <f ca="1">IFERROR(__xludf.DUMMYFUNCTION("googletranslate(D1441,""en"",""ja"")"),"cDC サブ集団/DC;古典的な DC 部分集団/DC。従来のDCサブ集団/DC。 DC 骨髄亜/DC;樹状細胞 骨髄部分集団/樹状細胞; mDC サブ集団/DC")</f>
        <v>cDC サブ集団/DC;古典的な DC 部分集団/DC。従来のDCサブ集団/DC。 DC 骨髄亜/DC;樹状細胞 骨髄部分集団/樹状細胞; mDC サブ集団/DC</v>
      </c>
      <c r="H1441" s="3" t="str">
        <f ca="1">IFERROR(__xludf.DUMMYFUNCTION("googletranslate(E1441,""en"",""ja"")"),"生物学的標本中の総樹状細胞に対する骨髄性樹状細胞の部分集団の相対的な測定値 (比率またはパーセンテージ)。")</f>
        <v>生物学的標本中の総樹状細胞に対する骨髄性樹状細胞の部分集団の相対的な測定値 (比率またはパーセンテージ)。</v>
      </c>
      <c r="I1441" s="3" t="str">
        <f ca="1">IFERROR(__xludf.DUMMYFUNCTION("googletranslate(F1441,""en"",""ja"")"),"骨髄系樹状細胞亜集団と総樹状細胞の比率の測定")</f>
        <v>骨髄系樹状細胞亜集団と総樹状細胞の比率の測定</v>
      </c>
    </row>
    <row r="1442" spans="1:9" ht="75">
      <c r="A1442" s="3" t="s">
        <v>103</v>
      </c>
      <c r="B1442" s="3" t="s">
        <v>6107</v>
      </c>
      <c r="C1442" s="3" t="s">
        <v>6108</v>
      </c>
      <c r="D1442" s="3" t="s">
        <v>6109</v>
      </c>
      <c r="E1442" s="3" t="s">
        <v>6110</v>
      </c>
      <c r="F1442" s="3" t="s">
        <v>6111</v>
      </c>
      <c r="G1442" s="3" t="str">
        <f ca="1">IFERROR(__xludf.DUMMYFUNCTION("googletranslate(D1442,""en"",""ja"")"),"DC骨髄亜型/DC骨髄亜型; DC骨髄亜/DCMS;樹状細胞骨髄サブ集団/樹状細胞骨髄サブ集団")</f>
        <v>DC骨髄亜型/DC骨髄亜型; DC骨髄亜/DCMS;樹状細胞骨髄サブ集団/樹状細胞骨髄サブ集団</v>
      </c>
      <c r="H1442" s="3" t="str">
        <f ca="1">IFERROR(__xludf.DUMMYFUNCTION("googletranslate(E1442,""en"",""ja"")"),"生物学的標本における骨髄性樹状細胞の部分集団に対する骨髄性樹状細胞の部分集団の相対的な測定値 (比率またはパーセンテージ)。")</f>
        <v>生物学的標本における骨髄性樹状細胞の部分集団に対する骨髄性樹状細胞の部分集団の相対的な測定値 (比率またはパーセンテージ)。</v>
      </c>
      <c r="I1442" s="3" t="str">
        <f ca="1">IFERROR(__xludf.DUMMYFUNCTION("googletranslate(F1442,""en"",""ja"")"),"骨髄系樹状細胞亜集団と骨髄系樹状細胞亜集団の比率の測定")</f>
        <v>骨髄系樹状細胞亜集団と骨髄系樹状細胞亜集団の比率の測定</v>
      </c>
    </row>
    <row r="1443" spans="1:9" ht="120">
      <c r="A1443" s="3" t="s">
        <v>103</v>
      </c>
      <c r="B1443" s="3" t="s">
        <v>6112</v>
      </c>
      <c r="C1443" s="3" t="s">
        <v>6113</v>
      </c>
      <c r="D1443" s="3" t="s">
        <v>6114</v>
      </c>
      <c r="E1443" s="3" t="s">
        <v>6115</v>
      </c>
      <c r="F1443" s="3" t="s">
        <v>6116</v>
      </c>
      <c r="G1443" s="3" t="str">
        <f ca="1">IFERROR(__xludf.DUMMYFUNCTION("googletranslate(D1443,""en"",""ja"")"),"cDC サブ集団/cDC;古典的 DC 部分集団/古典的 DC;従来型 DC サブ集団/従来型 DC; DC 骨髄サブ/DCM;樹状細胞骨髄サブ集団/樹状細胞骨髄; mDC サブ集団/mDC")</f>
        <v>cDC サブ集団/cDC;古典的 DC 部分集団/古典的 DC;従来型 DC サブ集団/従来型 DC; DC 骨髄サブ/DCM;樹状細胞骨髄サブ集団/樹状細胞骨髄; mDC サブ集団/mDC</v>
      </c>
      <c r="H1443" s="3" t="str">
        <f ca="1">IFERROR(__xludf.DUMMYFUNCTION("googletranslate(E1443,""en"",""ja"")"),"生物学的標本中の総骨髄性樹状細胞に対する骨髄性樹状細胞の部分集団の相対的な測定値 (比率またはパーセンテージ)。")</f>
        <v>生物学的標本中の総骨髄性樹状細胞に対する骨髄性樹状細胞の部分集団の相対的な測定値 (比率またはパーセンテージ)。</v>
      </c>
      <c r="I1443" s="3" t="str">
        <f ca="1">IFERROR(__xludf.DUMMYFUNCTION("googletranslate(F1443,""en"",""ja"")"),"骨髄系樹状細胞部分集団と総骨髄系樹状細胞の比率の測定")</f>
        <v>骨髄系樹状細胞部分集団と総骨髄系樹状細胞の比率の測定</v>
      </c>
    </row>
    <row r="1444" spans="1:9" ht="30">
      <c r="A1444" s="3" t="s">
        <v>103</v>
      </c>
      <c r="B1444" s="3" t="s">
        <v>6117</v>
      </c>
      <c r="C1444" s="3" t="s">
        <v>6118</v>
      </c>
      <c r="D1444" s="3" t="s">
        <v>6119</v>
      </c>
      <c r="E1444" s="3" t="s">
        <v>6120</v>
      </c>
      <c r="F1444" s="3" t="s">
        <v>6121</v>
      </c>
      <c r="G1444" s="3" t="str">
        <f ca="1">IFERROR(__xludf.DUMMYFUNCTION("googletranslate(D1444,""en"",""ja"")"),"DC/骨髄細胞;樹状細胞/骨髄細胞")</f>
        <v>DC/骨髄細胞;樹状細胞/骨髄細胞</v>
      </c>
      <c r="H1444" s="3" t="str">
        <f ca="1">IFERROR(__xludf.DUMMYFUNCTION("googletranslate(E1444,""en"",""ja"")"),"生物学的標本中の総骨髄細胞に対する樹状細胞の相対的な測定値 (比率またはパーセンテージ)。")</f>
        <v>生物学的標本中の総骨髄細胞に対する樹状細胞の相対的な測定値 (比率またはパーセンテージ)。</v>
      </c>
      <c r="I1444" s="3" t="str">
        <f ca="1">IFERROR(__xludf.DUMMYFUNCTION("googletranslate(F1444,""en"",""ja"")"),"樹状細胞と骨髄細胞の比率の測定")</f>
        <v>樹状細胞と骨髄細胞の比率の測定</v>
      </c>
    </row>
    <row r="1445" spans="1:9" ht="30">
      <c r="A1445" s="3" t="s">
        <v>103</v>
      </c>
      <c r="B1445" s="3" t="s">
        <v>6122</v>
      </c>
      <c r="C1445" s="3" t="s">
        <v>6123</v>
      </c>
      <c r="D1445" s="3" t="s">
        <v>6124</v>
      </c>
      <c r="E1445" s="3" t="s">
        <v>6125</v>
      </c>
      <c r="F1445" s="3" t="s">
        <v>6126</v>
      </c>
      <c r="G1445" s="3" t="str">
        <f ca="1">IFERROR(__xludf.DUMMYFUNCTION("googletranslate(D1445,""en"",""ja"")"),"DC形質細胞様。形質細胞様樹状細胞")</f>
        <v>DC形質細胞様。形質細胞様樹状細胞</v>
      </c>
      <c r="H1445" s="3" t="str">
        <f ca="1">IFERROR(__xludf.DUMMYFUNCTION("googletranslate(E1445,""en"",""ja"")"),"生物学的標本中の形質細胞様樹状細胞の測定。")</f>
        <v>生物学的標本中の形質細胞様樹状細胞の測定。</v>
      </c>
      <c r="I1445" s="3" t="str">
        <f ca="1">IFERROR(__xludf.DUMMYFUNCTION("googletranslate(F1445,""en"",""ja"")"),"形質細胞様樹状細胞数")</f>
        <v>形質細胞様樹状細胞数</v>
      </c>
    </row>
    <row r="1446" spans="1:9" ht="60">
      <c r="A1446" s="3" t="s">
        <v>103</v>
      </c>
      <c r="B1446" s="3" t="s">
        <v>6127</v>
      </c>
      <c r="C1446" s="3" t="s">
        <v>6128</v>
      </c>
      <c r="D1446" s="3" t="s">
        <v>6129</v>
      </c>
      <c r="E1446" s="3" t="s">
        <v>6130</v>
      </c>
      <c r="F1446" s="3" t="s">
        <v>6131</v>
      </c>
      <c r="G1446" s="3" t="str">
        <f ca="1">IFERROR(__xludf.DUMMYFUNCTION("googletranslate(D1446,""en"",""ja"")"),"DC 形質細胞様/DC; DC 形質細胞様細胞/樹状細胞;形質細胞様樹状細胞/樹状細胞")</f>
        <v>DC 形質細胞様/DC; DC 形質細胞様細胞/樹状細胞;形質細胞様樹状細胞/樹状細胞</v>
      </c>
      <c r="H1446" s="3" t="str">
        <f ca="1">IFERROR(__xludf.DUMMYFUNCTION("googletranslate(E1446,""en"",""ja"")"),"生物学的標本における形質細胞様樹状細胞と樹状細胞の相対的な測定値 (比率またはパーセンテージ)。")</f>
        <v>生物学的標本における形質細胞様樹状細胞と樹状細胞の相対的な測定値 (比率またはパーセンテージ)。</v>
      </c>
      <c r="I1446" s="3" t="str">
        <f ca="1">IFERROR(__xludf.DUMMYFUNCTION("googletranslate(F1446,""en"",""ja"")"),"形質細胞様樹状細胞と樹状細胞の比率の測定")</f>
        <v>形質細胞様樹状細胞と樹状細胞の比率の測定</v>
      </c>
    </row>
    <row r="1447" spans="1:9" ht="45">
      <c r="A1447" s="3" t="s">
        <v>103</v>
      </c>
      <c r="B1447" s="3" t="s">
        <v>6132</v>
      </c>
      <c r="C1447" s="3" t="s">
        <v>6133</v>
      </c>
      <c r="D1447" s="3" t="s">
        <v>6134</v>
      </c>
      <c r="E1447" s="3" t="s">
        <v>6135</v>
      </c>
      <c r="F1447" s="3" t="s">
        <v>6136</v>
      </c>
      <c r="G1447" s="3" t="str">
        <f ca="1">IFERROR(__xludf.DUMMYFUNCTION("googletranslate(D1447,""en"",""ja"")"),"DC形質細胞様/白血病; DC形質細胞様/白血球;樹状細胞 形質細胞様/白血球")</f>
        <v>DC形質細胞様/白血病; DC形質細胞様/白血球;樹状細胞 形質細胞様/白血球</v>
      </c>
      <c r="H1447" s="3" t="str">
        <f ca="1">IFERROR(__xludf.DUMMYFUNCTION("googletranslate(E1447,""en"",""ja"")"),"生物学的標本中の全白血球に対する形質細胞様樹状細胞の相対測定値 (比率またはパーセンテージ)。")</f>
        <v>生物学的標本中の全白血球に対する形質細胞様樹状細胞の相対測定値 (比率またはパーセンテージ)。</v>
      </c>
      <c r="I1447" s="3" t="str">
        <f ca="1">IFERROR(__xludf.DUMMYFUNCTION("googletranslate(F1447,""en"",""ja"")"),"形質細胞様樹状細胞と白血球の比率の測定")</f>
        <v>形質細胞様樹状細胞と白血球の比率の測定</v>
      </c>
    </row>
    <row r="1448" spans="1:9" ht="45">
      <c r="A1448" s="3" t="s">
        <v>103</v>
      </c>
      <c r="B1448" s="3" t="s">
        <v>6137</v>
      </c>
      <c r="C1448" s="3" t="s">
        <v>6138</v>
      </c>
      <c r="D1448" s="3" t="s">
        <v>6139</v>
      </c>
      <c r="E1448" s="3" t="s">
        <v>6140</v>
      </c>
      <c r="F1448" s="3" t="s">
        <v>6141</v>
      </c>
      <c r="G1448" s="3" t="str">
        <f ca="1">IFERROR(__xludf.DUMMYFUNCTION("googletranslate(D1448,""en"",""ja"")"),"DC形質細胞様細胞/骨髄細胞; pDC/骨髄細胞")</f>
        <v>DC形質細胞様細胞/骨髄細胞; pDC/骨髄細胞</v>
      </c>
      <c r="H1448" s="3" t="str">
        <f ca="1">IFERROR(__xludf.DUMMYFUNCTION("googletranslate(E1448,""en"",""ja"")"),"生物学的標本中の総骨髄細胞に対する形質細胞様樹状細胞の相対測定値 (比率またはパーセンテージ)。")</f>
        <v>生物学的標本中の総骨髄細胞に対する形質細胞様樹状細胞の相対測定値 (比率またはパーセンテージ)。</v>
      </c>
      <c r="I1448" s="3" t="str">
        <f ca="1">IFERROR(__xludf.DUMMYFUNCTION("googletranslate(F1448,""en"",""ja"")"),"形質細胞様樹状細胞と骨髄細胞の比率の測定")</f>
        <v>形質細胞様樹状細胞と骨髄細胞の比率の測定</v>
      </c>
    </row>
    <row r="1449" spans="1:9" ht="45">
      <c r="A1449" s="3" t="s">
        <v>185</v>
      </c>
      <c r="B1449" s="3" t="s">
        <v>6142</v>
      </c>
      <c r="C1449" s="3" t="s">
        <v>6143</v>
      </c>
      <c r="D1449" s="3" t="s">
        <v>6144</v>
      </c>
      <c r="E1449" s="3" t="s">
        <v>6145</v>
      </c>
      <c r="F1449" s="3" t="s">
        <v>6146</v>
      </c>
      <c r="G1449" s="3" t="str">
        <f ca="1">IFERROR(__xludf.DUMMYFUNCTION("googletranslate(D1449,""en"",""ja"")"),"食物 22:5 クルパノドン酸。食事性 22:5 クルパノドン酸;食物由来のクルパノドン酸")</f>
        <v>食物 22:5 クルパノドン酸。食事性 22:5 クルパノドン酸;食物由来のクルパノドン酸</v>
      </c>
      <c r="H1449" s="3" t="str">
        <f ca="1">IFERROR(__xludf.DUMMYFUNCTION("googletranslate(E1449,""en"",""ja"")"),"栄養製品または食事、またはその一部に含まれる合計 22:5 クルパノドン酸の測定。")</f>
        <v>栄養製品または食事、またはその一部に含まれる合計 22:5 クルパノドン酸の測定。</v>
      </c>
      <c r="I1449" s="3" t="str">
        <f ca="1">IFERROR(__xludf.DUMMYFUNCTION("googletranslate(F1449,""en"",""ja"")"),"食事によるクルパノドン酸の測定")</f>
        <v>食事によるクルパノドン酸の測定</v>
      </c>
    </row>
    <row r="1450" spans="1:9" ht="45">
      <c r="A1450" s="3" t="s">
        <v>103</v>
      </c>
      <c r="B1450" s="3" t="s">
        <v>6147</v>
      </c>
      <c r="C1450" s="3" t="s">
        <v>6148</v>
      </c>
      <c r="D1450" s="3" t="s">
        <v>6149</v>
      </c>
      <c r="E1450" s="3" t="s">
        <v>6150</v>
      </c>
      <c r="F1450" s="3" t="s">
        <v>6151</v>
      </c>
      <c r="G1450" s="3" t="str">
        <f ca="1">IFERROR(__xludf.DUMMYFUNCTION("googletranslate(D1450,""en"",""ja"")"),"樹状細胞前駆細胞; DC以前。前樹状細胞;前駆体樹状細胞;プレDC")</f>
        <v>樹状細胞前駆細胞; DC以前。前樹状細胞;前駆体樹状細胞;プレDC</v>
      </c>
      <c r="H1450" s="3" t="str">
        <f ca="1">IFERROR(__xludf.DUMMYFUNCTION("googletranslate(E1450,""en"",""ja"")"),"生物学的標本中の前駆体樹状細胞の測定。")</f>
        <v>生物学的標本中の前駆体樹状細胞の測定。</v>
      </c>
      <c r="I1450" s="3" t="str">
        <f ca="1">IFERROR(__xludf.DUMMYFUNCTION("googletranslate(F1450,""en"",""ja"")"),"前樹状細胞の数")</f>
        <v>前樹状細胞の数</v>
      </c>
    </row>
    <row r="1451" spans="1:9" ht="60">
      <c r="A1451" s="3" t="s">
        <v>103</v>
      </c>
      <c r="B1451" s="3" t="s">
        <v>6152</v>
      </c>
      <c r="C1451" s="3" t="s">
        <v>6153</v>
      </c>
      <c r="D1451" s="3" t="s">
        <v>6154</v>
      </c>
      <c r="E1451" s="3" t="s">
        <v>6155</v>
      </c>
      <c r="F1451" s="3" t="s">
        <v>6156</v>
      </c>
      <c r="G1451" s="3" t="str">
        <f ca="1">IFERROR(__xludf.DUMMYFUNCTION("googletranslate(D1451,""en"",""ja"")"),"DC/DC以前。前樹状細胞/DC;前樹状細胞/樹状細胞;前駆体樹状細胞/樹状細胞;プレDC/DC")</f>
        <v>DC/DC以前。前樹状細胞/DC;前樹状細胞/樹状細胞;前駆体樹状細胞/樹状細胞;プレDC/DC</v>
      </c>
      <c r="H1451" s="3" t="str">
        <f ca="1">IFERROR(__xludf.DUMMYFUNCTION("googletranslate(E1451,""en"",""ja"")"),"生物学的標本中の全樹状細胞に対する前駆樹状細胞の相対測定値 (比率またはパーセンテージ)。")</f>
        <v>生物学的標本中の全樹状細胞に対する前駆樹状細胞の相対測定値 (比率またはパーセンテージ)。</v>
      </c>
      <c r="I1451" s="3" t="str">
        <f ca="1">IFERROR(__xludf.DUMMYFUNCTION("googletranslate(F1451,""en"",""ja"")"),"前樹状細胞と樹状細胞の比率の測定")</f>
        <v>前樹状細胞と樹状細胞の比率の測定</v>
      </c>
    </row>
    <row r="1452" spans="1:9" ht="75">
      <c r="A1452" s="3" t="s">
        <v>103</v>
      </c>
      <c r="B1452" s="3" t="s">
        <v>6157</v>
      </c>
      <c r="C1452" s="3" t="s">
        <v>6158</v>
      </c>
      <c r="D1452" s="3" t="s">
        <v>6159</v>
      </c>
      <c r="E1452" s="3" t="s">
        <v>6160</v>
      </c>
      <c r="F1452" s="3" t="s">
        <v>6161</v>
      </c>
      <c r="G1452" s="3" t="str">
        <f ca="1">IFERROR(__xludf.DUMMYFUNCTION("googletranslate(D1452,""en"",""ja"")"),"樹状細胞前駆細胞のサブ集団。プレDCサブ;前樹状細胞サブ;前駆体樹状細胞のサブ集団。プレDCサブ")</f>
        <v>樹状細胞前駆細胞のサブ集団。プレDCサブ;前樹状細胞サブ;前駆体樹状細胞のサブ集団。プレDCサブ</v>
      </c>
      <c r="H1452" s="3" t="str">
        <f ca="1">IFERROR(__xludf.DUMMYFUNCTION("googletranslate(E1452,""en"",""ja"")"),"生物学的標本中の前駆体樹状細胞の部分集団の測定。")</f>
        <v>生物学的標本中の前駆体樹状細胞の部分集団の測定。</v>
      </c>
      <c r="I1452" s="3" t="str">
        <f ca="1">IFERROR(__xludf.DUMMYFUNCTION("googletranslate(F1452,""en"",""ja"")"),"前樹状細胞部分集団の数")</f>
        <v>前樹状細胞部分集団の数</v>
      </c>
    </row>
    <row r="1453" spans="1:9" ht="30">
      <c r="A1453" s="3" t="s">
        <v>103</v>
      </c>
      <c r="B1453" s="3" t="s">
        <v>6162</v>
      </c>
      <c r="C1453" s="3" t="s">
        <v>6163</v>
      </c>
      <c r="D1453" s="3" t="s">
        <v>6164</v>
      </c>
      <c r="E1453" s="3" t="s">
        <v>6165</v>
      </c>
      <c r="F1453" s="3" t="s">
        <v>6166</v>
      </c>
      <c r="G1453" s="3" t="str">
        <f ca="1">IFERROR(__xludf.DUMMYFUNCTION("googletranslate(D1453,""en"",""ja"")"),"DC形質細胞様サブ;形質細胞様樹状細胞サブ集団")</f>
        <v>DC形質細胞様サブ;形質細胞様樹状細胞サブ集団</v>
      </c>
      <c r="H1453" s="3" t="str">
        <f ca="1">IFERROR(__xludf.DUMMYFUNCTION("googletranslate(E1453,""en"",""ja"")"),"生物学的標本中の形質細胞様樹状細胞の部分集団の測定。")</f>
        <v>生物学的標本中の形質細胞様樹状細胞の部分集団の測定。</v>
      </c>
      <c r="I1453" s="3" t="str">
        <f ca="1">IFERROR(__xludf.DUMMYFUNCTION("googletranslate(F1453,""en"",""ja"")"),"形質細胞様樹状細胞部分集団の数")</f>
        <v>形質細胞様樹状細胞部分集団の数</v>
      </c>
    </row>
    <row r="1454" spans="1:9" ht="75">
      <c r="A1454" s="3" t="s">
        <v>103</v>
      </c>
      <c r="B1454" s="3" t="s">
        <v>6167</v>
      </c>
      <c r="C1454" s="3" t="s">
        <v>6168</v>
      </c>
      <c r="D1454" s="3" t="s">
        <v>6169</v>
      </c>
      <c r="E1454" s="3" t="s">
        <v>6170</v>
      </c>
      <c r="F1454" s="3" t="s">
        <v>6171</v>
      </c>
      <c r="G1454" s="3" t="str">
        <f ca="1">IFERROR(__xludf.DUMMYFUNCTION("googletranslate(D1454,""en"",""ja"")"),"DC 形質細胞様サブ/DC 形質細胞様;形質細胞様樹状細胞サブ集団/形質細胞様樹状細胞")</f>
        <v>DC 形質細胞様サブ/DC 形質細胞様;形質細胞様樹状細胞サブ集団/形質細胞様樹状細胞</v>
      </c>
      <c r="H1454" s="3" t="str">
        <f ca="1">IFERROR(__xludf.DUMMYFUNCTION("googletranslate(E1454,""en"",""ja"")"),"生物学的標本中の総形質細胞様樹状細胞に対する形質細胞様樹状細胞の部分集団の相対的な測定値 (比率またはパーセンテージ)。")</f>
        <v>生物学的標本中の総形質細胞様樹状細胞に対する形質細胞様樹状細胞の部分集団の相対的な測定値 (比率またはパーセンテージ)。</v>
      </c>
      <c r="I1454" s="3" t="str">
        <f ca="1">IFERROR(__xludf.DUMMYFUNCTION("googletranslate(F1454,""en"",""ja"")"),"形質細胞様樹状細胞のサブ集団と樹状細胞の比率の測定")</f>
        <v>形質細胞様樹状細胞のサブ集団と樹状細胞の比率の測定</v>
      </c>
    </row>
    <row r="1455" spans="1:9" ht="90">
      <c r="A1455" s="3" t="s">
        <v>103</v>
      </c>
      <c r="B1455" s="3" t="s">
        <v>6172</v>
      </c>
      <c r="C1455" s="3" t="s">
        <v>6173</v>
      </c>
      <c r="D1455" s="3" t="s">
        <v>6174</v>
      </c>
      <c r="E1455" s="3" t="s">
        <v>6175</v>
      </c>
      <c r="F1455" s="3" t="s">
        <v>6176</v>
      </c>
      <c r="G1455" s="3" t="str">
        <f ca="1">IFERROR(__xludf.DUMMYFUNCTION("googletranslate(D1455,""en"",""ja"")"),"DC形質細胞様サブ/DC形質細胞様サブ; DC形質細胞様サブ/DCPS;樹状細胞 形質細胞様サブ集団/樹状細胞 形質細胞様サブ集団")</f>
        <v>DC形質細胞様サブ/DC形質細胞様サブ; DC形質細胞様サブ/DCPS;樹状細胞 形質細胞様サブ集団/樹状細胞 形質細胞様サブ集団</v>
      </c>
      <c r="H1455" s="3" t="str">
        <f ca="1">IFERROR(__xludf.DUMMYFUNCTION("googletranslate(E1455,""en"",""ja"")"),"生物学的標本における形質細胞様樹状細胞の部分集団と形質細胞様樹状細胞の第 2 部分集団（例えば、2 つ以上の部分集団を定義するマーカーに基づく子/親）の相対測定値（比率またはパーセンテージ）")</f>
        <v>生物学的標本における形質細胞様樹状細胞の部分集団と形質細胞様樹状細胞の第 2 部分集団（例えば、2 つ以上の部分集団を定義するマーカーに基づく子/親）の相対測定値（比率またはパーセンテージ）</v>
      </c>
      <c r="I1455" s="3" t="str">
        <f ca="1">IFERROR(__xludf.DUMMYFUNCTION("googletranslate(F1455,""en"",""ja"")"),"形質細胞様樹状細胞亜集団と形質細胞様樹状細胞亜集団の比率の測定")</f>
        <v>形質細胞様樹状細胞亜集団と形質細胞様樹状細胞亜集団の比率の測定</v>
      </c>
    </row>
    <row r="1456" spans="1:9" ht="30">
      <c r="A1456" s="3" t="s">
        <v>185</v>
      </c>
      <c r="B1456" s="3" t="s">
        <v>6177</v>
      </c>
      <c r="C1456" s="3" t="s">
        <v>6178</v>
      </c>
      <c r="D1456" s="3" t="s">
        <v>6178</v>
      </c>
      <c r="E1456" s="3" t="s">
        <v>6179</v>
      </c>
      <c r="F1456" s="3" t="s">
        <v>6180</v>
      </c>
      <c r="G1456" s="3" t="str">
        <f ca="1">IFERROR(__xludf.DUMMYFUNCTION("googletranslate(D1456,""en"",""ja"")"),"食事性ベータクリプトキサンチン")</f>
        <v>食事性ベータクリプトキサンチン</v>
      </c>
      <c r="H1456" s="3" t="str">
        <f ca="1">IFERROR(__xludf.DUMMYFUNCTION("googletranslate(E1456,""en"",""ja"")"),"栄養製品または食事、またはその一部に含まれるベータ-クリプトキサンチンの測定。")</f>
        <v>栄養製品または食事、またはその一部に含まれるベータ-クリプトキサンチンの測定。</v>
      </c>
      <c r="I1456" s="3" t="str">
        <f ca="1">IFERROR(__xludf.DUMMYFUNCTION("googletranslate(F1456,""en"",""ja"")"),"食事中のベータクリプトキサンチンの測定")</f>
        <v>食事中のベータクリプトキサンチンの測定</v>
      </c>
    </row>
    <row r="1457" spans="1:9" ht="30">
      <c r="A1457" s="3" t="s">
        <v>103</v>
      </c>
      <c r="B1457" s="3" t="s">
        <v>6181</v>
      </c>
      <c r="C1457" s="3" t="s">
        <v>6182</v>
      </c>
      <c r="D1457" s="3" t="s">
        <v>6183</v>
      </c>
      <c r="E1457" s="3" t="s">
        <v>6184</v>
      </c>
      <c r="F1457" s="3" t="s">
        <v>6185</v>
      </c>
      <c r="G1457" s="3" t="str">
        <f ca="1">IFERROR(__xludf.DUMMYFUNCTION("googletranslate(D1457,""en"",""ja"")"),"DCサブ;樹状細胞サブ集団")</f>
        <v>DCサブ;樹状細胞サブ集団</v>
      </c>
      <c r="H1457" s="3" t="str">
        <f ca="1">IFERROR(__xludf.DUMMYFUNCTION("googletranslate(E1457,""en"",""ja"")"),"生物学的標本中の樹状細胞の部分集団の測定。")</f>
        <v>生物学的標本中の樹状細胞の部分集団の測定。</v>
      </c>
      <c r="I1457" s="3" t="str">
        <f ca="1">IFERROR(__xludf.DUMMYFUNCTION("googletranslate(F1457,""en"",""ja"")"),"樹状細胞部分集団の数")</f>
        <v>樹状細胞部分集団の数</v>
      </c>
    </row>
    <row r="1458" spans="1:9" ht="45">
      <c r="A1458" s="3" t="s">
        <v>103</v>
      </c>
      <c r="B1458" s="3" t="s">
        <v>6186</v>
      </c>
      <c r="C1458" s="3" t="s">
        <v>6187</v>
      </c>
      <c r="D1458" s="3" t="s">
        <v>6188</v>
      </c>
      <c r="E1458" s="3" t="s">
        <v>6189</v>
      </c>
      <c r="F1458" s="3" t="s">
        <v>6190</v>
      </c>
      <c r="G1458" s="3" t="str">
        <f ca="1">IFERROR(__xludf.DUMMYFUNCTION("googletranslate(D1458,""en"",""ja"")"),"DC 部分集団/DC; DCサブ/DC;樹状細胞部分集団/樹状細胞")</f>
        <v>DC 部分集団/DC; DCサブ/DC;樹状細胞部分集団/樹状細胞</v>
      </c>
      <c r="H1458" s="3" t="str">
        <f ca="1">IFERROR(__xludf.DUMMYFUNCTION("googletranslate(E1458,""en"",""ja"")"),"生物学的標本中の樹状細胞の総数に対する樹状細胞の部分集団の相対的な測定値 (比率またはパーセンテージ)。")</f>
        <v>生物学的標本中の樹状細胞の総数に対する樹状細胞の部分集団の相対的な測定値 (比率またはパーセンテージ)。</v>
      </c>
      <c r="I1458" s="3" t="str">
        <f ca="1">IFERROR(__xludf.DUMMYFUNCTION("googletranslate(F1458,""en"",""ja"")"),"樹状細胞サブ集団対樹状細胞比の測定")</f>
        <v>樹状細胞サブ集団対樹状細胞比の測定</v>
      </c>
    </row>
    <row r="1459" spans="1:9" ht="30">
      <c r="A1459" s="3" t="s">
        <v>185</v>
      </c>
      <c r="B1459" s="3" t="s">
        <v>6191</v>
      </c>
      <c r="C1459" s="3" t="s">
        <v>6192</v>
      </c>
      <c r="D1459" s="3" t="s">
        <v>6192</v>
      </c>
      <c r="E1459" s="3" t="s">
        <v>6193</v>
      </c>
      <c r="F1459" s="3" t="s">
        <v>6194</v>
      </c>
      <c r="G1459" s="3" t="str">
        <f ca="1">IFERROR(__xludf.DUMMYFUNCTION("googletranslate(D1459,""en"",""ja"")"),"食物銅")</f>
        <v>食物銅</v>
      </c>
      <c r="H1459" s="3" t="str">
        <f ca="1">IFERROR(__xludf.DUMMYFUNCTION("googletranslate(E1459,""en"",""ja"")"),"栄養製品または食事、またはその一部に含まれる総銅の測定。")</f>
        <v>栄養製品または食事、またはその一部に含まれる総銅の測定。</v>
      </c>
      <c r="I1459" s="3" t="str">
        <f ca="1">IFERROR(__xludf.DUMMYFUNCTION("googletranslate(F1459,""en"",""ja"")"),"食事中の銅の測定")</f>
        <v>食事中の銅の測定</v>
      </c>
    </row>
    <row r="1460" spans="1:9" ht="45">
      <c r="A1460" s="3" t="s">
        <v>185</v>
      </c>
      <c r="B1460" s="3" t="s">
        <v>6195</v>
      </c>
      <c r="C1460" s="3" t="s">
        <v>6196</v>
      </c>
      <c r="D1460" s="3" t="s">
        <v>6196</v>
      </c>
      <c r="E1460" s="3" t="s">
        <v>6197</v>
      </c>
      <c r="F1460" s="3" t="s">
        <v>6198</v>
      </c>
      <c r="G1460" s="3" t="str">
        <f ca="1">IFERROR(__xludf.DUMMYFUNCTION("googletranslate(D1460,""en"",""ja"")"),"食事の合計乳製品")</f>
        <v>食事の合計乳製品</v>
      </c>
      <c r="H1460" s="3" t="str">
        <f ca="1">IFERROR(__xludf.DUMMYFUNCTION("googletranslate(E1460,""en"",""ja"")"),"栄養製品または食事、あるいはその一部に含まれる乳製品（乳から製造された、または乳を含む食品）の総量の測定。")</f>
        <v>栄養製品または食事、あるいはその一部に含まれる乳製品（乳から製造された、または乳を含む食品）の総量の測定。</v>
      </c>
      <c r="I1460" s="3" t="str">
        <f ca="1">IFERROR(__xludf.DUMMYFUNCTION("googletranslate(F1460,""en"",""ja"")"),"食事乳製品の測定")</f>
        <v>食事乳製品の測定</v>
      </c>
    </row>
    <row r="1461" spans="1:9" ht="60">
      <c r="A1461" s="3" t="s">
        <v>185</v>
      </c>
      <c r="B1461" s="3" t="s">
        <v>6199</v>
      </c>
      <c r="C1461" s="3" t="s">
        <v>6200</v>
      </c>
      <c r="D1461" s="3" t="s">
        <v>6201</v>
      </c>
      <c r="E1461" s="3" t="s">
        <v>6202</v>
      </c>
      <c r="F1461" s="3" t="s">
        <v>6203</v>
      </c>
      <c r="G1461" s="3" t="str">
        <f ca="1">IFERROR(__xludf.DUMMYFUNCTION("googletranslate(D1461,""en"",""ja"")"),"食事 22:6 ドコサヘキサエン酸;食事 22:6 ドコサヘキサエン酸;食物由来のドコサヘキサエン酸")</f>
        <v>食事 22:6 ドコサヘキサエン酸;食事 22:6 ドコサヘキサエン酸;食物由来のドコサヘキサエン酸</v>
      </c>
      <c r="H1461" s="3" t="str">
        <f ca="1">IFERROR(__xludf.DUMMYFUNCTION("googletranslate(E1461,""en"",""ja"")"),"栄養製品または食事、またはその一部に含まれる合計 22:6 ドコサヘキサエン酸の測定。")</f>
        <v>栄養製品または食事、またはその一部に含まれる合計 22:6 ドコサヘキサエン酸の測定。</v>
      </c>
      <c r="I1461" s="3" t="str">
        <f ca="1">IFERROR(__xludf.DUMMYFUNCTION("googletranslate(F1461,""en"",""ja"")"),"食事によるドコサヘキサエン酸の測定")</f>
        <v>食事によるドコサヘキサエン酸の測定</v>
      </c>
    </row>
    <row r="1462" spans="1:9" ht="45">
      <c r="A1462" s="3" t="s">
        <v>503</v>
      </c>
      <c r="B1462" s="3" t="s">
        <v>6204</v>
      </c>
      <c r="C1462" s="3" t="s">
        <v>6205</v>
      </c>
      <c r="D1462" s="3" t="s">
        <v>6205</v>
      </c>
      <c r="E1462" s="3" t="s">
        <v>6206</v>
      </c>
      <c r="F1462" s="3" t="s">
        <v>6207</v>
      </c>
      <c r="G1462" s="3" t="str">
        <f ca="1">IFERROR(__xludf.DUMMYFUNCTION("googletranslate(D1462,""en"",""ja"")"),"死亡した寄付者の寄付の種類")</f>
        <v>死亡した寄付者の寄付の種類</v>
      </c>
      <c r="H1462" s="3" t="str">
        <f ca="1">IFERROR(__xludf.DUMMYFUNCTION("googletranslate(E1462,""en"",""ja"")"),"死亡したドナーから臓器が採取される条件。ドナーの状態や環境も含まれます。")</f>
        <v>死亡したドナーから臓器が採取される条件。ドナーの状態や環境も含まれます。</v>
      </c>
      <c r="I1462" s="3" t="str">
        <f ca="1">IFERROR(__xludf.DUMMYFUNCTION("googletranslate(F1462,""en"",""ja"")"),"亡くなった方の寄付条件")</f>
        <v>亡くなった方の寄付条件</v>
      </c>
    </row>
    <row r="1463" spans="1:9">
      <c r="A1463" s="3" t="s">
        <v>6</v>
      </c>
      <c r="B1463" s="3" t="s">
        <v>6208</v>
      </c>
      <c r="C1463" s="3" t="s">
        <v>6209</v>
      </c>
      <c r="D1463" s="3" t="s">
        <v>6209</v>
      </c>
      <c r="E1463" s="3" t="s">
        <v>6210</v>
      </c>
      <c r="F1463" s="3" t="s">
        <v>6211</v>
      </c>
      <c r="G1463" s="3" t="str">
        <f ca="1">IFERROR(__xludf.DUMMYFUNCTION("googletranslate(D1463,""en"",""ja"")"),"D-ダイマー")</f>
        <v>D-ダイマー</v>
      </c>
      <c r="H1463" s="3" t="str">
        <f ca="1">IFERROR(__xludf.DUMMYFUNCTION("googletranslate(E1463,""en"",""ja"")"),"生物学的標本中の d ダイマーの測定。")</f>
        <v>生物学的標本中の d ダイマーの測定。</v>
      </c>
      <c r="I1463" s="3" t="str">
        <f ca="1">IFERROR(__xludf.DUMMYFUNCTION("googletranslate(F1463,""en"",""ja"")"),"D-ダイマー測定")</f>
        <v>D-ダイマー測定</v>
      </c>
    </row>
    <row r="1464" spans="1:9" ht="30">
      <c r="A1464" s="3" t="s">
        <v>6</v>
      </c>
      <c r="B1464" s="3" t="s">
        <v>6212</v>
      </c>
      <c r="C1464" s="3" t="s">
        <v>6213</v>
      </c>
      <c r="D1464" s="3" t="s">
        <v>6213</v>
      </c>
      <c r="E1464" s="3" t="s">
        <v>6214</v>
      </c>
      <c r="F1464" s="3" t="s">
        <v>6215</v>
      </c>
      <c r="G1464" s="3" t="str">
        <f ca="1">IFERROR(__xludf.DUMMYFUNCTION("googletranslate(D1464,""en"",""ja"")"),"抗二本鎖 DNA IgG")</f>
        <v>抗二本鎖 DNA IgG</v>
      </c>
      <c r="H1464" s="3" t="str">
        <f ca="1">IFERROR(__xludf.DUMMYFUNCTION("googletranslate(E1464,""en"",""ja"")"),"生物学的検体中の二本鎖 DNA IgG 抗体の測定。")</f>
        <v>生物学的検体中の二本鎖 DNA IgG 抗体の測定。</v>
      </c>
      <c r="I1464" s="3" t="str">
        <f ca="1">IFERROR(__xludf.DUMMYFUNCTION("googletranslate(F1464,""en"",""ja"")"),"抗二本鎖 DNA IgG 測定")</f>
        <v>抗二本鎖 DNA IgG 測定</v>
      </c>
    </row>
    <row r="1465" spans="1:9" ht="60">
      <c r="A1465" s="3" t="s">
        <v>6</v>
      </c>
      <c r="B1465" s="3" t="s">
        <v>6216</v>
      </c>
      <c r="C1465" s="3" t="s">
        <v>6217</v>
      </c>
      <c r="D1465" s="3" t="s">
        <v>6218</v>
      </c>
      <c r="E1465" s="3" t="s">
        <v>6219</v>
      </c>
      <c r="F1465" s="3" t="s">
        <v>6220</v>
      </c>
      <c r="G1465" s="3" t="str">
        <f ca="1">IFERROR(__xludf.DUMMYFUNCTION("googletranslate(D1465,""en"",""ja"")"),"デッドボックスプロテイン58; DExD/H-ボックス ヘリケース 58;おそらく ATP 依存性 RNA ヘリカーゼ DDX58")</f>
        <v>デッドボックスプロテイン58; DExD/H-ボックス ヘリケース 58;おそらく ATP 依存性 RNA ヘリカーゼ DDX58</v>
      </c>
      <c r="H1465" s="3" t="str">
        <f ca="1">IFERROR(__xludf.DUMMYFUNCTION("googletranslate(E1465,""en"",""ja"")"),"生物学的標本中の DEAD ボックスタンパク質 58 の測定。")</f>
        <v>生物学的標本中の DEAD ボックスタンパク質 58 の測定。</v>
      </c>
      <c r="I1465" s="3" t="str">
        <f ca="1">IFERROR(__xludf.DUMMYFUNCTION("googletranslate(F1465,""en"",""ja"")"),"DEAD Box プロテイン 58 の測定")</f>
        <v>DEAD Box プロテイン 58 の測定</v>
      </c>
    </row>
    <row r="1466" spans="1:9" ht="75">
      <c r="A1466" s="3" t="s">
        <v>81</v>
      </c>
      <c r="B1466" s="3" t="s">
        <v>6221</v>
      </c>
      <c r="C1466" s="3" t="s">
        <v>6222</v>
      </c>
      <c r="D1466" s="3" t="s">
        <v>6223</v>
      </c>
      <c r="E1466" s="3" t="s">
        <v>6224</v>
      </c>
      <c r="F1466" s="3" t="s">
        <v>6225</v>
      </c>
      <c r="G1466" s="3" t="str">
        <f ca="1">IFERROR(__xludf.DUMMYFUNCTION("googletranslate(D1466,""en"",""ja"")"),"DeBakey AoD 分類; DeBakey 大動脈解離の分類")</f>
        <v>DeBakey AoD 分類; DeBakey 大動脈解離の分類</v>
      </c>
      <c r="H1466" s="3" t="str">
        <f ca="1">IFERROR(__xludf.DUMMYFUNCTION("googletranslate(E1466,""en"",""ja"")"),"DeBakey 分類システム (DeBakey ME、Henly WS、Cooley DA、Morris GC Jr、Crawford ES、Beall AC Jr. 大動脈解離性動脈瘤の外科的管理。J Thorac Cardiovasc Surg. 1965 Jan;49) によって定義される大動脈解離の種類。")</f>
        <v>DeBakey 分類システム (DeBakey ME、Henly WS、Cooley DA、Morris GC Jr、Crawford ES、Beall AC Jr. 大動脈解離性動脈瘤の外科的管理。J Thorac Cardiovasc Surg. 1965 Jan;49) によって定義される大動脈解離の種類。</v>
      </c>
      <c r="I1466" s="3" t="str">
        <f ca="1">IFERROR(__xludf.DUMMYFUNCTION("googletranslate(F1466,""en"",""ja"")"),"DeBakey 大動脈解離の分類")</f>
        <v>DeBakey 大動脈解離の分類</v>
      </c>
    </row>
    <row r="1467" spans="1:9" ht="60">
      <c r="A1467" s="3" t="s">
        <v>1255</v>
      </c>
      <c r="B1467" s="3" t="s">
        <v>6226</v>
      </c>
      <c r="C1467" s="3" t="s">
        <v>6227</v>
      </c>
      <c r="D1467" s="3" t="s">
        <v>6227</v>
      </c>
      <c r="E1467" s="3" t="s">
        <v>6228</v>
      </c>
      <c r="F1467" s="3" t="s">
        <v>6227</v>
      </c>
      <c r="G1467" s="3" t="str">
        <f ca="1">IFERROR(__xludf.DUMMYFUNCTION("googletranslate(D1467,""en"",""ja"")"),"減衰補正インジケーター")</f>
        <v>減衰補正インジケーター</v>
      </c>
      <c r="H1467" s="3" t="str">
        <f ca="1">IFERROR(__xludf.DUMMYFUNCTION("googletranslate(E1467,""en"",""ja"")"),"画像再構成が、画像取得中に放射性標識トレーサーが体内に広がるにつれて減衰する時間活性曲線を考慮したかどうかに関する指標。")</f>
        <v>画像再構成が、画像取得中に放射性標識トレーサーが体内に広がるにつれて減衰する時間活性曲線を考慮したかどうかに関する指標。</v>
      </c>
      <c r="I1467" s="3" t="str">
        <f ca="1">IFERROR(__xludf.DUMMYFUNCTION("googletranslate(F1467,""en"",""ja"")"),"減衰補正インジケーター")</f>
        <v>減衰補正インジケーター</v>
      </c>
    </row>
    <row r="1468" spans="1:9">
      <c r="A1468" s="3" t="s">
        <v>6</v>
      </c>
      <c r="B1468" s="3" t="s">
        <v>6229</v>
      </c>
      <c r="C1468" s="3" t="s">
        <v>6230</v>
      </c>
      <c r="D1468" s="3" t="s">
        <v>6231</v>
      </c>
      <c r="E1468" s="3" t="s">
        <v>6232</v>
      </c>
      <c r="F1468" s="3" t="s">
        <v>6233</v>
      </c>
      <c r="G1468" s="3" t="str">
        <f ca="1">IFERROR(__xludf.DUMMYFUNCTION("googletranslate(D1468,""en"",""ja"")"),"DCN;デコリン")</f>
        <v>DCN;デコリン</v>
      </c>
      <c r="H1468" s="3" t="str">
        <f ca="1">IFERROR(__xludf.DUMMYFUNCTION("googletranslate(E1468,""en"",""ja"")"),"生物学的標本中のデコリンの測定。")</f>
        <v>生物学的標本中のデコリンの測定。</v>
      </c>
      <c r="I1468" s="3" t="str">
        <f ca="1">IFERROR(__xludf.DUMMYFUNCTION("googletranslate(F1468,""en"",""ja"")"),"デコリン測定")</f>
        <v>デコリン測定</v>
      </c>
    </row>
    <row r="1469" spans="1:9" ht="30">
      <c r="A1469" s="3" t="s">
        <v>185</v>
      </c>
      <c r="B1469" s="3" t="s">
        <v>6234</v>
      </c>
      <c r="C1469" s="3" t="s">
        <v>6235</v>
      </c>
      <c r="D1469" s="3" t="s">
        <v>6235</v>
      </c>
      <c r="E1469" s="3" t="s">
        <v>6236</v>
      </c>
      <c r="F1469" s="3" t="s">
        <v>6237</v>
      </c>
      <c r="G1469" s="3" t="str">
        <f ca="1">IFERROR(__xludf.DUMMYFUNCTION("googletranslate(D1469,""en"",""ja"")"),"食事用卵")</f>
        <v>食事用卵</v>
      </c>
      <c r="H1469" s="3" t="str">
        <f ca="1">IFERROR(__xludf.DUMMYFUNCTION("googletranslate(E1469,""en"",""ja"")"),"栄養製品または食事、あるいはその一部に含まれる卵の測定。")</f>
        <v>栄養製品または食事、あるいはその一部に含まれる卵の測定。</v>
      </c>
      <c r="I1469" s="3" t="str">
        <f ca="1">IFERROR(__xludf.DUMMYFUNCTION("googletranslate(F1469,""en"",""ja"")"),"食用卵の測定")</f>
        <v>食用卵の測定</v>
      </c>
    </row>
    <row r="1470" spans="1:9" ht="30">
      <c r="A1470" s="3" t="s">
        <v>6</v>
      </c>
      <c r="B1470" s="3" t="s">
        <v>6238</v>
      </c>
      <c r="C1470" s="3" t="s">
        <v>6239</v>
      </c>
      <c r="D1470" s="3" t="s">
        <v>6239</v>
      </c>
      <c r="E1470" s="3" t="s">
        <v>6240</v>
      </c>
      <c r="F1470" s="3" t="s">
        <v>6239</v>
      </c>
      <c r="G1470" s="3" t="str">
        <f ca="1">IFERROR(__xludf.DUMMYFUNCTION("googletranslate(D1470,""en"",""ja"")"),"密度")</f>
        <v>密度</v>
      </c>
      <c r="H1470" s="3" t="str">
        <f ca="1">IFERROR(__xludf.DUMMYFUNCTION("googletranslate(E1470,""en"",""ja"")"),"単位体積あたりの質量で表される生物学的標本の緻密さの測定値。")</f>
        <v>単位体積あたりの質量で表される生物学的標本の緻密さの測定値。</v>
      </c>
      <c r="I1470" s="3" t="str">
        <f ca="1">IFERROR(__xludf.DUMMYFUNCTION("googletranslate(F1470,""en"",""ja"")"),"密度")</f>
        <v>密度</v>
      </c>
    </row>
    <row r="1471" spans="1:9" ht="45">
      <c r="A1471" s="3" t="s">
        <v>81</v>
      </c>
      <c r="B1471" s="3" t="s">
        <v>6241</v>
      </c>
      <c r="C1471" s="3" t="s">
        <v>6242</v>
      </c>
      <c r="D1471" s="3" t="s">
        <v>6242</v>
      </c>
      <c r="E1471" s="3" t="s">
        <v>6243</v>
      </c>
      <c r="F1471" s="3" t="s">
        <v>6242</v>
      </c>
      <c r="G1471" s="3" t="str">
        <f ca="1">IFERROR(__xludf.DUMMYFUNCTION("googletranslate(D1471,""en"",""ja"")"),"深さ")</f>
        <v>深さ</v>
      </c>
      <c r="H1471" s="3" t="str">
        <f ca="1">IFERROR(__xludf.DUMMYFUNCTION("googletranslate(E1471,""en"",""ja"")"),"下方または内側への広がり。深さを決定するために表面から下に向かって垂直に測定します。 (NCI)")</f>
        <v>下方または内側への広がり。深さを決定するために表面から下に向かって垂直に測定します。 (NCI)</v>
      </c>
      <c r="I1471" s="3" t="str">
        <f ca="1">IFERROR(__xludf.DUMMYFUNCTION("googletranslate(F1471,""en"",""ja"")"),"深さ")</f>
        <v>深さ</v>
      </c>
    </row>
    <row r="1472" spans="1:9" ht="30">
      <c r="A1472" s="3" t="s">
        <v>185</v>
      </c>
      <c r="B1472" s="3" t="s">
        <v>6244</v>
      </c>
      <c r="C1472" s="3" t="s">
        <v>6245</v>
      </c>
      <c r="D1472" s="3" t="s">
        <v>6246</v>
      </c>
      <c r="E1472" s="3" t="s">
        <v>6247</v>
      </c>
      <c r="F1472" s="3" t="s">
        <v>6248</v>
      </c>
      <c r="G1472" s="3" t="str">
        <f ca="1">IFERROR(__xludf.DUMMYFUNCTION("googletranslate(D1472,""en"",""ja"")"),"食事 22:1 エルカテ。食事 22:1 エルカ酸;食事性エルシン酸")</f>
        <v>食事 22:1 エルカテ。食事 22:1 エルカ酸;食事性エルシン酸</v>
      </c>
      <c r="H1472" s="3" t="str">
        <f ca="1">IFERROR(__xludf.DUMMYFUNCTION("googletranslate(E1472,""en"",""ja"")"),"栄養製品または食事、またはその一部に含まれる合計 22:1 エルカ酸の測定。")</f>
        <v>栄養製品または食事、またはその一部に含まれる合計 22:1 エルカ酸の測定。</v>
      </c>
      <c r="I1472" s="3" t="str">
        <f ca="1">IFERROR(__xludf.DUMMYFUNCTION("googletranslate(F1472,""en"",""ja"")"),"食事中のエルシン酸の測定")</f>
        <v>食事中のエルシン酸の測定</v>
      </c>
    </row>
    <row r="1473" spans="1:9">
      <c r="A1473" s="3" t="s">
        <v>6</v>
      </c>
      <c r="B1473" s="3" t="s">
        <v>6249</v>
      </c>
      <c r="C1473" s="3" t="s">
        <v>6250</v>
      </c>
      <c r="D1473" s="3" t="s">
        <v>6250</v>
      </c>
      <c r="E1473" s="3" t="s">
        <v>6251</v>
      </c>
      <c r="F1473" s="3" t="s">
        <v>6252</v>
      </c>
      <c r="G1473" s="3" t="str">
        <f ca="1">IFERROR(__xludf.DUMMYFUNCTION("googletranslate(D1473,""en"",""ja"")"),"デシプラミン")</f>
        <v>デシプラミン</v>
      </c>
      <c r="H1473" s="3" t="str">
        <f ca="1">IFERROR(__xludf.DUMMYFUNCTION("googletranslate(E1473,""en"",""ja"")"),"生物学的標本中のデシプラミンの測定。")</f>
        <v>生物学的標本中のデシプラミンの測定。</v>
      </c>
      <c r="I1473" s="3" t="str">
        <f ca="1">IFERROR(__xludf.DUMMYFUNCTION("googletranslate(F1473,""en"",""ja"")"),"デシプラミンの測定")</f>
        <v>デシプラミンの測定</v>
      </c>
    </row>
    <row r="1474" spans="1:9">
      <c r="A1474" s="3" t="s">
        <v>6</v>
      </c>
      <c r="B1474" s="3" t="s">
        <v>6253</v>
      </c>
      <c r="C1474" s="3" t="s">
        <v>6254</v>
      </c>
      <c r="D1474" s="3" t="s">
        <v>6255</v>
      </c>
      <c r="E1474" s="3" t="s">
        <v>6256</v>
      </c>
      <c r="F1474" s="3" t="s">
        <v>6257</v>
      </c>
      <c r="G1474" s="3" t="str">
        <f ca="1">IFERROR(__xludf.DUMMYFUNCTION("googletranslate(D1474,""en"",""ja"")"),"DES;デスモシン")</f>
        <v>DES;デスモシン</v>
      </c>
      <c r="H1474" s="3" t="str">
        <f ca="1">IFERROR(__xludf.DUMMYFUNCTION("googletranslate(E1474,""en"",""ja"")"),"標本中のデスモシンの測定。")</f>
        <v>標本中のデスモシンの測定。</v>
      </c>
      <c r="I1474" s="3" t="str">
        <f ca="1">IFERROR(__xludf.DUMMYFUNCTION("googletranslate(F1474,""en"",""ja"")"),"デスモシン測定")</f>
        <v>デスモシン測定</v>
      </c>
    </row>
    <row r="1475" spans="1:9" ht="30">
      <c r="A1475" s="3" t="s">
        <v>1557</v>
      </c>
      <c r="B1475" s="3" t="s">
        <v>6258</v>
      </c>
      <c r="C1475" s="3" t="s">
        <v>6259</v>
      </c>
      <c r="D1475" s="3" t="s">
        <v>6259</v>
      </c>
      <c r="E1475" s="3" t="s">
        <v>6260</v>
      </c>
      <c r="F1475" s="3" t="s">
        <v>6261</v>
      </c>
      <c r="G1475" s="3" t="str">
        <f ca="1">IFERROR(__xludf.DUMMYFUNCTION("googletranslate(D1475,""en"",""ja"")"),"別働隊")</f>
        <v>別働隊</v>
      </c>
      <c r="H1475" s="3" t="str">
        <f ca="1">IFERROR(__xludf.DUMMYFUNCTION("googletranslate(E1475,""en"",""ja"")"),"正常に取り付けられた 2 つの構造間の異常な分離の評価。")</f>
        <v>正常に取り付けられた 2 つの構造間の異常な分離の評価。</v>
      </c>
      <c r="I1475" s="3" t="str">
        <f ca="1">IFERROR(__xludf.DUMMYFUNCTION("googletranslate(F1475,""en"",""ja"")"),"組織剥離の評価")</f>
        <v>組織剥離の評価</v>
      </c>
    </row>
    <row r="1476" spans="1:9">
      <c r="A1476" s="3" t="s">
        <v>51</v>
      </c>
      <c r="B1476" s="3" t="s">
        <v>6262</v>
      </c>
      <c r="C1476" s="3" t="s">
        <v>6263</v>
      </c>
      <c r="D1476" s="3" t="s">
        <v>6263</v>
      </c>
      <c r="E1476" s="3" t="s">
        <v>6264</v>
      </c>
      <c r="F1476" s="3" t="s">
        <v>6265</v>
      </c>
      <c r="G1476" s="3" t="str">
        <f ca="1">IFERROR(__xludf.DUMMYFUNCTION("googletranslate(D1476,""en"",""ja"")"),"ジエチレングリコール")</f>
        <v>ジエチレングリコール</v>
      </c>
      <c r="H1476" s="3" t="str">
        <f ca="1">IFERROR(__xludf.DUMMYFUNCTION("googletranslate(E1476,""en"",""ja"")"),"試料中のジエチレングリコールの測定。")</f>
        <v>試料中のジエチレングリコールの測定。</v>
      </c>
      <c r="I1476" s="3" t="str">
        <f ca="1">IFERROR(__xludf.DUMMYFUNCTION("googletranslate(F1476,""en"",""ja"")"),"ジエチレングリコールの測定")</f>
        <v>ジエチレングリコールの測定</v>
      </c>
    </row>
    <row r="1477" spans="1:9" ht="30">
      <c r="A1477" s="3" t="s">
        <v>6</v>
      </c>
      <c r="B1477" s="3" t="s">
        <v>6266</v>
      </c>
      <c r="C1477" s="3" t="s">
        <v>6267</v>
      </c>
      <c r="D1477" s="3" t="s">
        <v>6267</v>
      </c>
      <c r="E1477" s="3" t="s">
        <v>6268</v>
      </c>
      <c r="F1477" s="3" t="s">
        <v>6269</v>
      </c>
      <c r="G1477" s="3" t="str">
        <f ca="1">IFERROR(__xludf.DUMMYFUNCTION("googletranslate(D1477,""en"",""ja"")"),"ジエチルプロピオン")</f>
        <v>ジエチルプロピオン</v>
      </c>
      <c r="H1477" s="3" t="str">
        <f ca="1">IFERROR(__xludf.DUMMYFUNCTION("googletranslate(E1477,""en"",""ja"")"),"生物学的標本中のジエチルプロピオンの測定。")</f>
        <v>生物学的標本中のジエチルプロピオンの測定。</v>
      </c>
      <c r="I1477" s="3" t="str">
        <f ca="1">IFERROR(__xludf.DUMMYFUNCTION("googletranslate(F1477,""en"",""ja"")"),"ジエチルプロピオンの測定")</f>
        <v>ジエチルプロピオンの測定</v>
      </c>
    </row>
    <row r="1478" spans="1:9">
      <c r="A1478" s="3" t="s">
        <v>185</v>
      </c>
      <c r="B1478" s="3" t="s">
        <v>6270</v>
      </c>
      <c r="C1478" s="3" t="s">
        <v>6271</v>
      </c>
      <c r="D1478" s="3" t="s">
        <v>6271</v>
      </c>
      <c r="E1478" s="3" t="s">
        <v>6272</v>
      </c>
      <c r="F1478" s="3" t="s">
        <v>6271</v>
      </c>
      <c r="G1478" s="3" t="str">
        <f ca="1">IFERROR(__xludf.DUMMYFUNCTION("googletranslate(D1478,""en"",""ja"")"),"存在するデバイスの数")</f>
        <v>存在するデバイスの数</v>
      </c>
      <c r="H1478" s="3" t="str">
        <f ca="1">IFERROR(__xludf.DUMMYFUNCTION("googletranslate(E1478,""en"",""ja"")"),"被験者内のデバイスの数の決定。")</f>
        <v>被験者内のデバイスの数の決定。</v>
      </c>
      <c r="I1478" s="3" t="str">
        <f ca="1">IFERROR(__xludf.DUMMYFUNCTION("googletranslate(F1478,""en"",""ja"")"),"存在するデバイスの数")</f>
        <v>存在するデバイスの数</v>
      </c>
    </row>
    <row r="1479" spans="1:9" ht="30">
      <c r="A1479" s="3" t="s">
        <v>185</v>
      </c>
      <c r="B1479" s="3" t="s">
        <v>6273</v>
      </c>
      <c r="C1479" s="3" t="s">
        <v>6274</v>
      </c>
      <c r="D1479" s="3" t="s">
        <v>6274</v>
      </c>
      <c r="E1479" s="3" t="s">
        <v>6275</v>
      </c>
      <c r="F1479" s="3" t="s">
        <v>6276</v>
      </c>
      <c r="G1479" s="3" t="str">
        <f ca="1">IFERROR(__xludf.DUMMYFUNCTION("googletranslate(D1479,""en"",""ja"")"),"食事性脂肪、一価不飽和脂肪酸")</f>
        <v>食事性脂肪、一価不飽和脂肪酸</v>
      </c>
      <c r="H1479" s="3" t="str">
        <f ca="1">IFERROR(__xludf.DUMMYFUNCTION("googletranslate(E1479,""en"",""ja"")"),"栄養製品または食事、またはその一部に含まれる総一価不飽和脂肪の測定。")</f>
        <v>栄養製品または食事、またはその一部に含まれる総一価不飽和脂肪の測定。</v>
      </c>
      <c r="I1479" s="3" t="str">
        <f ca="1">IFERROR(__xludf.DUMMYFUNCTION("googletranslate(F1479,""en"",""ja"")"),"食事中の一価不飽和脂肪の測定")</f>
        <v>食事中の一価不飽和脂肪の測定</v>
      </c>
    </row>
    <row r="1480" spans="1:9" ht="30">
      <c r="A1480" s="3" t="s">
        <v>185</v>
      </c>
      <c r="B1480" s="3" t="s">
        <v>6277</v>
      </c>
      <c r="C1480" s="3" t="s">
        <v>6278</v>
      </c>
      <c r="D1480" s="3" t="s">
        <v>6278</v>
      </c>
      <c r="E1480" s="3" t="s">
        <v>6279</v>
      </c>
      <c r="F1480" s="3" t="s">
        <v>6280</v>
      </c>
      <c r="G1480" s="3" t="str">
        <f ca="1">IFERROR(__xludf.DUMMYFUNCTION("googletranslate(D1480,""en"",""ja"")"),"食事性脂肪、多価不飽和脂肪酸")</f>
        <v>食事性脂肪、多価不飽和脂肪酸</v>
      </c>
      <c r="H1480" s="3" t="str">
        <f ca="1">IFERROR(__xludf.DUMMYFUNCTION("googletranslate(E1480,""en"",""ja"")"),"栄養製品または食事、またはその一部に含まれる総多価不飽和脂肪の測定。")</f>
        <v>栄養製品または食事、またはその一部に含まれる総多価不飽和脂肪の測定。</v>
      </c>
      <c r="I1480" s="3" t="str">
        <f ca="1">IFERROR(__xludf.DUMMYFUNCTION("googletranslate(F1480,""en"",""ja"")"),"食事中の多価不飽和脂肪の測定")</f>
        <v>食事中の多価不飽和脂肪の測定</v>
      </c>
    </row>
    <row r="1481" spans="1:9" ht="30">
      <c r="A1481" s="3" t="s">
        <v>185</v>
      </c>
      <c r="B1481" s="3" t="s">
        <v>6281</v>
      </c>
      <c r="C1481" s="3" t="s">
        <v>6282</v>
      </c>
      <c r="D1481" s="3" t="s">
        <v>6282</v>
      </c>
      <c r="E1481" s="3" t="s">
        <v>6283</v>
      </c>
      <c r="F1481" s="3" t="s">
        <v>6284</v>
      </c>
      <c r="G1481" s="3" t="str">
        <f ca="1">IFERROR(__xludf.DUMMYFUNCTION("googletranslate(D1481,""en"",""ja"")"),"食事性脂肪、飽和脂肪")</f>
        <v>食事性脂肪、飽和脂肪</v>
      </c>
      <c r="H1481" s="3" t="str">
        <f ca="1">IFERROR(__xludf.DUMMYFUNCTION("googletranslate(E1481,""en"",""ja"")"),"栄養製品または食事、またはその一部に含まれる総飽和脂肪の測定。")</f>
        <v>栄養製品または食事、またはその一部に含まれる総飽和脂肪の測定。</v>
      </c>
      <c r="I1481" s="3" t="str">
        <f ca="1">IFERROR(__xludf.DUMMYFUNCTION("googletranslate(F1481,""en"",""ja"")"),"食事中の飽和脂肪の測定")</f>
        <v>食事中の飽和脂肪の測定</v>
      </c>
    </row>
    <row r="1482" spans="1:9" ht="30">
      <c r="A1482" s="3" t="s">
        <v>185</v>
      </c>
      <c r="B1482" s="3" t="s">
        <v>6285</v>
      </c>
      <c r="C1482" s="3" t="s">
        <v>6286</v>
      </c>
      <c r="D1482" s="3" t="s">
        <v>6286</v>
      </c>
      <c r="E1482" s="3" t="s">
        <v>6287</v>
      </c>
      <c r="F1482" s="3" t="s">
        <v>6288</v>
      </c>
      <c r="G1482" s="3" t="str">
        <f ca="1">IFERROR(__xludf.DUMMYFUNCTION("googletranslate(D1482,""en"",""ja"")"),"食事の脂肪、合計")</f>
        <v>食事の脂肪、合計</v>
      </c>
      <c r="H1482" s="3" t="str">
        <f ca="1">IFERROR(__xludf.DUMMYFUNCTION("googletranslate(E1482,""en"",""ja"")"),"栄養製品または食事、またはその一部に含まれる総脂肪の測定。")</f>
        <v>栄養製品または食事、またはその一部に含まれる総脂肪の測定。</v>
      </c>
      <c r="I1482" s="3" t="str">
        <f ca="1">IFERROR(__xludf.DUMMYFUNCTION("googletranslate(F1482,""en"",""ja"")"),"総食事脂肪測定")</f>
        <v>総食事脂肪測定</v>
      </c>
    </row>
    <row r="1483" spans="1:9" ht="30">
      <c r="A1483" s="3" t="s">
        <v>185</v>
      </c>
      <c r="B1483" s="3" t="s">
        <v>6289</v>
      </c>
      <c r="C1483" s="3" t="s">
        <v>6290</v>
      </c>
      <c r="D1483" s="3" t="s">
        <v>6290</v>
      </c>
      <c r="E1483" s="3" t="s">
        <v>6291</v>
      </c>
      <c r="F1483" s="3" t="s">
        <v>6292</v>
      </c>
      <c r="G1483" s="3" t="str">
        <f ca="1">IFERROR(__xludf.DUMMYFUNCTION("googletranslate(D1483,""en"",""ja"")"),"食物鉄")</f>
        <v>食物鉄</v>
      </c>
      <c r="H1483" s="3" t="str">
        <f ca="1">IFERROR(__xludf.DUMMYFUNCTION("googletranslate(E1483,""en"",""ja"")"),"栄養製品または食事、あるいはその一部に含まれる総鉄分の測定。")</f>
        <v>栄養製品または食事、あるいはその一部に含まれる総鉄分の測定。</v>
      </c>
      <c r="I1483" s="3" t="str">
        <f ca="1">IFERROR(__xludf.DUMMYFUNCTION("googletranslate(F1483,""en"",""ja"")"),"食事性鉄分測定")</f>
        <v>食事性鉄分測定</v>
      </c>
    </row>
    <row r="1484" spans="1:9" ht="45">
      <c r="A1484" s="3" t="s">
        <v>185</v>
      </c>
      <c r="B1484" s="3" t="s">
        <v>6293</v>
      </c>
      <c r="C1484" s="3" t="s">
        <v>6294</v>
      </c>
      <c r="D1484" s="3" t="s">
        <v>6295</v>
      </c>
      <c r="E1484" s="3" t="s">
        <v>6296</v>
      </c>
      <c r="F1484" s="3" t="s">
        <v>6297</v>
      </c>
      <c r="G1484" s="3" t="str">
        <f ca="1">IFERROR(__xludf.DUMMYFUNCTION("googletranslate(D1484,""en"",""ja"")"),"DFE;食物葉酸塩相当量")</f>
        <v>DFE;食物葉酸塩相当量</v>
      </c>
      <c r="H1484" s="3" t="str">
        <f ca="1">IFERROR(__xludf.DUMMYFUNCTION("googletranslate(E1484,""en"",""ja"")"),"栄養製品または食事、またはその一部に含まれる食品葉酸塩と正規化葉酸（食品葉酸塩相当物として）の合計。")</f>
        <v>栄養製品または食事、またはその一部に含まれる食品葉酸塩と正規化葉酸（食品葉酸塩相当物として）の合計。</v>
      </c>
      <c r="I1484" s="3" t="str">
        <f ca="1">IFERROR(__xludf.DUMMYFUNCTION("googletranslate(F1484,""en"",""ja"")"),"食事性葉酸当量の測定")</f>
        <v>食事性葉酸当量の測定</v>
      </c>
    </row>
    <row r="1485" spans="1:9" ht="30">
      <c r="A1485" s="3" t="s">
        <v>6</v>
      </c>
      <c r="B1485" s="3" t="s">
        <v>6298</v>
      </c>
      <c r="C1485" s="3" t="s">
        <v>6299</v>
      </c>
      <c r="D1485" s="3" t="s">
        <v>6299</v>
      </c>
      <c r="E1485" s="3" t="s">
        <v>6300</v>
      </c>
      <c r="F1485" s="3" t="s">
        <v>6299</v>
      </c>
      <c r="G1485" s="3" t="str">
        <f ca="1">IFERROR(__xludf.DUMMYFUNCTION("googletranslate(D1485,""en"",""ja"")"),"DNA断片化インデックス")</f>
        <v>DNA断片化インデックス</v>
      </c>
      <c r="H1485" s="3" t="str">
        <f ca="1">IFERROR(__xludf.DUMMYFUNCTION("googletranslate(E1485,""en"",""ja"")"),"生物学的標本の有核細胞内のデオキシリボ核酸の断片化の測定。")</f>
        <v>生物学的標本の有核細胞内のデオキシリボ核酸の断片化の測定。</v>
      </c>
      <c r="I1485" s="3" t="str">
        <f ca="1">IFERROR(__xludf.DUMMYFUNCTION("googletranslate(F1485,""en"",""ja"")"),"DNA断片化インデックス")</f>
        <v>DNA断片化インデックス</v>
      </c>
    </row>
    <row r="1486" spans="1:9" ht="30">
      <c r="A1486" s="3" t="s">
        <v>185</v>
      </c>
      <c r="B1486" s="3" t="s">
        <v>6301</v>
      </c>
      <c r="C1486" s="3" t="s">
        <v>6302</v>
      </c>
      <c r="D1486" s="3" t="s">
        <v>6302</v>
      </c>
      <c r="E1486" s="3" t="s">
        <v>6303</v>
      </c>
      <c r="F1486" s="3" t="s">
        <v>6304</v>
      </c>
      <c r="G1486" s="3" t="str">
        <f ca="1">IFERROR(__xludf.DUMMYFUNCTION("googletranslate(D1486,""en"",""ja"")"),"食物繊維")</f>
        <v>食物繊維</v>
      </c>
      <c r="H1486" s="3" t="str">
        <f ca="1">IFERROR(__xludf.DUMMYFUNCTION("googletranslate(E1486,""en"",""ja"")"),"栄養製品または食事、あるいはその一部に含まれる総繊維量の測定。")</f>
        <v>栄養製品または食事、あるいはその一部に含まれる総繊維量の測定。</v>
      </c>
      <c r="I1486" s="3" t="str">
        <f ca="1">IFERROR(__xludf.DUMMYFUNCTION("googletranslate(F1486,""en"",""ja"")"),"食物繊維測定")</f>
        <v>食物繊維測定</v>
      </c>
    </row>
    <row r="1487" spans="1:9" ht="30">
      <c r="A1487" s="3" t="s">
        <v>185</v>
      </c>
      <c r="B1487" s="3" t="s">
        <v>6305</v>
      </c>
      <c r="C1487" s="3" t="s">
        <v>6306</v>
      </c>
      <c r="D1487" s="3" t="s">
        <v>6306</v>
      </c>
      <c r="E1487" s="3" t="s">
        <v>6307</v>
      </c>
      <c r="F1487" s="3" t="s">
        <v>6308</v>
      </c>
      <c r="G1487" s="3" t="str">
        <f ca="1">IFERROR(__xludf.DUMMYFUNCTION("googletranslate(D1487,""en"",""ja"")"),"食事療法食品 葉酸")</f>
        <v>食事療法食品 葉酸</v>
      </c>
      <c r="H1487" s="3" t="str">
        <f ca="1">IFERROR(__xludf.DUMMYFUNCTION("googletranslate(E1487,""en"",""ja"")"),"栄養製品または食事、またはその一部に含まれる天然葉酸の測定。")</f>
        <v>栄養製品または食事、またはその一部に含まれる天然葉酸の測定。</v>
      </c>
      <c r="I1487" s="3" t="str">
        <f ca="1">IFERROR(__xludf.DUMMYFUNCTION("googletranslate(F1487,""en"",""ja"")"),"食事療法食品の葉酸測定")</f>
        <v>食事療法食品の葉酸測定</v>
      </c>
    </row>
    <row r="1488" spans="1:9" ht="30">
      <c r="A1488" s="3" t="s">
        <v>185</v>
      </c>
      <c r="B1488" s="3" t="s">
        <v>6309</v>
      </c>
      <c r="C1488" s="3" t="s">
        <v>6310</v>
      </c>
      <c r="D1488" s="3" t="s">
        <v>6310</v>
      </c>
      <c r="E1488" s="3" t="s">
        <v>6311</v>
      </c>
      <c r="F1488" s="3" t="s">
        <v>6312</v>
      </c>
      <c r="G1488" s="3" t="str">
        <f ca="1">IFERROR(__xludf.DUMMYFUNCTION("googletranslate(D1488,""en"",""ja"")"),"食事性葉酸")</f>
        <v>食事性葉酸</v>
      </c>
      <c r="H1488" s="3" t="str">
        <f ca="1">IFERROR(__xludf.DUMMYFUNCTION("googletranslate(E1488,""en"",""ja"")"),"栄養製品または食事、またはその一部に含まれる葉酸の測定。")</f>
        <v>栄養製品または食事、またはその一部に含まれる葉酸の測定。</v>
      </c>
      <c r="I1488" s="3" t="str">
        <f ca="1">IFERROR(__xludf.DUMMYFUNCTION("googletranslate(F1488,""en"",""ja"")"),"食事による葉酸の測定")</f>
        <v>食事による葉酸の測定</v>
      </c>
    </row>
    <row r="1489" spans="1:9" ht="45">
      <c r="A1489" s="3" t="s">
        <v>185</v>
      </c>
      <c r="B1489" s="3" t="s">
        <v>6313</v>
      </c>
      <c r="C1489" s="3" t="s">
        <v>6314</v>
      </c>
      <c r="D1489" s="3" t="s">
        <v>6314</v>
      </c>
      <c r="E1489" s="3" t="s">
        <v>6315</v>
      </c>
      <c r="F1489" s="3" t="s">
        <v>6316</v>
      </c>
      <c r="G1489" s="3" t="str">
        <f ca="1">IFERROR(__xludf.DUMMYFUNCTION("googletranslate(D1489,""en"",""ja"")"),"食事の総葉酸塩")</f>
        <v>食事の総葉酸塩</v>
      </c>
      <c r="H1489" s="3" t="str">
        <f ca="1">IFERROR(__xludf.DUMMYFUNCTION("googletranslate(E1489,""en"",""ja"")"),"栄養製品または食事、またはその一部に含まれる総葉酸塩 (サプリメント葉酸 + 食品葉酸塩) の測定。")</f>
        <v>栄養製品または食事、またはその一部に含まれる総葉酸塩 (サプリメント葉酸 + 食品葉酸塩) の測定。</v>
      </c>
      <c r="I1489" s="3" t="str">
        <f ca="1">IFERROR(__xludf.DUMMYFUNCTION("googletranslate(F1489,""en"",""ja"")"),"食事の総葉酸塩の測定")</f>
        <v>食事の総葉酸塩の測定</v>
      </c>
    </row>
    <row r="1490" spans="1:9" ht="30">
      <c r="A1490" s="3" t="s">
        <v>67</v>
      </c>
      <c r="B1490" s="3" t="s">
        <v>6317</v>
      </c>
      <c r="C1490" s="3" t="s">
        <v>6318</v>
      </c>
      <c r="D1490" s="3" t="s">
        <v>6318</v>
      </c>
      <c r="E1490" s="3" t="s">
        <v>6319</v>
      </c>
      <c r="F1490" s="3" t="s">
        <v>6320</v>
      </c>
      <c r="G1490" s="3" t="str">
        <f ca="1">IFERROR(__xludf.DUMMYFUNCTION("googletranslate(D1490,""en"",""ja"")"),"ディエンタメーバ フラジリス DNA")</f>
        <v>ディエンタメーバ フラジリス DNA</v>
      </c>
      <c r="H1490" s="3" t="str">
        <f ca="1">IFERROR(__xludf.DUMMYFUNCTION("googletranslate(E1490,""en"",""ja"")"),"生物学的標本中のディエンタメーバ フラジリス DNA の測定。")</f>
        <v>生物学的標本中のディエンタメーバ フラジリス DNA の測定。</v>
      </c>
      <c r="I1490" s="3" t="str">
        <f ca="1">IFERROR(__xludf.DUMMYFUNCTION("googletranslate(F1490,""en"",""ja"")"),"ジエンタメーバ フラジリス DNA 測定")</f>
        <v>ジエンタメーバ フラジリス DNA 測定</v>
      </c>
    </row>
    <row r="1491" spans="1:9" ht="30">
      <c r="A1491" s="3" t="s">
        <v>185</v>
      </c>
      <c r="B1491" s="3" t="s">
        <v>6321</v>
      </c>
      <c r="C1491" s="3" t="s">
        <v>6322</v>
      </c>
      <c r="D1491" s="3" t="s">
        <v>6322</v>
      </c>
      <c r="E1491" s="3" t="s">
        <v>6323</v>
      </c>
      <c r="F1491" s="3" t="s">
        <v>6324</v>
      </c>
      <c r="G1491" s="3" t="str">
        <f ca="1">IFERROR(__xludf.DUMMYFUNCTION("googletranslate(D1491,""en"",""ja"")"),"ダイエットフルーツジュース")</f>
        <v>ダイエットフルーツジュース</v>
      </c>
      <c r="H1491" s="3" t="str">
        <f ca="1">IFERROR(__xludf.DUMMYFUNCTION("googletranslate(E1491,""en"",""ja"")"),"栄養製品または食事、またはその一部に含まれる果汁の測定。")</f>
        <v>栄養製品または食事、またはその一部に含まれる果汁の測定。</v>
      </c>
      <c r="I1491" s="3" t="str">
        <f ca="1">IFERROR(__xludf.DUMMYFUNCTION("googletranslate(F1491,""en"",""ja"")"),"食事性果汁測定")</f>
        <v>食事性果汁測定</v>
      </c>
    </row>
    <row r="1492" spans="1:9" ht="30">
      <c r="A1492" s="3" t="s">
        <v>185</v>
      </c>
      <c r="B1492" s="3" t="s">
        <v>6325</v>
      </c>
      <c r="C1492" s="3" t="s">
        <v>6326</v>
      </c>
      <c r="D1492" s="3" t="s">
        <v>6326</v>
      </c>
      <c r="E1492" s="3" t="s">
        <v>6327</v>
      </c>
      <c r="F1492" s="3" t="s">
        <v>6328</v>
      </c>
      <c r="G1492" s="3" t="str">
        <f ca="1">IFERROR(__xludf.DUMMYFUNCTION("googletranslate(D1492,""en"",""ja"")"),"ダイエットフルーツ")</f>
        <v>ダイエットフルーツ</v>
      </c>
      <c r="H1492" s="3" t="str">
        <f ca="1">IFERROR(__xludf.DUMMYFUNCTION("googletranslate(E1492,""en"",""ja"")"),"栄養製品または食事、あるいはその一部に含まれる果物の総量の測定。")</f>
        <v>栄養製品または食事、あるいはその一部に含まれる果物の総量の測定。</v>
      </c>
      <c r="I1492" s="3" t="str">
        <f ca="1">IFERROR(__xludf.DUMMYFUNCTION("googletranslate(F1492,""en"",""ja"")"),"ダイエットフルーツの測定")</f>
        <v>ダイエットフルーツの測定</v>
      </c>
    </row>
    <row r="1493" spans="1:9" ht="45">
      <c r="A1493" s="3" t="s">
        <v>185</v>
      </c>
      <c r="B1493" s="3" t="s">
        <v>6329</v>
      </c>
      <c r="C1493" s="3" t="s">
        <v>6330</v>
      </c>
      <c r="D1493" s="3" t="s">
        <v>6331</v>
      </c>
      <c r="E1493" s="3" t="s">
        <v>6332</v>
      </c>
      <c r="F1493" s="3" t="s">
        <v>6333</v>
      </c>
      <c r="G1493" s="3" t="str">
        <f ca="1">IFERROR(__xludf.DUMMYFUNCTION("googletranslate(D1493,""en"",""ja"")"),"食事 20:1 ガドレア酸;食事 20:1 ガドレイン酸;食事性ガドレイン酸")</f>
        <v>食事 20:1 ガドレア酸;食事 20:1 ガドレイン酸;食事性ガドレイン酸</v>
      </c>
      <c r="H1493" s="3" t="str">
        <f ca="1">IFERROR(__xludf.DUMMYFUNCTION("googletranslate(E1493,""en"",""ja"")"),"栄養製品または食事、またはその一部に含まれる合計 20:1 ガドレイン酸の測定。")</f>
        <v>栄養製品または食事、またはその一部に含まれる合計 20:1 ガドレイン酸の測定。</v>
      </c>
      <c r="I1493" s="3" t="str">
        <f ca="1">IFERROR(__xludf.DUMMYFUNCTION("googletranslate(F1493,""en"",""ja"")"),"食事によるガドレイン酸の測定")</f>
        <v>食事によるガドレイン酸の測定</v>
      </c>
    </row>
    <row r="1494" spans="1:9" ht="45">
      <c r="A1494" s="3" t="s">
        <v>6</v>
      </c>
      <c r="B1494" s="3" t="s">
        <v>6334</v>
      </c>
      <c r="C1494" s="3" t="s">
        <v>6335</v>
      </c>
      <c r="D1494" s="3" t="s">
        <v>6336</v>
      </c>
      <c r="E1494" s="3" t="s">
        <v>6337</v>
      </c>
      <c r="F1494" s="3" t="s">
        <v>6338</v>
      </c>
      <c r="G1494" s="3" t="str">
        <f ca="1">IFERROR(__xludf.DUMMYFUNCTION("googletranslate(D1494,""en"",""ja"")"),"変性した白血球。変性した白血球。変性した白血球")</f>
        <v>変性した白血球。変性した白血球。変性した白血球</v>
      </c>
      <c r="H1494" s="3" t="str">
        <f ca="1">IFERROR(__xludf.DUMMYFUNCTION("googletranslate(E1494,""en"",""ja"")"),"生物学的標本中の変性白血球（形態または機能の劣化を示す白血球）の測定。")</f>
        <v>生物学的標本中の変性白血球（形態または機能の劣化を示す白血球）の測定。</v>
      </c>
      <c r="I1494" s="3" t="str">
        <f ca="1">IFERROR(__xludf.DUMMYFUNCTION("googletranslate(F1494,""en"",""ja"")"),"変性白血球数")</f>
        <v>変性白血球数</v>
      </c>
    </row>
    <row r="1495" spans="1:9" ht="30">
      <c r="A1495" s="3" t="s">
        <v>185</v>
      </c>
      <c r="B1495" s="3" t="s">
        <v>6339</v>
      </c>
      <c r="C1495" s="3" t="s">
        <v>6340</v>
      </c>
      <c r="D1495" s="3" t="s">
        <v>6340</v>
      </c>
      <c r="E1495" s="3" t="s">
        <v>6341</v>
      </c>
      <c r="F1495" s="3" t="s">
        <v>6342</v>
      </c>
      <c r="G1495" s="3" t="str">
        <f ca="1">IFERROR(__xludf.DUMMYFUNCTION("googletranslate(D1495,""en"",""ja"")"),"食物穀物")</f>
        <v>食物穀物</v>
      </c>
      <c r="H1495" s="3" t="str">
        <f ca="1">IFERROR(__xludf.DUMMYFUNCTION("googletranslate(E1495,""en"",""ja"")"),"栄養製品または食事、またはその一部に含まれる総穀物の測定。")</f>
        <v>栄養製品または食事、またはその一部に含まれる総穀物の測定。</v>
      </c>
      <c r="I1495" s="3" t="str">
        <f ca="1">IFERROR(__xludf.DUMMYFUNCTION("googletranslate(F1495,""en"",""ja"")"),"食物穀物測定")</f>
        <v>食物穀物測定</v>
      </c>
    </row>
    <row r="1496" spans="1:9" ht="30">
      <c r="A1496" s="3" t="s">
        <v>185</v>
      </c>
      <c r="B1496" s="3" t="s">
        <v>6343</v>
      </c>
      <c r="C1496" s="3" t="s">
        <v>6344</v>
      </c>
      <c r="D1496" s="3" t="s">
        <v>6344</v>
      </c>
      <c r="E1496" s="3" t="s">
        <v>6345</v>
      </c>
      <c r="F1496" s="3" t="s">
        <v>6346</v>
      </c>
      <c r="G1496" s="3" t="str">
        <f ca="1">IFERROR(__xludf.DUMMYFUNCTION("googletranslate(D1496,""en"",""ja"")"),"食用穀物、精製済み")</f>
        <v>食用穀物、精製済み</v>
      </c>
      <c r="H1496" s="3" t="str">
        <f ca="1">IFERROR(__xludf.DUMMYFUNCTION("googletranslate(E1496,""en"",""ja"")"),"栄養製品または食事、あるいはその一部に含まれる精製穀物の総量の測定。")</f>
        <v>栄養製品または食事、あるいはその一部に含まれる精製穀物の総量の測定。</v>
      </c>
      <c r="I1496" s="3" t="str">
        <f ca="1">IFERROR(__xludf.DUMMYFUNCTION("googletranslate(F1496,""en"",""ja"")"),"食物穀物、精密測定")</f>
        <v>食物穀物、精密測定</v>
      </c>
    </row>
    <row r="1497" spans="1:9" ht="30">
      <c r="A1497" s="3" t="s">
        <v>185</v>
      </c>
      <c r="B1497" s="3" t="s">
        <v>6347</v>
      </c>
      <c r="C1497" s="3" t="s">
        <v>6348</v>
      </c>
      <c r="D1497" s="3" t="s">
        <v>6348</v>
      </c>
      <c r="E1497" s="3" t="s">
        <v>6349</v>
      </c>
      <c r="F1497" s="3" t="s">
        <v>6350</v>
      </c>
      <c r="G1497" s="3" t="str">
        <f ca="1">IFERROR(__xludf.DUMMYFUNCTION("googletranslate(D1497,""en"",""ja"")"),"食事用全粒穀物")</f>
        <v>食事用全粒穀物</v>
      </c>
      <c r="H1497" s="3" t="str">
        <f ca="1">IFERROR(__xludf.DUMMYFUNCTION("googletranslate(E1497,""en"",""ja"")"),"栄養製品または食事、またはその一部に含まれる全粒穀物の測定。")</f>
        <v>栄養製品または食事、またはその一部に含まれる全粒穀物の測定。</v>
      </c>
      <c r="I1497" s="3" t="str">
        <f ca="1">IFERROR(__xludf.DUMMYFUNCTION("googletranslate(F1497,""en"",""ja"")"),"食事用全粒穀物の測定")</f>
        <v>食事用全粒穀物の測定</v>
      </c>
    </row>
    <row r="1498" spans="1:9" ht="45">
      <c r="A1498" s="3" t="s">
        <v>6</v>
      </c>
      <c r="B1498" s="3" t="s">
        <v>6351</v>
      </c>
      <c r="C1498" s="3" t="s">
        <v>6352</v>
      </c>
      <c r="D1498" s="3" t="s">
        <v>6353</v>
      </c>
      <c r="E1498" s="3" t="s">
        <v>6354</v>
      </c>
      <c r="F1498" s="3" t="s">
        <v>6355</v>
      </c>
      <c r="G1498" s="3" t="str">
        <f ca="1">IFERROR(__xludf.DUMMYFUNCTION("googletranslate(D1498,""en"",""ja"")"),"デヒドロエピアンドロステロン;デヒドロイソアンドロステロン")</f>
        <v>デヒドロエピアンドロステロン;デヒドロイソアンドロステロン</v>
      </c>
      <c r="H1498" s="3" t="str">
        <f ca="1">IFERROR(__xludf.DUMMYFUNCTION("googletranslate(E1498,""en"",""ja"")"),"生物学的標本中のデヒドロエピアンドロステロン ホルモンの測定。")</f>
        <v>生物学的標本中のデヒドロエピアンドロステロン ホルモンの測定。</v>
      </c>
      <c r="I1498" s="3" t="str">
        <f ca="1">IFERROR(__xludf.DUMMYFUNCTION("googletranslate(F1498,""en"",""ja"")"),"デヒドロエピアンドロステロンの測定")</f>
        <v>デヒドロエピアンドロステロンの測定</v>
      </c>
    </row>
    <row r="1499" spans="1:9" ht="45">
      <c r="A1499" s="3" t="s">
        <v>6</v>
      </c>
      <c r="B1499" s="3" t="s">
        <v>6356</v>
      </c>
      <c r="C1499" s="3" t="s">
        <v>6357</v>
      </c>
      <c r="D1499" s="3" t="s">
        <v>6358</v>
      </c>
      <c r="E1499" s="3" t="s">
        <v>6359</v>
      </c>
      <c r="F1499" s="3" t="s">
        <v>6360</v>
      </c>
      <c r="G1499" s="3" t="str">
        <f ca="1">IFERROR(__xludf.DUMMYFUNCTION("googletranslate(D1499,""en"",""ja"")"),"デヒドロエピアンドロステロン硫酸塩; DHEA硫酸塩; DHEA-S; sDHEA")</f>
        <v>デヒドロエピアンドロステロン硫酸塩; DHEA硫酸塩; DHEA-S; sDHEA</v>
      </c>
      <c r="H1499" s="3" t="str">
        <f ca="1">IFERROR(__xludf.DUMMYFUNCTION("googletranslate(E1499,""en"",""ja"")"),"生物標本中の硫酸化デヒドロエピアンドロステロンの測定。")</f>
        <v>生物標本中の硫酸化デヒドロエピアンドロステロンの測定。</v>
      </c>
      <c r="I1499" s="3" t="str">
        <f ca="1">IFERROR(__xludf.DUMMYFUNCTION("googletranslate(F1499,""en"",""ja"")"),"硫酸化DHEAの測定")</f>
        <v>硫酸化DHEAの測定</v>
      </c>
    </row>
    <row r="1500" spans="1:9" ht="45">
      <c r="A1500" s="3" t="s">
        <v>6</v>
      </c>
      <c r="B1500" s="3" t="s">
        <v>6361</v>
      </c>
      <c r="C1500" s="3" t="s">
        <v>6362</v>
      </c>
      <c r="D1500" s="3" t="s">
        <v>6363</v>
      </c>
      <c r="E1500" s="3" t="s">
        <v>6364</v>
      </c>
      <c r="F1500" s="3" t="s">
        <v>6365</v>
      </c>
      <c r="G1500" s="3" t="str">
        <f ca="1">IFERROR(__xludf.DUMMYFUNCTION("googletranslate(D1500,""en"",""ja"")"),"3,4-ジヒドロキシフェニルグリコール; 3.4 ジヒドロキシフェニルグリコール")</f>
        <v>3,4-ジヒドロキシフェニルグリコール; 3.4 ジヒドロキシフェニルグリコール</v>
      </c>
      <c r="H1500" s="3" t="str">
        <f ca="1">IFERROR(__xludf.DUMMYFUNCTION("googletranslate(E1500,""en"",""ja"")"),"生物学的標本中のカテコールアミン代謝産物、3,4-ジヒドロキシフェニルグリコールの測定。")</f>
        <v>生物学的標本中のカテコールアミン代謝産物、3,4-ジヒドロキシフェニルグリコールの測定。</v>
      </c>
      <c r="I1500" s="3" t="str">
        <f ca="1">IFERROR(__xludf.DUMMYFUNCTION("googletranslate(F1500,""en"",""ja"")"),"3,4-ジヒドロキシフェニルグリコールの測定")</f>
        <v>3,4-ジヒドロキシフェニルグリコールの測定</v>
      </c>
    </row>
    <row r="1501" spans="1:9" ht="30">
      <c r="A1501" s="3" t="s">
        <v>6</v>
      </c>
      <c r="B1501" s="3" t="s">
        <v>6366</v>
      </c>
      <c r="C1501" s="3" t="s">
        <v>6367</v>
      </c>
      <c r="D1501" s="3" t="s">
        <v>6368</v>
      </c>
      <c r="E1501" s="3" t="s">
        <v>6369</v>
      </c>
      <c r="F1501" s="3" t="s">
        <v>6370</v>
      </c>
      <c r="G1501" s="3" t="str">
        <f ca="1">IFERROR(__xludf.DUMMYFUNCTION("googletranslate(D1501,""en"",""ja"")"),"アンドロスタノロン;ジヒドロテストステロン")</f>
        <v>アンドロスタノロン;ジヒドロテストステロン</v>
      </c>
      <c r="H1501" s="3" t="str">
        <f ca="1">IFERROR(__xludf.DUMMYFUNCTION("googletranslate(E1501,""en"",""ja"")"),"生物学的標本中のジヒドロテストステロン ホルモンの測定。")</f>
        <v>生物学的標本中のジヒドロテストステロン ホルモンの測定。</v>
      </c>
      <c r="I1501" s="3" t="str">
        <f ca="1">IFERROR(__xludf.DUMMYFUNCTION("googletranslate(F1501,""en"",""ja"")"),"ジヒドロテストステロンの測定")</f>
        <v>ジヒドロテストステロンの測定</v>
      </c>
    </row>
    <row r="1502" spans="1:9" ht="60">
      <c r="A1502" s="3" t="s">
        <v>6</v>
      </c>
      <c r="B1502" s="3" t="s">
        <v>6371</v>
      </c>
      <c r="C1502" s="3" t="s">
        <v>6372</v>
      </c>
      <c r="D1502" s="3" t="s">
        <v>6373</v>
      </c>
      <c r="E1502" s="3" t="s">
        <v>6374</v>
      </c>
      <c r="F1502" s="3" t="s">
        <v>6375</v>
      </c>
      <c r="G1502" s="3" t="str">
        <f ca="1">IFERROR(__xludf.DUMMYFUNCTION("googletranslate(D1502,""en"",""ja"")"),"2,3-ジヒドロキシプロピルメルカプチュレート; 2,3-ジヒドロキシプロピルメルカプツール酸; DHPMA")</f>
        <v>2,3-ジヒドロキシプロピルメルカプチュレート; 2,3-ジヒドロキシプロピルメルカプツール酸; DHPMA</v>
      </c>
      <c r="H1502" s="3" t="str">
        <f ca="1">IFERROR(__xludf.DUMMYFUNCTION("googletranslate(E1502,""en"",""ja"")"),"試料中の 2,3-ジヒドロキシプロピルメルカプツール酸の測定。")</f>
        <v>試料中の 2,3-ジヒドロキシプロピルメルカプツール酸の測定。</v>
      </c>
      <c r="I1502" s="3" t="str">
        <f ca="1">IFERROR(__xludf.DUMMYFUNCTION("googletranslate(F1502,""en"",""ja"")"),"2,3-ジヒドロキシプロピルメルカプツール酸の測定")</f>
        <v>2,3-ジヒドロキシプロピルメルカプツール酸の測定</v>
      </c>
    </row>
    <row r="1503" spans="1:9" ht="30">
      <c r="A1503" s="3" t="s">
        <v>118</v>
      </c>
      <c r="B1503" s="3" t="s">
        <v>6376</v>
      </c>
      <c r="C1503" s="3" t="s">
        <v>6377</v>
      </c>
      <c r="D1503" s="3" t="s">
        <v>6377</v>
      </c>
      <c r="E1503" s="3" t="s">
        <v>6378</v>
      </c>
      <c r="F1503" s="3" t="s">
        <v>6377</v>
      </c>
      <c r="G1503" s="3" t="str">
        <f ca="1">IFERROR(__xludf.DUMMYFUNCTION("googletranslate(D1503,""en"",""ja"")"),"拡張期血圧")</f>
        <v>拡張期血圧</v>
      </c>
      <c r="H1503" s="3" t="str">
        <f ca="1">IFERROR(__xludf.DUMMYFUNCTION("googletranslate(E1503,""en"",""ja"")"),"心周期中の全身動脈循環における最低血圧。")</f>
        <v>心周期中の全身動脈循環における最低血圧。</v>
      </c>
      <c r="I1503" s="3" t="str">
        <f ca="1">IFERROR(__xludf.DUMMYFUNCTION("googletranslate(F1503,""en"",""ja"")"),"拡張期血圧")</f>
        <v>拡張期血圧</v>
      </c>
    </row>
    <row r="1504" spans="1:9" ht="45">
      <c r="A1504" s="3" t="s">
        <v>185</v>
      </c>
      <c r="B1504" s="3" t="s">
        <v>6379</v>
      </c>
      <c r="C1504" s="3" t="s">
        <v>6380</v>
      </c>
      <c r="D1504" s="3" t="s">
        <v>6380</v>
      </c>
      <c r="E1504" s="3" t="s">
        <v>6381</v>
      </c>
      <c r="F1504" s="3" t="s">
        <v>6380</v>
      </c>
      <c r="G1504" s="3" t="str">
        <f ca="1">IFERROR(__xludf.DUMMYFUNCTION("googletranslate(D1504,""en"",""ja"")"),"直径")</f>
        <v>直径</v>
      </c>
      <c r="H1504" s="3" t="str">
        <f ca="1">IFERROR(__xludf.DUMMYFUNCTION("googletranslate(E1504,""en"",""ja"")"),"円または球の中心を通り、円周上の 2 点を結ぶ直線の長さ。 (NCI)")</f>
        <v>円または球の中心を通り、円周上の 2 点を結ぶ直線の長さ。 (NCI)</v>
      </c>
      <c r="I1504" s="3" t="str">
        <f ca="1">IFERROR(__xludf.DUMMYFUNCTION("googletranslate(F1504,""en"",""ja"")"),"直径")</f>
        <v>直径</v>
      </c>
    </row>
    <row r="1505" spans="1:9" ht="45">
      <c r="A1505" s="3" t="s">
        <v>1557</v>
      </c>
      <c r="B1505" s="3" t="s">
        <v>6379</v>
      </c>
      <c r="C1505" s="3" t="s">
        <v>6380</v>
      </c>
      <c r="D1505" s="3" t="s">
        <v>6380</v>
      </c>
      <c r="E1505" s="3" t="s">
        <v>6381</v>
      </c>
      <c r="F1505" s="3" t="s">
        <v>6380</v>
      </c>
      <c r="G1505" s="3" t="str">
        <f ca="1">IFERROR(__xludf.DUMMYFUNCTION("googletranslate(D1505,""en"",""ja"")"),"直径")</f>
        <v>直径</v>
      </c>
      <c r="H1505" s="3" t="str">
        <f ca="1">IFERROR(__xludf.DUMMYFUNCTION("googletranslate(E1505,""en"",""ja"")"),"円または球の中心を通り、円周上の 2 点を結ぶ直線の長さ。 (NCI)")</f>
        <v>円または球の中心を通り、円周上の 2 点を結ぶ直線の長さ。 (NCI)</v>
      </c>
      <c r="I1505" s="3" t="str">
        <f ca="1">IFERROR(__xludf.DUMMYFUNCTION("googletranslate(F1505,""en"",""ja"")"),"直径")</f>
        <v>直径</v>
      </c>
    </row>
    <row r="1506" spans="1:9" ht="45">
      <c r="A1506" s="3" t="s">
        <v>1535</v>
      </c>
      <c r="B1506" s="3" t="s">
        <v>6379</v>
      </c>
      <c r="C1506" s="3" t="s">
        <v>6380</v>
      </c>
      <c r="D1506" s="3" t="s">
        <v>6380</v>
      </c>
      <c r="E1506" s="3" t="s">
        <v>6381</v>
      </c>
      <c r="F1506" s="3" t="s">
        <v>6380</v>
      </c>
      <c r="G1506" s="3" t="str">
        <f ca="1">IFERROR(__xludf.DUMMYFUNCTION("googletranslate(D1506,""en"",""ja"")"),"直径")</f>
        <v>直径</v>
      </c>
      <c r="H1506" s="3" t="str">
        <f ca="1">IFERROR(__xludf.DUMMYFUNCTION("googletranslate(E1506,""en"",""ja"")"),"円または球の中心を通り、円周上の 2 点を結ぶ直線の長さ。 (NCI)")</f>
        <v>円または球の中心を通り、円周上の 2 点を結ぶ直線の長さ。 (NCI)</v>
      </c>
      <c r="I1506" s="3" t="str">
        <f ca="1">IFERROR(__xludf.DUMMYFUNCTION("googletranslate(F1506,""en"",""ja"")"),"直径")</f>
        <v>直径</v>
      </c>
    </row>
    <row r="1507" spans="1:9" ht="45">
      <c r="A1507" s="3" t="s">
        <v>210</v>
      </c>
      <c r="B1507" s="3" t="s">
        <v>6379</v>
      </c>
      <c r="C1507" s="3" t="s">
        <v>6380</v>
      </c>
      <c r="D1507" s="3" t="s">
        <v>6380</v>
      </c>
      <c r="E1507" s="3" t="s">
        <v>6381</v>
      </c>
      <c r="F1507" s="3" t="s">
        <v>6380</v>
      </c>
      <c r="G1507" s="3" t="str">
        <f ca="1">IFERROR(__xludf.DUMMYFUNCTION("googletranslate(D1507,""en"",""ja"")"),"直径")</f>
        <v>直径</v>
      </c>
      <c r="H1507" s="3" t="str">
        <f ca="1">IFERROR(__xludf.DUMMYFUNCTION("googletranslate(E1507,""en"",""ja"")"),"円または球の中心を通り、円周上の 2 点を結ぶ直線の長さ。 (NCI)")</f>
        <v>円または球の中心を通り、円周上の 2 点を結ぶ直線の長さ。 (NCI)</v>
      </c>
      <c r="I1507" s="3" t="str">
        <f ca="1">IFERROR(__xludf.DUMMYFUNCTION("googletranslate(F1507,""en"",""ja"")"),"直径")</f>
        <v>直径</v>
      </c>
    </row>
    <row r="1508" spans="1:9" ht="30">
      <c r="A1508" s="3" t="s">
        <v>1557</v>
      </c>
      <c r="B1508" s="3" t="s">
        <v>6382</v>
      </c>
      <c r="C1508" s="3" t="s">
        <v>6383</v>
      </c>
      <c r="D1508" s="3" t="s">
        <v>6383</v>
      </c>
      <c r="E1508" s="3" t="s">
        <v>6384</v>
      </c>
      <c r="F1508" s="3" t="s">
        <v>6385</v>
      </c>
      <c r="G1508" s="3" t="str">
        <f ca="1">IFERROR(__xludf.DUMMYFUNCTION("googletranslate(D1508,""en"",""ja"")"),"直径、最小値")</f>
        <v>直径、最小値</v>
      </c>
      <c r="H1508" s="3" t="str">
        <f ca="1">IFERROR(__xludf.DUMMYFUNCTION("googletranslate(E1508,""en"",""ja"")"),"オブジェクトの直径を表す値のグループの最小数。")</f>
        <v>オブジェクトの直径を表す値のグループの最小数。</v>
      </c>
      <c r="I1508" s="3" t="str">
        <f ca="1">IFERROR(__xludf.DUMMYFUNCTION("googletranslate(F1508,""en"",""ja"")"),"最小直径")</f>
        <v>最小直径</v>
      </c>
    </row>
    <row r="1509" spans="1:9" ht="30">
      <c r="A1509" s="3" t="s">
        <v>1557</v>
      </c>
      <c r="B1509" s="3" t="s">
        <v>6386</v>
      </c>
      <c r="C1509" s="3" t="s">
        <v>6387</v>
      </c>
      <c r="D1509" s="3" t="s">
        <v>6387</v>
      </c>
      <c r="E1509" s="3" t="s">
        <v>6388</v>
      </c>
      <c r="F1509" s="3" t="s">
        <v>6389</v>
      </c>
      <c r="G1509" s="3" t="str">
        <f ca="1">IFERROR(__xludf.DUMMYFUNCTION("googletranslate(D1509,""en"",""ja"")"),"直径、平均")</f>
        <v>直径、平均</v>
      </c>
      <c r="H1509" s="3" t="str">
        <f ca="1">IFERROR(__xludf.DUMMYFUNCTION("googletranslate(E1509,""en"",""ja"")"),"物体の直径を表す値のグループの平均数値。")</f>
        <v>物体の直径を表す値のグループの平均数値。</v>
      </c>
      <c r="I1509" s="3" t="str">
        <f ca="1">IFERROR(__xludf.DUMMYFUNCTION("googletranslate(F1509,""en"",""ja"")"),"平均直径")</f>
        <v>平均直径</v>
      </c>
    </row>
    <row r="1510" spans="1:9" ht="30">
      <c r="A1510" s="3" t="s">
        <v>1557</v>
      </c>
      <c r="B1510" s="3" t="s">
        <v>6390</v>
      </c>
      <c r="C1510" s="3" t="s">
        <v>6391</v>
      </c>
      <c r="D1510" s="3" t="s">
        <v>6391</v>
      </c>
      <c r="E1510" s="3" t="s">
        <v>6392</v>
      </c>
      <c r="F1510" s="3" t="s">
        <v>6393</v>
      </c>
      <c r="G1510" s="3" t="str">
        <f ca="1">IFERROR(__xludf.DUMMYFUNCTION("googletranslate(D1510,""en"",""ja"")"),"直径、標準偏差")</f>
        <v>直径、標準偏差</v>
      </c>
      <c r="H1510" s="3" t="str">
        <f ca="1">IFERROR(__xludf.DUMMYFUNCTION("googletranslate(E1510,""en"",""ja"")"),"物体の直径を表す値のグループの標準偏差。")</f>
        <v>物体の直径を表す値のグループの標準偏差。</v>
      </c>
      <c r="I1510" s="3" t="str">
        <f ca="1">IFERROR(__xludf.DUMMYFUNCTION("googletranslate(F1510,""en"",""ja"")"),"直径の標準偏差")</f>
        <v>直径の標準偏差</v>
      </c>
    </row>
    <row r="1511" spans="1:9" ht="45">
      <c r="A1511" s="3" t="s">
        <v>6394</v>
      </c>
      <c r="B1511" s="3" t="s">
        <v>6395</v>
      </c>
      <c r="C1511" s="3" t="s">
        <v>6396</v>
      </c>
      <c r="D1511" s="3" t="s">
        <v>6397</v>
      </c>
      <c r="E1511" s="3" t="s">
        <v>6398</v>
      </c>
      <c r="F1511" s="3" t="s">
        <v>6399</v>
      </c>
      <c r="G1511" s="3" t="str">
        <f ca="1">IFERROR(__xludf.DUMMYFUNCTION("googletranslate(D1511,""en"",""ja"")"),"キルゾーンの直径。阻止帯の直径")</f>
        <v>キルゾーンの直径。阻止帯の直径</v>
      </c>
      <c r="H1511" s="3" t="str">
        <f ca="1">IFERROR(__xludf.DUMMYFUNCTION("googletranslate(E1511,""en"",""ja"")"),"培養プレートの表面上の抗生物質源を囲む細菌増殖阻害の円形領域の直径の測定値。")</f>
        <v>培養プレートの表面上の抗生物質源を囲む細菌増殖阻害の円形領域の直径の測定値。</v>
      </c>
      <c r="I1511" s="3" t="str">
        <f ca="1">IFERROR(__xludf.DUMMYFUNCTION("googletranslate(F1511,""en"",""ja"")"),"抗生物質感受性ゾーンの直径")</f>
        <v>抗生物質感受性ゾーンの直径</v>
      </c>
    </row>
    <row r="1512" spans="1:9" ht="30">
      <c r="A1512" s="3" t="s">
        <v>2904</v>
      </c>
      <c r="B1512" s="3" t="s">
        <v>6400</v>
      </c>
      <c r="C1512" s="3" t="s">
        <v>6401</v>
      </c>
      <c r="D1512" s="3" t="s">
        <v>6401</v>
      </c>
      <c r="E1512" s="3" t="s">
        <v>6402</v>
      </c>
      <c r="F1512" s="3" t="s">
        <v>6401</v>
      </c>
      <c r="G1512" s="3" t="str">
        <f ca="1">IFERROR(__xludf.DUMMYFUNCTION("googletranslate(D1512,""en"",""ja"")"),"デジタルサンプリングレート")</f>
        <v>デジタルサンプリングレート</v>
      </c>
      <c r="H1512" s="3" t="str">
        <f ca="1">IFERROR(__xludf.DUMMYFUNCTION("googletranslate(E1512,""en"",""ja"")"),"単位時間当たりに取得または記録されたデジタル サンプルの数。")</f>
        <v>単位時間当たりに取得または記録されたデジタル サンプルの数。</v>
      </c>
      <c r="I1512" s="3" t="str">
        <f ca="1">IFERROR(__xludf.DUMMYFUNCTION("googletranslate(F1512,""en"",""ja"")"),"デジタルサンプリングレート")</f>
        <v>デジタルサンプリングレート</v>
      </c>
    </row>
    <row r="1513" spans="1:9" ht="30">
      <c r="A1513" s="3" t="s">
        <v>6</v>
      </c>
      <c r="B1513" s="3" t="s">
        <v>6403</v>
      </c>
      <c r="C1513" s="3" t="s">
        <v>6404</v>
      </c>
      <c r="D1513" s="3" t="s">
        <v>6404</v>
      </c>
      <c r="E1513" s="3" t="s">
        <v>6405</v>
      </c>
      <c r="F1513" s="3" t="s">
        <v>6406</v>
      </c>
      <c r="G1513" s="3" t="str">
        <f ca="1">IFERROR(__xludf.DUMMYFUNCTION("googletranslate(D1513,""en"",""ja"")"),"ジヒドロコデイン")</f>
        <v>ジヒドロコデイン</v>
      </c>
      <c r="H1513" s="3" t="str">
        <f ca="1">IFERROR(__xludf.DUMMYFUNCTION("googletranslate(E1513,""en"",""ja"")"),"生物学的標本に存在するジヒドロコデインの測定。")</f>
        <v>生物学的標本に存在するジヒドロコデインの測定。</v>
      </c>
      <c r="I1513" s="3" t="str">
        <f ca="1">IFERROR(__xludf.DUMMYFUNCTION("googletranslate(F1513,""en"",""ja"")"),"ジヒドロコデインの測定")</f>
        <v>ジヒドロコデインの測定</v>
      </c>
    </row>
    <row r="1514" spans="1:9" ht="45">
      <c r="A1514" s="3" t="s">
        <v>81</v>
      </c>
      <c r="B1514" s="3" t="s">
        <v>6407</v>
      </c>
      <c r="C1514" s="3" t="s">
        <v>6408</v>
      </c>
      <c r="D1514" s="3" t="s">
        <v>6409</v>
      </c>
      <c r="E1514" s="3" t="s">
        <v>6410</v>
      </c>
      <c r="F1514" s="3" t="s">
        <v>6408</v>
      </c>
      <c r="G1514" s="3" t="str">
        <f ca="1">IFERROR(__xludf.DUMMYFUNCTION("googletranslate(D1514,""en"",""ja"")"),"無次元インデックス。無次元速度指数")</f>
        <v>無次元インデックス。無次元速度指数</v>
      </c>
      <c r="H1514" s="3" t="str">
        <f ca="1">IFERROR(__xludf.DUMMYFUNCTION("googletranslate(E1514,""en"",""ja"")"),"左心室流出路 (LVOT) 内の血流速度と大動脈弁を通過する最大血流速度の比。")</f>
        <v>左心室流出路 (LVOT) 内の血流速度と大動脈弁を通過する最大血流速度の比。</v>
      </c>
      <c r="I1514" s="3" t="str">
        <f ca="1">IFERROR(__xludf.DUMMYFUNCTION("googletranslate(F1514,""en"",""ja"")"),"無次元インデックス")</f>
        <v>無次元インデックス</v>
      </c>
    </row>
    <row r="1515" spans="1:9" ht="30">
      <c r="A1515" s="3" t="s">
        <v>2904</v>
      </c>
      <c r="B1515" s="3" t="s">
        <v>6411</v>
      </c>
      <c r="C1515" s="3" t="s">
        <v>6412</v>
      </c>
      <c r="D1515" s="3" t="s">
        <v>6412</v>
      </c>
      <c r="E1515" s="3" t="s">
        <v>6413</v>
      </c>
      <c r="F1515" s="3" t="s">
        <v>6414</v>
      </c>
      <c r="G1515" s="3" t="str">
        <f ca="1">IFERROR(__xludf.DUMMYFUNCTION("googletranslate(D1515,""en"",""ja"")"),"ジヌクレオチドマーカー名")</f>
        <v>ジヌクレオチドマーカー名</v>
      </c>
      <c r="H1515" s="3" t="str">
        <f ca="1">IFERROR(__xludf.DUMMYFUNCTION("googletranslate(E1515,""en"",""ja"")"),"アッセイキットに含まれるジヌクレオチドマーカーの文字通りの識別子。")</f>
        <v>アッセイキットに含まれるジヌクレオチドマーカーの文字通りの識別子。</v>
      </c>
      <c r="I1515" s="3" t="str">
        <f ca="1">IFERROR(__xludf.DUMMYFUNCTION("googletranslate(F1515,""en"",""ja"")"),"ジヌクレオチドマーカー名")</f>
        <v>ジヌクレオチドマーカー名</v>
      </c>
    </row>
    <row r="1516" spans="1:9" ht="30">
      <c r="A1516" s="3" t="s">
        <v>81</v>
      </c>
      <c r="B1516" s="3" t="s">
        <v>6415</v>
      </c>
      <c r="C1516" s="3" t="s">
        <v>6416</v>
      </c>
      <c r="D1516" s="3" t="s">
        <v>6416</v>
      </c>
      <c r="E1516" s="3" t="s">
        <v>6417</v>
      </c>
      <c r="F1516" s="3" t="s">
        <v>6416</v>
      </c>
      <c r="G1516" s="3" t="str">
        <f ca="1">IFERROR(__xludf.DUMMYFUNCTION("googletranslate(D1516,""en"",""ja"")"),"解剖インジケーター")</f>
        <v>解剖インジケーター</v>
      </c>
      <c r="H1516" s="3" t="str">
        <f ca="1">IFERROR(__xludf.DUMMYFUNCTION("googletranslate(E1516,""en"",""ja"")"),"血管解離の存在の有無に関する指標。")</f>
        <v>血管解離の存在の有無に関する指標。</v>
      </c>
      <c r="I1516" s="3" t="str">
        <f ca="1">IFERROR(__xludf.DUMMYFUNCTION("googletranslate(F1516,""en"",""ja"")"),"解剖インジケーター")</f>
        <v>解剖インジケーター</v>
      </c>
    </row>
    <row r="1517" spans="1:9">
      <c r="A1517" s="3" t="s">
        <v>6418</v>
      </c>
      <c r="B1517" s="3" t="s">
        <v>6419</v>
      </c>
      <c r="C1517" s="3" t="s">
        <v>6420</v>
      </c>
      <c r="D1517" s="3" t="s">
        <v>6420</v>
      </c>
      <c r="E1517" s="3" t="s">
        <v>6421</v>
      </c>
      <c r="F1517" s="3" t="s">
        <v>6420</v>
      </c>
      <c r="G1517" s="3" t="str">
        <f ca="1">IFERROR(__xludf.DUMMYFUNCTION("googletranslate(D1517,""en"",""ja"")"),"吐出量")</f>
        <v>吐出量</v>
      </c>
      <c r="H1517" s="3" t="str">
        <f ca="1">IFERROR(__xludf.DUMMYFUNCTION("googletranslate(E1517,""en"",""ja"")"),"分配された製品の数量。 (NCI)")</f>
        <v>分配された製品の数量。 (NCI)</v>
      </c>
      <c r="I1517" s="3" t="str">
        <f ca="1">IFERROR(__xludf.DUMMYFUNCTION("googletranslate(F1517,""en"",""ja"")"),"吐出量")</f>
        <v>吐出量</v>
      </c>
    </row>
    <row r="1518" spans="1:9">
      <c r="A1518" s="3" t="s">
        <v>185</v>
      </c>
      <c r="B1518" s="3" t="s">
        <v>6419</v>
      </c>
      <c r="C1518" s="3" t="s">
        <v>6420</v>
      </c>
      <c r="D1518" s="3" t="s">
        <v>6420</v>
      </c>
      <c r="E1518" s="3" t="s">
        <v>6421</v>
      </c>
      <c r="F1518" s="3" t="s">
        <v>6420</v>
      </c>
      <c r="G1518" s="3" t="str">
        <f ca="1">IFERROR(__xludf.DUMMYFUNCTION("googletranslate(D1518,""en"",""ja"")"),"吐出量")</f>
        <v>吐出量</v>
      </c>
      <c r="H1518" s="3" t="str">
        <f ca="1">IFERROR(__xludf.DUMMYFUNCTION("googletranslate(E1518,""en"",""ja"")"),"分配された製品の数量。 (NCI)")</f>
        <v>分配された製品の数量。 (NCI)</v>
      </c>
      <c r="I1518" s="3" t="str">
        <f ca="1">IFERROR(__xludf.DUMMYFUNCTION("googletranslate(F1518,""en"",""ja"")"),"吐出量")</f>
        <v>吐出量</v>
      </c>
    </row>
    <row r="1519" spans="1:9" ht="30">
      <c r="A1519" s="3" t="s">
        <v>185</v>
      </c>
      <c r="B1519" s="3" t="s">
        <v>6422</v>
      </c>
      <c r="C1519" s="3" t="s">
        <v>6423</v>
      </c>
      <c r="D1519" s="3" t="s">
        <v>6423</v>
      </c>
      <c r="E1519" s="3" t="s">
        <v>6424</v>
      </c>
      <c r="F1519" s="3" t="s">
        <v>6423</v>
      </c>
      <c r="G1519" s="3" t="str">
        <f ca="1">IFERROR(__xludf.DUMMYFUNCTION("googletranslate(D1519,""en"",""ja"")"),"距離")</f>
        <v>距離</v>
      </c>
      <c r="H1519" s="3" t="str">
        <f ca="1">IFERROR(__xludf.DUMMYFUNCTION("googletranslate(E1519,""en"",""ja"")"),"2 点 (現実または仮想) 間の実際のまたは計算されたスパン。")</f>
        <v>2 点 (現実または仮想) 間の実際のまたは計算されたスパン。</v>
      </c>
      <c r="I1519" s="3" t="str">
        <f ca="1">IFERROR(__xludf.DUMMYFUNCTION("googletranslate(F1519,""en"",""ja"")"),"距離")</f>
        <v>距離</v>
      </c>
    </row>
    <row r="1520" spans="1:9" ht="30">
      <c r="A1520" s="3" t="s">
        <v>503</v>
      </c>
      <c r="B1520" s="3" t="s">
        <v>6425</v>
      </c>
      <c r="C1520" s="3" t="s">
        <v>6426</v>
      </c>
      <c r="D1520" s="3" t="s">
        <v>6426</v>
      </c>
      <c r="E1520" s="3" t="s">
        <v>6427</v>
      </c>
      <c r="F1520" s="3" t="s">
        <v>6426</v>
      </c>
      <c r="G1520" s="3" t="str">
        <f ca="1">IFERROR(__xludf.DUMMYFUNCTION("googletranslate(D1520,""en"",""ja"")"),"病気にさらされる可能性のある地区")</f>
        <v>病気にさらされる可能性のある地区</v>
      </c>
      <c r="H1520" s="3" t="str">
        <f ca="1">IFERROR(__xludf.DUMMYFUNCTION("googletranslate(E1520,""en"",""ja"")"),"個人が病気にさらされた可能性のある地区。")</f>
        <v>個人が病気にさらされた可能性のある地区。</v>
      </c>
      <c r="I1520" s="3" t="str">
        <f ca="1">IFERROR(__xludf.DUMMYFUNCTION("googletranslate(F1520,""en"",""ja"")"),"病気にさらされる可能性のある地区")</f>
        <v>病気にさらされる可能性のある地区</v>
      </c>
    </row>
    <row r="1521" spans="1:9" ht="30">
      <c r="A1521" s="3" t="s">
        <v>503</v>
      </c>
      <c r="B1521" s="3" t="s">
        <v>6428</v>
      </c>
      <c r="C1521" s="3" t="s">
        <v>6429</v>
      </c>
      <c r="D1521" s="3" t="s">
        <v>6429</v>
      </c>
      <c r="E1521" s="3" t="s">
        <v>6430</v>
      </c>
      <c r="F1521" s="3" t="s">
        <v>6429</v>
      </c>
      <c r="G1521" s="3" t="str">
        <f ca="1">IFERROR(__xludf.DUMMYFUNCTION("googletranslate(D1521,""en"",""ja"")"),"本籍地の地区")</f>
        <v>本籍地の地区</v>
      </c>
      <c r="H1521" s="3" t="str">
        <f ca="1">IFERROR(__xludf.DUMMYFUNCTION("googletranslate(E1521,""en"",""ja"")"),"個人の永住地として特定される地区。")</f>
        <v>個人の永住地として特定される地区。</v>
      </c>
      <c r="I1521" s="3" t="str">
        <f ca="1">IFERROR(__xludf.DUMMYFUNCTION("googletranslate(F1521,""en"",""ja"")"),"本籍地の地区")</f>
        <v>本籍地の地区</v>
      </c>
    </row>
    <row r="1522" spans="1:9" ht="30">
      <c r="A1522" s="3" t="s">
        <v>185</v>
      </c>
      <c r="B1522" s="3" t="s">
        <v>6431</v>
      </c>
      <c r="C1522" s="3" t="s">
        <v>6432</v>
      </c>
      <c r="D1522" s="3" t="s">
        <v>6432</v>
      </c>
      <c r="E1522" s="3" t="s">
        <v>6433</v>
      </c>
      <c r="F1522" s="3" t="s">
        <v>6434</v>
      </c>
      <c r="G1522" s="3" t="str">
        <f ca="1">IFERROR(__xludf.DUMMYFUNCTION("googletranslate(D1522,""en"",""ja"")"),"分布")</f>
        <v>分布</v>
      </c>
      <c r="H1522" s="3" t="str">
        <f ca="1">IFERROR(__xludf.DUMMYFUNCTION("googletranslate(E1522,""en"",""ja"")"),"検査範囲内の所見の分布パターンの説明。")</f>
        <v>検査範囲内の所見の分布パターンの説明。</v>
      </c>
      <c r="I1522" s="3" t="str">
        <f ca="1">IFERROR(__xludf.DUMMYFUNCTION("googletranslate(F1522,""en"",""ja"")"),"分布パターンの調査結果の説明")</f>
        <v>分布パターンの調査結果の説明</v>
      </c>
    </row>
    <row r="1523" spans="1:9" ht="30">
      <c r="A1523" s="3" t="s">
        <v>185</v>
      </c>
      <c r="B1523" s="3" t="s">
        <v>6435</v>
      </c>
      <c r="C1523" s="3" t="s">
        <v>6436</v>
      </c>
      <c r="D1523" s="3" t="s">
        <v>6436</v>
      </c>
      <c r="E1523" s="3" t="s">
        <v>6437</v>
      </c>
      <c r="F1523" s="3" t="s">
        <v>6438</v>
      </c>
      <c r="G1523" s="3" t="str">
        <f ca="1">IFERROR(__xludf.DUMMYFUNCTION("googletranslate(D1523,""en"",""ja"")"),"食事性カリウム")</f>
        <v>食事性カリウム</v>
      </c>
      <c r="H1523" s="3" t="str">
        <f ca="1">IFERROR(__xludf.DUMMYFUNCTION("googletranslate(E1523,""en"",""ja"")"),"栄養製品または食事、あるいはその一部に含まれる総カリウムの測定。")</f>
        <v>栄養製品または食事、あるいはその一部に含まれる総カリウムの測定。</v>
      </c>
      <c r="I1523" s="3" t="str">
        <f ca="1">IFERROR(__xludf.DUMMYFUNCTION("googletranslate(F1523,""en"",""ja"")"),"食事中のカリウム測定")</f>
        <v>食事中のカリウム測定</v>
      </c>
    </row>
    <row r="1524" spans="1:9" ht="30">
      <c r="A1524" s="3" t="s">
        <v>6</v>
      </c>
      <c r="B1524" s="3" t="s">
        <v>6439</v>
      </c>
      <c r="C1524" s="3" t="s">
        <v>6440</v>
      </c>
      <c r="D1524" s="3" t="s">
        <v>6441</v>
      </c>
      <c r="E1524" s="3" t="s">
        <v>6442</v>
      </c>
      <c r="F1524" s="3" t="s">
        <v>6443</v>
      </c>
      <c r="G1524" s="3" t="str">
        <f ca="1">IFERROR(__xludf.DUMMYFUNCTION("googletranslate(D1524,""en"",""ja"")"),"Dickkopf WNT シグナル伝達経路阻害剤 1; DKK-1; SK")</f>
        <v>Dickkopf WNT シグナル伝達経路阻害剤 1; DKK-1; SK</v>
      </c>
      <c r="H1524" s="3" t="str">
        <f ca="1">IFERROR(__xludf.DUMMYFUNCTION("googletranslate(E1524,""en"",""ja"")"),"生物学的検体におけるディッコフ WNT シグナル伝達経路阻害剤 1 の測定。")</f>
        <v>生物学的検体におけるディッコフ WNT シグナル伝達経路阻害剤 1 の測定。</v>
      </c>
      <c r="I1524" s="3" t="str">
        <f ca="1">IFERROR(__xludf.DUMMYFUNCTION("googletranslate(F1524,""en"",""ja"")"),"Dickkopf WNT シグナル伝達経路阻害剤 1 の測定")</f>
        <v>Dickkopf WNT シグナル伝達経路阻害剤 1 の測定</v>
      </c>
    </row>
    <row r="1525" spans="1:9" ht="45">
      <c r="A1525" s="3" t="s">
        <v>185</v>
      </c>
      <c r="B1525" s="3" t="s">
        <v>6444</v>
      </c>
      <c r="C1525" s="3" t="s">
        <v>6445</v>
      </c>
      <c r="D1525" s="3" t="s">
        <v>6446</v>
      </c>
      <c r="E1525" s="3" t="s">
        <v>6447</v>
      </c>
      <c r="F1525" s="3" t="s">
        <v>6448</v>
      </c>
      <c r="G1525" s="3" t="str">
        <f ca="1">IFERROR(__xludf.DUMMYFUNCTION("googletranslate(D1525,""en"",""ja"")"),"食事療法 12:0 ラウリン酸;食物由来 12:0 ラウリン酸;食物由来のラウリン酸")</f>
        <v>食事療法 12:0 ラウリン酸;食物由来 12:0 ラウリン酸;食物由来のラウリン酸</v>
      </c>
      <c r="H1525" s="3" t="str">
        <f ca="1">IFERROR(__xludf.DUMMYFUNCTION("googletranslate(E1525,""en"",""ja"")"),"栄養製品または食事、あるいはその一部に含まれる 12:0 ラウリン酸の合計の測定。")</f>
        <v>栄養製品または食事、あるいはその一部に含まれる 12:0 ラウリン酸の合計の測定。</v>
      </c>
      <c r="I1525" s="3" t="str">
        <f ca="1">IFERROR(__xludf.DUMMYFUNCTION("googletranslate(F1525,""en"",""ja"")"),"食事性ラウリン酸の測定")</f>
        <v>食事性ラウリン酸の測定</v>
      </c>
    </row>
    <row r="1526" spans="1:9" ht="30">
      <c r="A1526" s="3" t="s">
        <v>490</v>
      </c>
      <c r="B1526" s="3" t="s">
        <v>6449</v>
      </c>
      <c r="C1526" s="3" t="s">
        <v>6450</v>
      </c>
      <c r="D1526" s="3" t="s">
        <v>6451</v>
      </c>
      <c r="E1526" s="3" t="s">
        <v>6452</v>
      </c>
      <c r="F1526" s="3" t="s">
        <v>6453</v>
      </c>
      <c r="G1526" s="3" t="str">
        <f ca="1">IFERROR(__xludf.DUMMYFUNCTION("googletranslate(D1526,""en"",""ja"")"),"CO の肺の拡散能力。 TLCO;肺の CO 伝達因子")</f>
        <v>CO の肺の拡散能力。 TLCO;肺の CO 伝達因子</v>
      </c>
      <c r="H1526" s="3" t="str">
        <f ca="1">IFERROR(__xludf.DUMMYFUNCTION("googletranslate(E1526,""en"",""ja"")"),"吸気から肺毛細管血中に移動する一酸化炭素の量。")</f>
        <v>吸気から肺毛細管血中に移動する一酸化炭素の量。</v>
      </c>
      <c r="I1526" s="3" t="str">
        <f ca="1">IFERROR(__xludf.DUMMYFUNCTION("googletranslate(F1526,""en"",""ja"")"),"一酸化炭素拡散性能試験")</f>
        <v>一酸化炭素拡散性能試験</v>
      </c>
    </row>
    <row r="1527" spans="1:9" ht="45">
      <c r="A1527" s="3" t="s">
        <v>490</v>
      </c>
      <c r="B1527" s="3" t="s">
        <v>6454</v>
      </c>
      <c r="C1527" s="3" t="s">
        <v>6455</v>
      </c>
      <c r="D1527" s="3" t="s">
        <v>6455</v>
      </c>
      <c r="E1527" s="3" t="s">
        <v>6456</v>
      </c>
      <c r="F1527" s="3" t="s">
        <v>6457</v>
      </c>
      <c r="G1527" s="3" t="str">
        <f ca="1">IFERROR(__xludf.DUMMYFUNCTION("googletranslate(D1527,""en"",""ja"")"),"HGB修正DLC")</f>
        <v>HGB修正DLC</v>
      </c>
      <c r="H1527" s="3" t="str">
        <f ca="1">IFERROR(__xludf.DUMMYFUNCTION("googletranslate(E1527,""en"",""ja"")"),"ヘモグロビン濃度に応じて調整された一酸化炭素の肺の拡散能力。")</f>
        <v>ヘモグロビン濃度に応じて調整された一酸化炭素の肺の拡散能力。</v>
      </c>
      <c r="I1527" s="3" t="str">
        <f ca="1">IFERROR(__xludf.DUMMYFUNCTION("googletranslate(F1527,""en"",""ja"")"),"ヘモグロビン補正後の一酸化炭素の肺拡散能力")</f>
        <v>ヘモグロビン補正後の一酸化炭素の肺拡散能力</v>
      </c>
    </row>
    <row r="1528" spans="1:9" ht="45">
      <c r="A1528" s="3" t="s">
        <v>490</v>
      </c>
      <c r="B1528" s="3" t="s">
        <v>6458</v>
      </c>
      <c r="C1528" s="3" t="s">
        <v>6459</v>
      </c>
      <c r="D1528" s="3" t="s">
        <v>6459</v>
      </c>
      <c r="E1528" s="3" t="s">
        <v>6460</v>
      </c>
      <c r="F1528" s="3" t="s">
        <v>6461</v>
      </c>
      <c r="G1528" s="3" t="str">
        <f ca="1">IFERROR(__xludf.DUMMYFUNCTION("googletranslate(D1528,""en"",""ja"")"),"HGB 修正 DLCO の予測パーセント")</f>
        <v>HGB 修正 DLCO の予測パーセント</v>
      </c>
      <c r="H1528" s="3" t="str">
        <f ca="1">IFERROR(__xludf.DUMMYFUNCTION("googletranslate(E1528,""en"",""ja"")"),"一酸化炭素に対する肺の拡散能力は、ヘモグロビン濃度を調整した予測正常値の割合として表されます。")</f>
        <v>一酸化炭素に対する肺の拡散能力は、ヘモグロビン濃度を調整した予測正常値の割合として表されます。</v>
      </c>
      <c r="I1528" s="3" t="str">
        <f ca="1">IFERROR(__xludf.DUMMYFUNCTION("googletranslate(F1528,""en"",""ja"")"),"一酸化炭素に対する肺のヘモグロビン補正拡散能力の予測パーセント")</f>
        <v>一酸化炭素に対する肺のヘモグロビン補正拡散能力の予測パーセント</v>
      </c>
    </row>
    <row r="1529" spans="1:9" ht="45">
      <c r="A1529" s="3" t="s">
        <v>490</v>
      </c>
      <c r="B1529" s="3" t="s">
        <v>6462</v>
      </c>
      <c r="C1529" s="3" t="s">
        <v>6463</v>
      </c>
      <c r="D1529" s="3" t="s">
        <v>6463</v>
      </c>
      <c r="E1529" s="3" t="s">
        <v>6464</v>
      </c>
      <c r="F1529" s="3" t="s">
        <v>6465</v>
      </c>
      <c r="G1529" s="3" t="str">
        <f ca="1">IFERROR(__xludf.DUMMYFUNCTION("googletranslate(D1529,""en"",""ja"")"),"HGB 修正 DLCO/VA")</f>
        <v>HGB 修正 DLCO/VA</v>
      </c>
      <c r="H1529" s="3" t="str">
        <f ca="1">IFERROR(__xludf.DUMMYFUNCTION("googletranslate(E1529,""en"",""ja"")"),"一酸化炭素に対する肺の拡散能力は、ヘモグロビン濃度を調整した肺胞容積の割合として表されます。")</f>
        <v>一酸化炭素に対する肺の拡散能力は、ヘモグロビン濃度を調整した肺胞容積の割合として表されます。</v>
      </c>
      <c r="I1529" s="3" t="str">
        <f ca="1">IFERROR(__xludf.DUMMYFUNCTION("googletranslate(F1529,""en"",""ja"")"),"一酸化炭素/肺胞容積比に対するヘモグロビン補正肺拡散能")</f>
        <v>一酸化炭素/肺胞容積比に対するヘモグロビン補正肺拡散能</v>
      </c>
    </row>
    <row r="1530" spans="1:9" ht="60">
      <c r="A1530" s="3" t="s">
        <v>490</v>
      </c>
      <c r="B1530" s="3" t="s">
        <v>6466</v>
      </c>
      <c r="C1530" s="3" t="s">
        <v>6467</v>
      </c>
      <c r="D1530" s="3" t="s">
        <v>6467</v>
      </c>
      <c r="E1530" s="3" t="s">
        <v>6468</v>
      </c>
      <c r="F1530" s="3" t="s">
        <v>6469</v>
      </c>
      <c r="G1530" s="3" t="str">
        <f ca="1">IFERROR(__xludf.DUMMYFUNCTION("googletranslate(D1530,""en"",""ja"")"),"HGB 補正後の DLCO/VA の予測パーセント")</f>
        <v>HGB 補正後の DLCO/VA の予測パーセント</v>
      </c>
      <c r="H1530" s="3" t="str">
        <f ca="1">IFERROR(__xludf.DUMMYFUNCTION("googletranslate(E1530,""en"",""ja"")"),"肺の一酸化炭素の拡散能力と肺胞容積の比率を、ヘモグロビン濃度で調整した予測正常値の比率として表します。")</f>
        <v>肺の一酸化炭素の拡散能力と肺胞容積の比率を、ヘモグロビン濃度で調整した予測正常値の比率として表します。</v>
      </c>
      <c r="I1530" s="3" t="str">
        <f ca="1">IFERROR(__xludf.DUMMYFUNCTION("googletranslate(F1530,""en"",""ja"")"),"一酸化炭素/肺胞容積比に対する肺のヘモグロビン補正後の拡散能力の予測パーセント")</f>
        <v>一酸化炭素/肺胞容積比に対する肺のヘモグロビン補正後の拡散能力の予測パーセント</v>
      </c>
    </row>
    <row r="1531" spans="1:9" ht="30">
      <c r="A1531" s="3" t="s">
        <v>490</v>
      </c>
      <c r="B1531" s="3" t="s">
        <v>6470</v>
      </c>
      <c r="C1531" s="3" t="s">
        <v>6471</v>
      </c>
      <c r="D1531" s="3" t="s">
        <v>6471</v>
      </c>
      <c r="E1531" s="3" t="s">
        <v>6472</v>
      </c>
      <c r="F1531" s="3" t="s">
        <v>6473</v>
      </c>
      <c r="G1531" s="3" t="str">
        <f ca="1">IFERROR(__xludf.DUMMYFUNCTION("googletranslate(D1531,""en"",""ja"")"),"肺の CO の平均拡散能力")</f>
        <v>肺の CO の平均拡散能力</v>
      </c>
      <c r="H1531" s="3" t="str">
        <f ca="1">IFERROR(__xludf.DUMMYFUNCTION("googletranslate(E1531,""en"",""ja"")"),"吸気から肺毛細管血中に移動する一酸化炭素の平均量。")</f>
        <v>吸気から肺毛細管血中に移動する一酸化炭素の平均量。</v>
      </c>
      <c r="I1531" s="3" t="str">
        <f ca="1">IFERROR(__xludf.DUMMYFUNCTION("googletranslate(F1531,""en"",""ja"")"),"平均一酸化炭素拡散能力試験")</f>
        <v>平均一酸化炭素拡散能力試験</v>
      </c>
    </row>
    <row r="1532" spans="1:9" ht="45">
      <c r="A1532" s="3" t="s">
        <v>490</v>
      </c>
      <c r="B1532" s="3" t="s">
        <v>6474</v>
      </c>
      <c r="C1532" s="3" t="s">
        <v>6475</v>
      </c>
      <c r="D1532" s="3" t="s">
        <v>6475</v>
      </c>
      <c r="E1532" s="3" t="s">
        <v>6476</v>
      </c>
      <c r="F1532" s="3" t="s">
        <v>6477</v>
      </c>
      <c r="G1532" s="3" t="str">
        <f ca="1">IFERROR(__xludf.DUMMYFUNCTION("googletranslate(D1532,""en"",""ja"")"),"予測された DLCO の割合")</f>
        <v>予測された DLCO の割合</v>
      </c>
      <c r="H1532" s="3" t="str">
        <f ca="1">IFERROR(__xludf.DUMMYFUNCTION("googletranslate(E1532,""en"",""ja"")"),"一酸化炭素に対する肺の拡散能力を、予測された正常値の割合として表します。")</f>
        <v>一酸化炭素に対する肺の拡散能力を、予測された正常値の割合として表します。</v>
      </c>
      <c r="I1532" s="3" t="str">
        <f ca="1">IFERROR(__xludf.DUMMYFUNCTION("googletranslate(F1532,""en"",""ja"")"),"一酸化炭素に対する肺の予測拡散能のパーセント")</f>
        <v>一酸化炭素に対する肺の予測拡散能のパーセント</v>
      </c>
    </row>
    <row r="1533" spans="1:9" ht="45">
      <c r="A1533" s="3" t="s">
        <v>490</v>
      </c>
      <c r="B1533" s="3" t="s">
        <v>6478</v>
      </c>
      <c r="C1533" s="3" t="s">
        <v>6479</v>
      </c>
      <c r="D1533" s="3" t="s">
        <v>6479</v>
      </c>
      <c r="E1533" s="3" t="s">
        <v>6480</v>
      </c>
      <c r="F1533" s="3" t="s">
        <v>6481</v>
      </c>
      <c r="G1533" s="3" t="str">
        <f ca="1">IFERROR(__xludf.DUMMYFUNCTION("googletranslate(D1533,""en"",""ja"")"),"DLCO/VA")</f>
        <v>DLCO/VA</v>
      </c>
      <c r="H1533" s="3" t="str">
        <f ca="1">IFERROR(__xludf.DUMMYFUNCTION("googletranslate(E1533,""en"",""ja"")"),"一酸化炭素に対する肺の拡散能力は、肺胞容積の割合として表されます。")</f>
        <v>一酸化炭素に対する肺の拡散能力は、肺胞容積の割合として表されます。</v>
      </c>
      <c r="I1533" s="3" t="str">
        <f ca="1">IFERROR(__xludf.DUMMYFUNCTION("googletranslate(F1533,""en"",""ja"")"),"一酸化炭素に対する肺の拡散能力/肺胞容積比")</f>
        <v>一酸化炭素に対する肺の拡散能力/肺胞容積比</v>
      </c>
    </row>
    <row r="1534" spans="1:9" ht="45">
      <c r="A1534" s="3" t="s">
        <v>490</v>
      </c>
      <c r="B1534" s="3" t="s">
        <v>6482</v>
      </c>
      <c r="C1534" s="3" t="s">
        <v>6483</v>
      </c>
      <c r="D1534" s="3" t="s">
        <v>6483</v>
      </c>
      <c r="E1534" s="3" t="s">
        <v>6484</v>
      </c>
      <c r="F1534" s="3" t="s">
        <v>6485</v>
      </c>
      <c r="G1534" s="3" t="str">
        <f ca="1">IFERROR(__xludf.DUMMYFUNCTION("googletranslate(D1534,""en"",""ja"")"),"DLCO/VA の予測パーセント")</f>
        <v>DLCO/VA の予測パーセント</v>
      </c>
      <c r="H1534" s="3" t="str">
        <f ca="1">IFERROR(__xludf.DUMMYFUNCTION("googletranslate(E1534,""en"",""ja"")"),"肺の一酸化炭素の拡散能力と肺胞容積の比率。予測される正常値の比率として表されます。")</f>
        <v>肺の一酸化炭素の拡散能力と肺胞容積の比率。予測される正常値の比率として表されます。</v>
      </c>
      <c r="I1534" s="3" t="str">
        <f ca="1">IFERROR(__xludf.DUMMYFUNCTION("googletranslate(F1534,""en"",""ja"")"),"一酸化炭素/肺胞容積比に対する肺の予測拡散能のパーセント")</f>
        <v>一酸化炭素/肺胞容積比に対する肺の予測拡散能のパーセント</v>
      </c>
    </row>
    <row r="1535" spans="1:9" ht="45">
      <c r="A1535" s="3" t="s">
        <v>185</v>
      </c>
      <c r="B1535" s="3" t="s">
        <v>6486</v>
      </c>
      <c r="C1535" s="3" t="s">
        <v>6487</v>
      </c>
      <c r="D1535" s="3" t="s">
        <v>6488</v>
      </c>
      <c r="E1535" s="3" t="s">
        <v>6489</v>
      </c>
      <c r="F1535" s="3" t="s">
        <v>6490</v>
      </c>
      <c r="G1535" s="3" t="str">
        <f ca="1">IFERROR(__xludf.DUMMYFUNCTION("googletranslate(D1535,""en"",""ja"")"),"食事療法 18:2 リノール酸;食事 18:2 リノール酸;食物由来のリノール酸")</f>
        <v>食事療法 18:2 リノール酸;食事 18:2 リノール酸;食物由来のリノール酸</v>
      </c>
      <c r="H1535" s="3" t="str">
        <f ca="1">IFERROR(__xludf.DUMMYFUNCTION("googletranslate(E1535,""en"",""ja"")"),"栄養製品または食事、またはその一部に含まれる合計 18:2 リノール酸の測定。")</f>
        <v>栄養製品または食事、またはその一部に含まれる合計 18:2 リノール酸の測定。</v>
      </c>
      <c r="I1535" s="3" t="str">
        <f ca="1">IFERROR(__xludf.DUMMYFUNCTION("googletranslate(F1535,""en"",""ja"")"),"食事中のリノール酸の測定")</f>
        <v>食事中のリノール酸の測定</v>
      </c>
    </row>
    <row r="1536" spans="1:9" ht="45">
      <c r="A1536" s="3" t="s">
        <v>185</v>
      </c>
      <c r="B1536" s="3" t="s">
        <v>6491</v>
      </c>
      <c r="C1536" s="3" t="s">
        <v>6492</v>
      </c>
      <c r="D1536" s="3" t="s">
        <v>6493</v>
      </c>
      <c r="E1536" s="3" t="s">
        <v>6494</v>
      </c>
      <c r="F1536" s="3" t="s">
        <v>6495</v>
      </c>
      <c r="G1536" s="3" t="str">
        <f ca="1">IFERROR(__xludf.DUMMYFUNCTION("googletranslate(D1536,""en"",""ja"")"),"食事療法 18:3 リノレン酸;食事性 18:3 リノレン酸;食物由来のリノレン酸")</f>
        <v>食事療法 18:3 リノレン酸;食事性 18:3 リノレン酸;食物由来のリノレン酸</v>
      </c>
      <c r="H1536" s="3" t="str">
        <f ca="1">IFERROR(__xludf.DUMMYFUNCTION("googletranslate(E1536,""en"",""ja"")"),"栄養製品または食事、あるいはその一部に含まれる 18:3 リノレン酸の総量の測定。")</f>
        <v>栄養製品または食事、あるいはその一部に含まれる 18:3 リノレン酸の総量の測定。</v>
      </c>
      <c r="I1536" s="3" t="str">
        <f ca="1">IFERROR(__xludf.DUMMYFUNCTION("googletranslate(F1536,""en"",""ja"")"),"食事中のリノレン酸の測定")</f>
        <v>食事中のリノレン酸の測定</v>
      </c>
    </row>
    <row r="1537" spans="1:9" ht="30">
      <c r="A1537" s="3" t="s">
        <v>185</v>
      </c>
      <c r="B1537" s="3" t="s">
        <v>6496</v>
      </c>
      <c r="C1537" s="3" t="s">
        <v>6497</v>
      </c>
      <c r="D1537" s="3" t="s">
        <v>6497</v>
      </c>
      <c r="E1537" s="3" t="s">
        <v>6498</v>
      </c>
      <c r="F1537" s="3" t="s">
        <v>6499</v>
      </c>
      <c r="G1537" s="3" t="str">
        <f ca="1">IFERROR(__xludf.DUMMYFUNCTION("googletranslate(D1537,""en"",""ja"")"),"食事性ルテインとゼアキサンチン")</f>
        <v>食事性ルテインとゼアキサンチン</v>
      </c>
      <c r="H1537" s="3" t="str">
        <f ca="1">IFERROR(__xludf.DUMMYFUNCTION("googletranslate(E1537,""en"",""ja"")"),"栄養製品または食事、あるいはその一部に含まれるルテインおよびゼアキサンチンの測定。")</f>
        <v>栄養製品または食事、あるいはその一部に含まれるルテインおよびゼアキサンチンの測定。</v>
      </c>
      <c r="I1537" s="3" t="str">
        <f ca="1">IFERROR(__xludf.DUMMYFUNCTION("googletranslate(F1537,""en"",""ja"")"),"食事中のルテインとゼアキサンチンの測定")</f>
        <v>食事中のルテインとゼアキサンチンの測定</v>
      </c>
    </row>
    <row r="1538" spans="1:9">
      <c r="A1538" s="3" t="s">
        <v>142</v>
      </c>
      <c r="B1538" s="3" t="s">
        <v>6500</v>
      </c>
      <c r="C1538" s="3" t="s">
        <v>6501</v>
      </c>
      <c r="D1538" s="3" t="s">
        <v>6501</v>
      </c>
      <c r="E1538" s="3" t="s">
        <v>6502</v>
      </c>
      <c r="F1538" s="3" t="s">
        <v>6503</v>
      </c>
      <c r="G1538" s="3" t="str">
        <f ca="1">IFERROR(__xludf.DUMMYFUNCTION("googletranslate(D1538,""en"",""ja"")"),"配送方法")</f>
        <v>配送方法</v>
      </c>
      <c r="H1538" s="3" t="str">
        <f ca="1">IFERROR(__xludf.DUMMYFUNCTION("googletranslate(E1538,""en"",""ja"")"),"胎児の出産方法の説明。")</f>
        <v>胎児の出産方法の説明。</v>
      </c>
      <c r="I1538" s="3" t="str">
        <f ca="1">IFERROR(__xludf.DUMMYFUNCTION("googletranslate(F1538,""en"",""ja"")"),"納品手順")</f>
        <v>納品手順</v>
      </c>
    </row>
    <row r="1539" spans="1:9" ht="30">
      <c r="A1539" s="3" t="s">
        <v>185</v>
      </c>
      <c r="B1539" s="3" t="s">
        <v>6504</v>
      </c>
      <c r="C1539" s="3" t="s">
        <v>6505</v>
      </c>
      <c r="D1539" s="3" t="s">
        <v>6505</v>
      </c>
      <c r="E1539" s="3" t="s">
        <v>6506</v>
      </c>
      <c r="F1539" s="3" t="s">
        <v>6507</v>
      </c>
      <c r="G1539" s="3" t="str">
        <f ca="1">IFERROR(__xludf.DUMMYFUNCTION("googletranslate(D1539,""en"",""ja"")"),"食事性リコピン")</f>
        <v>食事性リコピン</v>
      </c>
      <c r="H1539" s="3" t="str">
        <f ca="1">IFERROR(__xludf.DUMMYFUNCTION("googletranslate(E1539,""en"",""ja"")"),"栄養製品または食事、またはその一部に含まれるリコピンの測定。")</f>
        <v>栄養製品または食事、またはその一部に含まれるリコピンの測定。</v>
      </c>
      <c r="I1539" s="3" t="str">
        <f ca="1">IFERROR(__xludf.DUMMYFUNCTION("googletranslate(F1539,""en"",""ja"")"),"食事によるリコピンの測定")</f>
        <v>食事によるリコピンの測定</v>
      </c>
    </row>
    <row r="1540" spans="1:9" ht="30">
      <c r="A1540" s="3" t="s">
        <v>51</v>
      </c>
      <c r="B1540" s="3" t="s">
        <v>6508</v>
      </c>
      <c r="C1540" s="3" t="s">
        <v>6509</v>
      </c>
      <c r="D1540" s="3" t="s">
        <v>6510</v>
      </c>
      <c r="E1540" s="3" t="s">
        <v>6511</v>
      </c>
      <c r="F1540" s="3" t="s">
        <v>6512</v>
      </c>
      <c r="G1540" s="3" t="str">
        <f ca="1">IFERROR(__xludf.DUMMYFUNCTION("googletranslate(D1540,""en"",""ja"")"),"2,6-ジメチルアニリン; 2,6-キシリジン; o-キシリジン")</f>
        <v>2,6-ジメチルアニリン; 2,6-キシリジン; o-キシリジン</v>
      </c>
      <c r="H1540" s="3" t="str">
        <f ca="1">IFERROR(__xludf.DUMMYFUNCTION("googletranslate(E1540,""en"",""ja"")"),"試料中の 2,6-ジメチルアニリンの測定。")</f>
        <v>試料中の 2,6-ジメチルアニリンの測定。</v>
      </c>
      <c r="I1540" s="3" t="str">
        <f ca="1">IFERROR(__xludf.DUMMYFUNCTION("googletranslate(F1540,""en"",""ja"")"),"2,6-ジメチルアニリンの測定")</f>
        <v>2,6-ジメチルアニリンの測定</v>
      </c>
    </row>
    <row r="1541" spans="1:9" ht="30">
      <c r="A1541" s="3" t="s">
        <v>185</v>
      </c>
      <c r="B1541" s="3" t="s">
        <v>6513</v>
      </c>
      <c r="C1541" s="3" t="s">
        <v>6514</v>
      </c>
      <c r="D1541" s="3" t="s">
        <v>6514</v>
      </c>
      <c r="E1541" s="3" t="s">
        <v>6515</v>
      </c>
      <c r="F1541" s="3" t="s">
        <v>6516</v>
      </c>
      <c r="G1541" s="3" t="str">
        <f ca="1">IFERROR(__xludf.DUMMYFUNCTION("googletranslate(D1541,""en"",""ja"")"),"ダイエットミート")</f>
        <v>ダイエットミート</v>
      </c>
      <c r="H1541" s="3" t="str">
        <f ca="1">IFERROR(__xludf.DUMMYFUNCTION("googletranslate(E1541,""en"",""ja"")"),"栄養製品または食事、またはその一部に含まれる肉の総量の測定。")</f>
        <v>栄養製品または食事、またはその一部に含まれる肉の総量の測定。</v>
      </c>
      <c r="I1541" s="3" t="str">
        <f ca="1">IFERROR(__xludf.DUMMYFUNCTION("googletranslate(F1541,""en"",""ja"")"),"食肉測定")</f>
        <v>食肉測定</v>
      </c>
    </row>
    <row r="1542" spans="1:9" ht="30">
      <c r="A1542" s="3" t="s">
        <v>185</v>
      </c>
      <c r="B1542" s="3" t="s">
        <v>6517</v>
      </c>
      <c r="C1542" s="3" t="s">
        <v>6518</v>
      </c>
      <c r="D1542" s="3" t="s">
        <v>6518</v>
      </c>
      <c r="E1542" s="3" t="s">
        <v>6519</v>
      </c>
      <c r="F1542" s="3" t="s">
        <v>6520</v>
      </c>
      <c r="G1542" s="3" t="str">
        <f ca="1">IFERROR(__xludf.DUMMYFUNCTION("googletranslate(D1542,""en"",""ja"")"),"ダイエットミート、塩漬け")</f>
        <v>ダイエットミート、塩漬け</v>
      </c>
      <c r="H1542" s="3" t="str">
        <f ca="1">IFERROR(__xludf.DUMMYFUNCTION("googletranslate(E1542,""en"",""ja"")"),"栄養製品または食事、あるいはその一部に含まれる塩漬け肉の測定。")</f>
        <v>栄養製品または食事、あるいはその一部に含まれる塩漬け肉の測定。</v>
      </c>
      <c r="I1542" s="3" t="str">
        <f ca="1">IFERROR(__xludf.DUMMYFUNCTION("googletranslate(F1542,""en"",""ja"")"),"ダイエットミート、塩漬け測定")</f>
        <v>ダイエットミート、塩漬け測定</v>
      </c>
    </row>
    <row r="1543" spans="1:9" ht="30">
      <c r="A1543" s="3" t="s">
        <v>185</v>
      </c>
      <c r="B1543" s="3" t="s">
        <v>6521</v>
      </c>
      <c r="C1543" s="3" t="s">
        <v>6522</v>
      </c>
      <c r="D1543" s="3" t="s">
        <v>6522</v>
      </c>
      <c r="E1543" s="3" t="s">
        <v>6523</v>
      </c>
      <c r="F1543" s="3" t="s">
        <v>6524</v>
      </c>
      <c r="G1543" s="3" t="str">
        <f ca="1">IFERROR(__xludf.DUMMYFUNCTION("googletranslate(D1543,""en"",""ja"")"),"食肉、臓器")</f>
        <v>食肉、臓器</v>
      </c>
      <c r="H1543" s="3" t="str">
        <f ca="1">IFERROR(__xludf.DUMMYFUNCTION("googletranslate(E1543,""en"",""ja"")"),"栄養製品または食事、あるいはその一部に含まれる内臓肉の測定。")</f>
        <v>栄養製品または食事、あるいはその一部に含まれる内臓肉の測定。</v>
      </c>
      <c r="I1543" s="3" t="str">
        <f ca="1">IFERROR(__xludf.DUMMYFUNCTION("googletranslate(F1543,""en"",""ja"")"),"食肉、臓器測定")</f>
        <v>食肉、臓器測定</v>
      </c>
    </row>
    <row r="1544" spans="1:9" ht="30">
      <c r="A1544" s="3" t="s">
        <v>185</v>
      </c>
      <c r="B1544" s="3" t="s">
        <v>6525</v>
      </c>
      <c r="C1544" s="3" t="s">
        <v>6526</v>
      </c>
      <c r="D1544" s="3" t="s">
        <v>6526</v>
      </c>
      <c r="E1544" s="3" t="s">
        <v>6527</v>
      </c>
      <c r="F1544" s="3" t="s">
        <v>6528</v>
      </c>
      <c r="G1544" s="3" t="str">
        <f ca="1">IFERROR(__xludf.DUMMYFUNCTION("googletranslate(D1544,""en"",""ja"")"),"食事用の肉、鶏肉、魚介類")</f>
        <v>食事用の肉、鶏肉、魚介類</v>
      </c>
      <c r="H1544" s="3" t="str">
        <f ca="1">IFERROR(__xludf.DUMMYFUNCTION("googletranslate(E1544,""en"",""ja"")"),"栄養製品または食事、あるいはその一部に含まれる肉、家禽、魚介類の総量の測定。")</f>
        <v>栄養製品または食事、あるいはその一部に含まれる肉、家禽、魚介類の総量の測定。</v>
      </c>
      <c r="I1544" s="3" t="str">
        <f ca="1">IFERROR(__xludf.DUMMYFUNCTION("googletranslate(F1544,""en"",""ja"")"),"肉、鶏肉、魚介類の食事の測定")</f>
        <v>肉、鶏肉、魚介類の食事の測定</v>
      </c>
    </row>
    <row r="1545" spans="1:9" ht="30">
      <c r="A1545" s="3" t="s">
        <v>185</v>
      </c>
      <c r="B1545" s="3" t="s">
        <v>6529</v>
      </c>
      <c r="C1545" s="3" t="s">
        <v>6530</v>
      </c>
      <c r="D1545" s="3" t="s">
        <v>6530</v>
      </c>
      <c r="E1545" s="3" t="s">
        <v>6531</v>
      </c>
      <c r="F1545" s="3" t="s">
        <v>6532</v>
      </c>
      <c r="G1545" s="3" t="str">
        <f ca="1">IFERROR(__xludf.DUMMYFUNCTION("googletranslate(D1545,""en"",""ja"")"),"食事から摂取できるマグネシウム")</f>
        <v>食事から摂取できるマグネシウム</v>
      </c>
      <c r="H1545" s="3" t="str">
        <f ca="1">IFERROR(__xludf.DUMMYFUNCTION("googletranslate(E1545,""en"",""ja"")"),"栄養製品または食事、またはその一部に含まれる総マグネシウムの測定。")</f>
        <v>栄養製品または食事、またはその一部に含まれる総マグネシウムの測定。</v>
      </c>
      <c r="I1545" s="3" t="str">
        <f ca="1">IFERROR(__xludf.DUMMYFUNCTION("googletranslate(F1545,""en"",""ja"")"),"食事中のマグネシウムの測定")</f>
        <v>食事中のマグネシウムの測定</v>
      </c>
    </row>
    <row r="1546" spans="1:9" ht="30">
      <c r="A1546" s="3" t="s">
        <v>6</v>
      </c>
      <c r="B1546" s="3" t="s">
        <v>6529</v>
      </c>
      <c r="C1546" s="3" t="s">
        <v>6533</v>
      </c>
      <c r="D1546" s="3" t="s">
        <v>6533</v>
      </c>
      <c r="E1546" s="3" t="s">
        <v>6534</v>
      </c>
      <c r="F1546" s="3" t="s">
        <v>6535</v>
      </c>
      <c r="G1546" s="3" t="str">
        <f ca="1">IFERROR(__xludf.DUMMYFUNCTION("googletranslate(D1546,""en"",""ja"")"),"ジメチルグリシン")</f>
        <v>ジメチルグリシン</v>
      </c>
      <c r="H1546" s="3" t="str">
        <f ca="1">IFERROR(__xludf.DUMMYFUNCTION("googletranslate(E1546,""en"",""ja"")"),"生物学的標本中のジメチルグリシンの測定。")</f>
        <v>生物学的標本中のジメチルグリシンの測定。</v>
      </c>
      <c r="I1546" s="3" t="str">
        <f ca="1">IFERROR(__xludf.DUMMYFUNCTION("googletranslate(F1546,""en"",""ja"")"),"ジメチルグリシンの測定")</f>
        <v>ジメチルグリシンの測定</v>
      </c>
    </row>
    <row r="1547" spans="1:9" ht="30">
      <c r="A1547" s="3" t="s">
        <v>185</v>
      </c>
      <c r="B1547" s="3" t="s">
        <v>6536</v>
      </c>
      <c r="C1547" s="3" t="s">
        <v>6537</v>
      </c>
      <c r="D1547" s="3" t="s">
        <v>6537</v>
      </c>
      <c r="E1547" s="3" t="s">
        <v>6538</v>
      </c>
      <c r="F1547" s="3" t="s">
        <v>6539</v>
      </c>
      <c r="G1547" s="3" t="str">
        <f ca="1">IFERROR(__xludf.DUMMYFUNCTION("googletranslate(D1547,""en"",""ja"")"),"栄養乳")</f>
        <v>栄養乳</v>
      </c>
      <c r="H1547" s="3" t="str">
        <f ca="1">IFERROR(__xludf.DUMMYFUNCTION("googletranslate(E1547,""en"",""ja"")"),"栄養製品または食事、またはその一部に含まれる乳の測定。")</f>
        <v>栄養製品または食事、またはその一部に含まれる乳の測定。</v>
      </c>
      <c r="I1547" s="3" t="str">
        <f ca="1">IFERROR(__xludf.DUMMYFUNCTION("googletranslate(F1547,""en"",""ja"")"),"栄養乳の測定")</f>
        <v>栄養乳の測定</v>
      </c>
    </row>
    <row r="1548" spans="1:9" ht="30">
      <c r="A1548" s="3" t="s">
        <v>185</v>
      </c>
      <c r="B1548" s="3" t="s">
        <v>6540</v>
      </c>
      <c r="C1548" s="3" t="s">
        <v>6541</v>
      </c>
      <c r="D1548" s="3" t="s">
        <v>6541</v>
      </c>
      <c r="E1548" s="3" t="s">
        <v>6542</v>
      </c>
      <c r="F1548" s="3" t="s">
        <v>6543</v>
      </c>
      <c r="G1548" s="3" t="str">
        <f ca="1">IFERROR(__xludf.DUMMYFUNCTION("googletranslate(D1548,""en"",""ja"")"),"食事の水分")</f>
        <v>食事の水分</v>
      </c>
      <c r="H1548" s="3" t="str">
        <f ca="1">IFERROR(__xludf.DUMMYFUNCTION("googletranslate(E1548,""en"",""ja"")"),"栄養製品または食事、またはその一部に含まれる水分含有量の測定。")</f>
        <v>栄養製品または食事、またはその一部に含まれる水分含有量の測定。</v>
      </c>
      <c r="I1548" s="3" t="str">
        <f ca="1">IFERROR(__xludf.DUMMYFUNCTION("googletranslate(F1548,""en"",""ja"")"),"食事中の水分測定")</f>
        <v>食事中の水分測定</v>
      </c>
    </row>
    <row r="1549" spans="1:9" ht="30">
      <c r="A1549" s="3" t="s">
        <v>6</v>
      </c>
      <c r="B1549" s="3" t="s">
        <v>6544</v>
      </c>
      <c r="C1549" s="3" t="s">
        <v>6545</v>
      </c>
      <c r="D1549" s="3" t="s">
        <v>6546</v>
      </c>
      <c r="E1549" s="3" t="s">
        <v>6547</v>
      </c>
      <c r="F1549" s="3" t="s">
        <v>6548</v>
      </c>
      <c r="G1549" s="3" t="str">
        <f ca="1">IFERROR(__xludf.DUMMYFUNCTION("googletranslate(D1549,""en"",""ja"")"),"ジメチルトリプタミン; DMT; N,N-ジメチルトリプタミン")</f>
        <v>ジメチルトリプタミン; DMT; N,N-ジメチルトリプタミン</v>
      </c>
      <c r="H1549" s="3" t="str">
        <f ca="1">IFERROR(__xludf.DUMMYFUNCTION("googletranslate(E1549,""en"",""ja"")"),"生物学的標本中の N,N-ジメチルトリプタミンの測定。")</f>
        <v>生物学的標本中の N,N-ジメチルトリプタミンの測定。</v>
      </c>
      <c r="I1549" s="3" t="str">
        <f ca="1">IFERROR(__xludf.DUMMYFUNCTION("googletranslate(F1549,""en"",""ja"")"),"N,N-ジメチルトリプタミンの測定")</f>
        <v>N,N-ジメチルトリプタミンの測定</v>
      </c>
    </row>
    <row r="1550" spans="1:9" ht="45">
      <c r="A1550" s="3" t="s">
        <v>185</v>
      </c>
      <c r="B1550" s="3" t="s">
        <v>6549</v>
      </c>
      <c r="C1550" s="3" t="s">
        <v>6550</v>
      </c>
      <c r="D1550" s="3" t="s">
        <v>6551</v>
      </c>
      <c r="E1550" s="3" t="s">
        <v>6552</v>
      </c>
      <c r="F1550" s="3" t="s">
        <v>6553</v>
      </c>
      <c r="G1550" s="3" t="str">
        <f ca="1">IFERROR(__xludf.DUMMYFUNCTION("googletranslate(D1550,""en"",""ja"")"),"食事療法 14:0 ミリステート;食事性 14:0 ミリスチン酸;食物由来のミリスチン酸")</f>
        <v>食事療法 14:0 ミリステート;食事性 14:0 ミリスチン酸;食物由来のミリスチン酸</v>
      </c>
      <c r="H1550" s="3" t="str">
        <f ca="1">IFERROR(__xludf.DUMMYFUNCTION("googletranslate(E1550,""en"",""ja"")"),"栄養製品または食事、またはその一部に含まれる 14:0 ミリスチン酸の合計の測定。")</f>
        <v>栄養製品または食事、またはその一部に含まれる 14:0 ミリスチン酸の合計の測定。</v>
      </c>
      <c r="I1550" s="3" t="str">
        <f ca="1">IFERROR(__xludf.DUMMYFUNCTION("googletranslate(F1550,""en"",""ja"")"),"食事中のミリスチン酸測定")</f>
        <v>食事中のミリスチン酸測定</v>
      </c>
    </row>
    <row r="1551" spans="1:9" ht="30">
      <c r="A1551" s="3" t="s">
        <v>185</v>
      </c>
      <c r="B1551" s="3" t="s">
        <v>6554</v>
      </c>
      <c r="C1551" s="3" t="s">
        <v>6555</v>
      </c>
      <c r="D1551" s="3" t="s">
        <v>6555</v>
      </c>
      <c r="E1551" s="3" t="s">
        <v>6556</v>
      </c>
      <c r="F1551" s="3" t="s">
        <v>6557</v>
      </c>
      <c r="G1551" s="3" t="str">
        <f ca="1">IFERROR(__xludf.DUMMYFUNCTION("googletranslate(D1551,""en"",""ja"")"),"食事性ナトリウム")</f>
        <v>食事性ナトリウム</v>
      </c>
      <c r="H1551" s="3" t="str">
        <f ca="1">IFERROR(__xludf.DUMMYFUNCTION("googletranslate(E1551,""en"",""ja"")"),"栄養製品または食事、あるいはその一部に含まれる総ナトリウム量の測定。")</f>
        <v>栄養製品または食事、あるいはその一部に含まれる総ナトリウム量の測定。</v>
      </c>
      <c r="I1551" s="3" t="str">
        <f ca="1">IFERROR(__xludf.DUMMYFUNCTION("googletranslate(F1551,""en"",""ja"")"),"食事中のナトリウム測定")</f>
        <v>食事中のナトリウム測定</v>
      </c>
    </row>
    <row r="1552" spans="1:9" ht="30">
      <c r="A1552" s="3" t="s">
        <v>6</v>
      </c>
      <c r="B1552" s="3" t="s">
        <v>6554</v>
      </c>
      <c r="C1552" s="3" t="s">
        <v>6558</v>
      </c>
      <c r="D1552" s="3" t="s">
        <v>6558</v>
      </c>
      <c r="E1552" s="3" t="s">
        <v>6559</v>
      </c>
      <c r="F1552" s="3" t="s">
        <v>6560</v>
      </c>
      <c r="G1552" s="3" t="str">
        <f ca="1">IFERROR(__xludf.DUMMYFUNCTION("googletranslate(D1552,""en"",""ja"")"),"デオキシリボ核酸")</f>
        <v>デオキシリボ核酸</v>
      </c>
      <c r="H1552" s="3" t="str">
        <f ca="1">IFERROR(__xludf.DUMMYFUNCTION("googletranslate(E1552,""en"",""ja"")"),"生物学的標本中の標的デオキシリボ核酸 (DNA) の測定。")</f>
        <v>生物学的標本中の標的デオキシリボ核酸 (DNA) の測定。</v>
      </c>
      <c r="I1552" s="3" t="str">
        <f ca="1">IFERROR(__xludf.DUMMYFUNCTION("googletranslate(F1552,""en"",""ja"")"),"デオキシリボ核酸の測定")</f>
        <v>デオキシリボ核酸の測定</v>
      </c>
    </row>
    <row r="1553" spans="1:9" ht="30">
      <c r="A1553" s="3" t="s">
        <v>185</v>
      </c>
      <c r="B1553" s="3" t="s">
        <v>6561</v>
      </c>
      <c r="C1553" s="3" t="s">
        <v>6562</v>
      </c>
      <c r="D1553" s="3" t="s">
        <v>6563</v>
      </c>
      <c r="E1553" s="3" t="s">
        <v>6564</v>
      </c>
      <c r="F1553" s="3" t="s">
        <v>6565</v>
      </c>
      <c r="G1553" s="3" t="str">
        <f ca="1">IFERROR(__xludf.DUMMYFUNCTION("googletranslate(D1553,""en"",""ja"")"),"食事性ナイアシン;食事性ビタミンB3")</f>
        <v>食事性ナイアシン;食事性ビタミンB3</v>
      </c>
      <c r="H1553" s="3" t="str">
        <f ca="1">IFERROR(__xludf.DUMMYFUNCTION("googletranslate(E1553,""en"",""ja"")"),"栄養製品または食事、あるいはその一部に含まれるナイアシンの測定。")</f>
        <v>栄養製品または食事、あるいはその一部に含まれるナイアシンの測定。</v>
      </c>
      <c r="I1553" s="3" t="str">
        <f ca="1">IFERROR(__xludf.DUMMYFUNCTION("googletranslate(F1553,""en"",""ja"")"),"食事によるナイアシンの測定")</f>
        <v>食事によるナイアシンの測定</v>
      </c>
    </row>
    <row r="1554" spans="1:9" ht="45">
      <c r="A1554" s="3" t="s">
        <v>6</v>
      </c>
      <c r="B1554" s="3" t="s">
        <v>6566</v>
      </c>
      <c r="C1554" s="3" t="s">
        <v>6567</v>
      </c>
      <c r="D1554" s="3" t="s">
        <v>6568</v>
      </c>
      <c r="E1554" s="3" t="s">
        <v>6569</v>
      </c>
      <c r="F1554" s="3" t="s">
        <v>6570</v>
      </c>
      <c r="G1554" s="3" t="str">
        <f ca="1">IFERROR(__xludf.DUMMYFUNCTION("googletranslate(D1554,""en"",""ja"")"),"(+)-ノルプソイドエフェドリン;キャサリン。 D-ノルプソイドエフェドリン")</f>
        <v>(+)-ノルプソイドエフェドリン;キャサリン。 D-ノルプソイドエフェドリン</v>
      </c>
      <c r="H1554" s="3" t="str">
        <f ca="1">IFERROR(__xludf.DUMMYFUNCTION("googletranslate(E1554,""en"",""ja"")"),"生物学的標本中の D-ノルプソイドエフェドリンの測定。")</f>
        <v>生物学的標本中の D-ノルプソイドエフェドリンの測定。</v>
      </c>
      <c r="I1554" s="3" t="str">
        <f ca="1">IFERROR(__xludf.DUMMYFUNCTION("googletranslate(F1554,""en"",""ja"")"),"D-ノルプソイドエフェドリンの測定")</f>
        <v>D-ノルプソイドエフェドリンの測定</v>
      </c>
    </row>
    <row r="1555" spans="1:9" ht="30">
      <c r="A1555" s="3" t="s">
        <v>185</v>
      </c>
      <c r="B1555" s="3" t="s">
        <v>6571</v>
      </c>
      <c r="C1555" s="3" t="s">
        <v>6572</v>
      </c>
      <c r="D1555" s="3" t="s">
        <v>6572</v>
      </c>
      <c r="E1555" s="3" t="s">
        <v>6573</v>
      </c>
      <c r="F1555" s="3" t="s">
        <v>6574</v>
      </c>
      <c r="G1555" s="3" t="str">
        <f ca="1">IFERROR(__xludf.DUMMYFUNCTION("googletranslate(D1555,""en"",""ja"")"),"食事用ナッツと種子")</f>
        <v>食事用ナッツと種子</v>
      </c>
      <c r="H1555" s="3" t="str">
        <f ca="1">IFERROR(__xludf.DUMMYFUNCTION("googletranslate(E1555,""en"",""ja"")"),"栄養製品または食事、またはその一部に含まれるナッツと種子の合計の測定。")</f>
        <v>栄養製品または食事、またはその一部に含まれるナッツと種子の合計の測定。</v>
      </c>
      <c r="I1555" s="3" t="str">
        <f ca="1">IFERROR(__xludf.DUMMYFUNCTION("googletranslate(F1555,""en"",""ja"")"),"食事中のナッツと種子の測定")</f>
        <v>食事中のナッツと種子の測定</v>
      </c>
    </row>
    <row r="1556" spans="1:9" ht="30">
      <c r="A1556" s="3" t="s">
        <v>67</v>
      </c>
      <c r="B1556" s="3" t="s">
        <v>6575</v>
      </c>
      <c r="C1556" s="3" t="s">
        <v>6576</v>
      </c>
      <c r="D1556" s="3" t="s">
        <v>6576</v>
      </c>
      <c r="E1556" s="3" t="s">
        <v>6577</v>
      </c>
      <c r="F1556" s="3" t="s">
        <v>6578</v>
      </c>
      <c r="G1556" s="3" t="str">
        <f ca="1">IFERROR(__xludf.DUMMYFUNCTION("googletranslate(D1556,""en"",""ja"")"),"デング熱ウイルス 1 RNA")</f>
        <v>デング熱ウイルス 1 RNA</v>
      </c>
      <c r="H1556" s="3" t="str">
        <f ca="1">IFERROR(__xludf.DUMMYFUNCTION("googletranslate(E1556,""en"",""ja"")"),"生物学的検体中のデング熱ウイルス 1 RNA の測定。")</f>
        <v>生物学的検体中のデング熱ウイルス 1 RNA の測定。</v>
      </c>
      <c r="I1556" s="3" t="str">
        <f ca="1">IFERROR(__xludf.DUMMYFUNCTION("googletranslate(F1556,""en"",""ja"")"),"デング熱ウイルス 1 の RNA 測定")</f>
        <v>デング熱ウイルス 1 の RNA 測定</v>
      </c>
    </row>
    <row r="1557" spans="1:9" ht="30">
      <c r="A1557" s="3" t="s">
        <v>67</v>
      </c>
      <c r="B1557" s="3" t="s">
        <v>6579</v>
      </c>
      <c r="C1557" s="3" t="s">
        <v>6580</v>
      </c>
      <c r="D1557" s="3" t="s">
        <v>6580</v>
      </c>
      <c r="E1557" s="3" t="s">
        <v>6581</v>
      </c>
      <c r="F1557" s="3" t="s">
        <v>6582</v>
      </c>
      <c r="G1557" s="3" t="str">
        <f ca="1">IFERROR(__xludf.DUMMYFUNCTION("googletranslate(D1557,""en"",""ja"")"),"デング熱ウイルス 2 RNA")</f>
        <v>デング熱ウイルス 2 RNA</v>
      </c>
      <c r="H1557" s="3" t="str">
        <f ca="1">IFERROR(__xludf.DUMMYFUNCTION("googletranslate(E1557,""en"",""ja"")"),"生物学的検体中のデング熱ウイルス 2 RNA の測定。")</f>
        <v>生物学的検体中のデング熱ウイルス 2 RNA の測定。</v>
      </c>
      <c r="I1557" s="3" t="str">
        <f ca="1">IFERROR(__xludf.DUMMYFUNCTION("googletranslate(F1557,""en"",""ja"")"),"デング熱ウイルス 2 RNA 測定")</f>
        <v>デング熱ウイルス 2 RNA 測定</v>
      </c>
    </row>
    <row r="1558" spans="1:9" ht="30">
      <c r="A1558" s="3" t="s">
        <v>67</v>
      </c>
      <c r="B1558" s="3" t="s">
        <v>6583</v>
      </c>
      <c r="C1558" s="3" t="s">
        <v>6584</v>
      </c>
      <c r="D1558" s="3" t="s">
        <v>6584</v>
      </c>
      <c r="E1558" s="3" t="s">
        <v>6585</v>
      </c>
      <c r="F1558" s="3" t="s">
        <v>6586</v>
      </c>
      <c r="G1558" s="3" t="str">
        <f ca="1">IFERROR(__xludf.DUMMYFUNCTION("googletranslate(D1558,""en"",""ja"")"),"デング熱ウイルス 3 RNA")</f>
        <v>デング熱ウイルス 3 RNA</v>
      </c>
      <c r="H1558" s="3" t="str">
        <f ca="1">IFERROR(__xludf.DUMMYFUNCTION("googletranslate(E1558,""en"",""ja"")"),"生物学的検体中のデング熱ウイルス 3 RNA の測定。")</f>
        <v>生物学的検体中のデング熱ウイルス 3 RNA の測定。</v>
      </c>
      <c r="I1558" s="3" t="str">
        <f ca="1">IFERROR(__xludf.DUMMYFUNCTION("googletranslate(F1558,""en"",""ja"")"),"デング熱ウイルス 3 RNA の測定")</f>
        <v>デング熱ウイルス 3 RNA の測定</v>
      </c>
    </row>
    <row r="1559" spans="1:9" ht="30">
      <c r="A1559" s="3" t="s">
        <v>67</v>
      </c>
      <c r="B1559" s="3" t="s">
        <v>6587</v>
      </c>
      <c r="C1559" s="3" t="s">
        <v>6588</v>
      </c>
      <c r="D1559" s="3" t="s">
        <v>6588</v>
      </c>
      <c r="E1559" s="3" t="s">
        <v>6589</v>
      </c>
      <c r="F1559" s="3" t="s">
        <v>6590</v>
      </c>
      <c r="G1559" s="3" t="str">
        <f ca="1">IFERROR(__xludf.DUMMYFUNCTION("googletranslate(D1559,""en"",""ja"")"),"デング熱ウイルス 4 RNA")</f>
        <v>デング熱ウイルス 4 RNA</v>
      </c>
      <c r="H1559" s="3" t="str">
        <f ca="1">IFERROR(__xludf.DUMMYFUNCTION("googletranslate(E1559,""en"",""ja"")"),"生物学的検体中のデング熱ウイルス 4 RNA の測定。")</f>
        <v>生物学的検体中のデング熱ウイルス 4 RNA の測定。</v>
      </c>
      <c r="I1559" s="3" t="str">
        <f ca="1">IFERROR(__xludf.DUMMYFUNCTION("googletranslate(F1559,""en"",""ja"")"),"デング熱ウイルス 4 RNA の測定")</f>
        <v>デング熱ウイルス 4 RNA の測定</v>
      </c>
    </row>
    <row r="1560" spans="1:9" ht="45">
      <c r="A1560" s="3" t="s">
        <v>67</v>
      </c>
      <c r="B1560" s="3" t="s">
        <v>6591</v>
      </c>
      <c r="C1560" s="3" t="s">
        <v>6592</v>
      </c>
      <c r="D1560" s="3" t="s">
        <v>6593</v>
      </c>
      <c r="E1560" s="3" t="s">
        <v>6594</v>
      </c>
      <c r="F1560" s="3" t="s">
        <v>6595</v>
      </c>
      <c r="G1560" s="3" t="str">
        <f ca="1">IFERROR(__xludf.DUMMYFUNCTION("googletranslate(D1560,""en"",""ja"")"),"デング熱ウイルス非構造タンパク質 1;デング熱ウイルス NS1 抗原")</f>
        <v>デング熱ウイルス非構造タンパク質 1;デング熱ウイルス NS1 抗原</v>
      </c>
      <c r="H1560" s="3" t="str">
        <f ca="1">IFERROR(__xludf.DUMMYFUNCTION("googletranslate(E1560,""en"",""ja"")"),"生物学的検体中のデングウイルス NS1 抗原の測定。")</f>
        <v>生物学的検体中のデングウイルス NS1 抗原の測定。</v>
      </c>
      <c r="I1560" s="3" t="str">
        <f ca="1">IFERROR(__xludf.DUMMYFUNCTION("googletranslate(F1560,""en"",""ja"")"),"デング熱ウイルス NS1 抗原測定")</f>
        <v>デング熱ウイルス NS1 抗原測定</v>
      </c>
    </row>
    <row r="1561" spans="1:9" ht="30">
      <c r="A1561" s="3" t="s">
        <v>67</v>
      </c>
      <c r="B1561" s="3" t="s">
        <v>6596</v>
      </c>
      <c r="C1561" s="3" t="s">
        <v>6597</v>
      </c>
      <c r="D1561" s="3" t="s">
        <v>6597</v>
      </c>
      <c r="E1561" s="3" t="s">
        <v>6598</v>
      </c>
      <c r="F1561" s="3" t="s">
        <v>6599</v>
      </c>
      <c r="G1561" s="3" t="str">
        <f ca="1">IFERROR(__xludf.DUMMYFUNCTION("googletranslate(D1561,""en"",""ja"")"),"デング熱ウイルスのRNA")</f>
        <v>デング熱ウイルスのRNA</v>
      </c>
      <c r="H1561" s="3" t="str">
        <f ca="1">IFERROR(__xludf.DUMMYFUNCTION("googletranslate(E1561,""en"",""ja"")"),"生物学的検体中のデングウイルス RNA の測定。")</f>
        <v>生物学的検体中のデングウイルス RNA の測定。</v>
      </c>
      <c r="I1561" s="3" t="str">
        <f ca="1">IFERROR(__xludf.DUMMYFUNCTION("googletranslate(F1561,""en"",""ja"")"),"デング熱ウイルスのRNA測定")</f>
        <v>デング熱ウイルスのRNA測定</v>
      </c>
    </row>
    <row r="1562" spans="1:9" ht="45">
      <c r="A1562" s="3" t="s">
        <v>6</v>
      </c>
      <c r="B1562" s="3" t="s">
        <v>6600</v>
      </c>
      <c r="C1562" s="3" t="s">
        <v>6601</v>
      </c>
      <c r="D1562" s="3" t="s">
        <v>6601</v>
      </c>
      <c r="E1562" s="3" t="s">
        <v>6602</v>
      </c>
      <c r="F1562" s="3" t="s">
        <v>6603</v>
      </c>
      <c r="G1562" s="3" t="str">
        <f ca="1">IFERROR(__xludf.DUMMYFUNCTION("googletranslate(D1562,""en"",""ja"")"),"ドールボディ")</f>
        <v>ドールボディ</v>
      </c>
      <c r="H1562" s="3" t="str">
        <f ca="1">IFERROR(__xludf.DUMMYFUNCTION("googletranslate(E1562,""en"",""ja"")"),"生物学的標本中のドーレ小体（好中球の末梢細胞質に位置する青灰色の好塩基性白血球封入体）の測定。")</f>
        <v>生物学的標本中のドーレ小体（好中球の末梢細胞質に位置する青灰色の好塩基性白血球封入体）の測定。</v>
      </c>
      <c r="I1562" s="3" t="str">
        <f ca="1">IFERROR(__xludf.DUMMYFUNCTION("googletranslate(F1562,""en"",""ja"")"),"ドール身体測定")</f>
        <v>ドール身体測定</v>
      </c>
    </row>
    <row r="1563" spans="1:9" ht="30">
      <c r="A1563" s="3" t="s">
        <v>185</v>
      </c>
      <c r="B1563" s="3" t="s">
        <v>6604</v>
      </c>
      <c r="C1563" s="3" t="s">
        <v>6605</v>
      </c>
      <c r="D1563" s="3" t="s">
        <v>6605</v>
      </c>
      <c r="E1563" s="3" t="s">
        <v>6606</v>
      </c>
      <c r="F1563" s="3" t="s">
        <v>6607</v>
      </c>
      <c r="G1563" s="3" t="str">
        <f ca="1">IFERROR(__xludf.DUMMYFUNCTION("googletranslate(D1563,""en"",""ja"")"),"食用油")</f>
        <v>食用油</v>
      </c>
      <c r="H1563" s="3" t="str">
        <f ca="1">IFERROR(__xludf.DUMMYFUNCTION("googletranslate(E1563,""en"",""ja"")"),"栄養製品または食事、またはその一部に含まれる油の測定。")</f>
        <v>栄養製品または食事、またはその一部に含まれる油の測定。</v>
      </c>
      <c r="I1563" s="3" t="str">
        <f ca="1">IFERROR(__xludf.DUMMYFUNCTION("googletranslate(F1563,""en"",""ja"")"),"食用油の測定")</f>
        <v>食用油の測定</v>
      </c>
    </row>
    <row r="1564" spans="1:9" ht="45">
      <c r="A1564" s="3" t="s">
        <v>185</v>
      </c>
      <c r="B1564" s="3" t="s">
        <v>6608</v>
      </c>
      <c r="C1564" s="3" t="s">
        <v>6609</v>
      </c>
      <c r="D1564" s="3" t="s">
        <v>6610</v>
      </c>
      <c r="E1564" s="3" t="s">
        <v>6611</v>
      </c>
      <c r="F1564" s="3" t="s">
        <v>6612</v>
      </c>
      <c r="G1564" s="3" t="str">
        <f ca="1">IFERROR(__xludf.DUMMYFUNCTION("googletranslate(D1564,""en"",""ja"")"),"食事療法 18:1 オレイン酸;食事 18:1 オレイン酸;食物性オレイン酸")</f>
        <v>食事療法 18:1 オレイン酸;食事 18:1 オレイン酸;食物性オレイン酸</v>
      </c>
      <c r="H1564" s="3" t="str">
        <f ca="1">IFERROR(__xludf.DUMMYFUNCTION("googletranslate(E1564,""en"",""ja"")"),"栄養製品または食事、またはその一部に含まれる合計 18:1 オレイン酸の測定。")</f>
        <v>栄養製品または食事、またはその一部に含まれる合計 18:1 オレイン酸の測定。</v>
      </c>
      <c r="I1564" s="3" t="str">
        <f ca="1">IFERROR(__xludf.DUMMYFUNCTION("googletranslate(F1564,""en"",""ja"")"),"食事性オレイン酸測定")</f>
        <v>食事性オレイン酸測定</v>
      </c>
    </row>
    <row r="1565" spans="1:9" ht="30">
      <c r="A1565" s="3" t="s">
        <v>490</v>
      </c>
      <c r="B1565" s="3" t="s">
        <v>6613</v>
      </c>
      <c r="C1565" s="3" t="s">
        <v>6614</v>
      </c>
      <c r="D1565" s="3" t="s">
        <v>6614</v>
      </c>
      <c r="E1565" s="3" t="s">
        <v>6615</v>
      </c>
      <c r="F1565" s="3" t="s">
        <v>6616</v>
      </c>
      <c r="G1565" s="3" t="str">
        <f ca="1">IFERROR(__xludf.DUMMYFUNCTION("googletranslate(D1565,""en"",""ja"")"),"優位な肺のパターン")</f>
        <v>優位な肺のパターン</v>
      </c>
      <c r="H1565" s="3" t="str">
        <f ca="1">IFERROR(__xludf.DUMMYFUNCTION("googletranslate(E1565,""en"",""ja"")"),"原発性肺異常パターンの主観的な評価。通常はサイズ、分布、および/または量に基づきます。")</f>
        <v>原発性肺異常パターンの主観的な評価。通常はサイズ、分布、および/または量に基づきます。</v>
      </c>
      <c r="I1565" s="3" t="str">
        <f ca="1">IFERROR(__xludf.DUMMYFUNCTION("googletranslate(F1565,""en"",""ja"")"),"支配的な肺パターンの評価")</f>
        <v>支配的な肺パターンの評価</v>
      </c>
    </row>
    <row r="1566" spans="1:9" ht="30">
      <c r="A1566" s="3" t="s">
        <v>490</v>
      </c>
      <c r="B1566" s="3" t="s">
        <v>6617</v>
      </c>
      <c r="C1566" s="3" t="s">
        <v>6618</v>
      </c>
      <c r="D1566" s="3" t="s">
        <v>6618</v>
      </c>
      <c r="E1566" s="3" t="s">
        <v>6619</v>
      </c>
      <c r="F1566" s="3" t="s">
        <v>6620</v>
      </c>
      <c r="G1566" s="3" t="str">
        <f ca="1">IFERROR(__xludf.DUMMYFUNCTION("googletranslate(D1566,""en"",""ja"")"),"支配的な肺パターンの分布")</f>
        <v>支配的な肺パターンの分布</v>
      </c>
      <c r="H1566" s="3" t="str">
        <f ca="1">IFERROR(__xludf.DUMMYFUNCTION("googletranslate(E1566,""en"",""ja"")"),"原発性肺異常パターンの分布の主観的評価。")</f>
        <v>原発性肺異常パターンの分布の主観的評価。</v>
      </c>
      <c r="I1566" s="3" t="str">
        <f ca="1">IFERROR(__xludf.DUMMYFUNCTION("googletranslate(F1566,""en"",""ja"")"),"支配的な肺パターン分布の評価")</f>
        <v>支配的な肺パターン分布の評価</v>
      </c>
    </row>
    <row r="1567" spans="1:9" ht="30">
      <c r="A1567" s="3" t="s">
        <v>6</v>
      </c>
      <c r="B1567" s="3" t="s">
        <v>6621</v>
      </c>
      <c r="C1567" s="3" t="s">
        <v>6622</v>
      </c>
      <c r="D1567" s="3" t="s">
        <v>6622</v>
      </c>
      <c r="E1567" s="3" t="s">
        <v>6623</v>
      </c>
      <c r="F1567" s="3" t="s">
        <v>6624</v>
      </c>
      <c r="G1567" s="3" t="str">
        <f ca="1">IFERROR(__xludf.DUMMYFUNCTION("googletranslate(D1567,""en"",""ja"")"),"3,4-ジヒドロキシフェニル酢酸")</f>
        <v>3,4-ジヒドロキシフェニル酢酸</v>
      </c>
      <c r="H1567" s="3" t="str">
        <f ca="1">IFERROR(__xludf.DUMMYFUNCTION("googletranslate(E1567,""en"",""ja"")"),"生物学的標本中の 3,4-ジヒドロキシフェニル酢酸の測定。")</f>
        <v>生物学的標本中の 3,4-ジヒドロキシフェニル酢酸の測定。</v>
      </c>
      <c r="I1567" s="3" t="str">
        <f ca="1">IFERROR(__xludf.DUMMYFUNCTION("googletranslate(F1567,""en"",""ja"")"),"3,4-ジヒドロキシフェニル酢酸の測定")</f>
        <v>3,4-ジヒドロキシフェニル酢酸の測定</v>
      </c>
    </row>
    <row r="1568" spans="1:9" ht="45">
      <c r="A1568" s="3" t="s">
        <v>6</v>
      </c>
      <c r="B1568" s="3" t="s">
        <v>6625</v>
      </c>
      <c r="C1568" s="3" t="s">
        <v>6626</v>
      </c>
      <c r="D1568" s="3" t="s">
        <v>6626</v>
      </c>
      <c r="E1568" s="3" t="s">
        <v>6627</v>
      </c>
      <c r="F1568" s="3" t="s">
        <v>6626</v>
      </c>
      <c r="G1568" s="3" t="str">
        <f ca="1">IFERROR(__xludf.DUMMYFUNCTION("googletranslate(D1568,""en"",""ja"")"),"ドーパミン排泄率")</f>
        <v>ドーパミン排泄率</v>
      </c>
      <c r="H1568" s="3" t="str">
        <f ca="1">IFERROR(__xludf.DUMMYFUNCTION("googletranslate(E1568,""en"",""ja"")"),"規定の時間 (例: 1 時間) にわたって生物学的標本中に排泄されるドーパミンの量の測定。")</f>
        <v>規定の時間 (例: 1 時間) にわたって生物学的標本中に排泄されるドーパミンの量の測定。</v>
      </c>
      <c r="I1568" s="3" t="str">
        <f ca="1">IFERROR(__xludf.DUMMYFUNCTION("googletranslate(F1568,""en"",""ja"")"),"ドーパミン排泄率")</f>
        <v>ドーパミン排泄率</v>
      </c>
    </row>
    <row r="1569" spans="1:9" ht="30">
      <c r="A1569" s="3" t="s">
        <v>6</v>
      </c>
      <c r="B1569" s="3" t="s">
        <v>6628</v>
      </c>
      <c r="C1569" s="3" t="s">
        <v>6629</v>
      </c>
      <c r="D1569" s="3" t="s">
        <v>6629</v>
      </c>
      <c r="E1569" s="3" t="s">
        <v>6630</v>
      </c>
      <c r="F1569" s="3" t="s">
        <v>6631</v>
      </c>
      <c r="G1569" s="3" t="str">
        <f ca="1">IFERROR(__xludf.DUMMYFUNCTION("googletranslate(D1569,""en"",""ja"")"),"ドーパミン")</f>
        <v>ドーパミン</v>
      </c>
      <c r="H1569" s="3" t="str">
        <f ca="1">IFERROR(__xludf.DUMMYFUNCTION("googletranslate(E1569,""en"",""ja"")"),"生物学的標本中のドーパミン ホルモンの測定。")</f>
        <v>生物学的標本中のドーパミン ホルモンの測定。</v>
      </c>
      <c r="I1569" s="3" t="str">
        <f ca="1">IFERROR(__xludf.DUMMYFUNCTION("googletranslate(F1569,""en"",""ja"")"),"ドーパミン測定")</f>
        <v>ドーパミン測定</v>
      </c>
    </row>
    <row r="1570" spans="1:9" ht="30">
      <c r="A1570" s="3" t="s">
        <v>6</v>
      </c>
      <c r="B1570" s="3" t="s">
        <v>6632</v>
      </c>
      <c r="C1570" s="3" t="s">
        <v>6633</v>
      </c>
      <c r="D1570" s="3" t="s">
        <v>6633</v>
      </c>
      <c r="E1570" s="3" t="s">
        <v>6634</v>
      </c>
      <c r="F1570" s="3" t="s">
        <v>6635</v>
      </c>
      <c r="G1570" s="3" t="str">
        <f ca="1">IFERROR(__xludf.DUMMYFUNCTION("googletranslate(D1570,""en"",""ja"")"),"デソキシメチルテストステロン")</f>
        <v>デソキシメチルテストステロン</v>
      </c>
      <c r="H1570" s="3" t="str">
        <f ca="1">IFERROR(__xludf.DUMMYFUNCTION("googletranslate(E1570,""en"",""ja"")"),"生物学的標本中のデスオキシメチルテストステロンの測定。")</f>
        <v>生物学的標本中のデスオキシメチルテストステロンの測定。</v>
      </c>
      <c r="I1570" s="3" t="str">
        <f ca="1">IFERROR(__xludf.DUMMYFUNCTION("googletranslate(F1570,""en"",""ja"")"),"デソキシメチルテストステロンの測定")</f>
        <v>デソキシメチルテストステロンの測定</v>
      </c>
    </row>
    <row r="1571" spans="1:9" ht="30">
      <c r="A1571" s="3" t="s">
        <v>6</v>
      </c>
      <c r="B1571" s="3" t="s">
        <v>6636</v>
      </c>
      <c r="C1571" s="3" t="s">
        <v>6637</v>
      </c>
      <c r="D1571" s="3" t="s">
        <v>6637</v>
      </c>
      <c r="E1571" s="3" t="s">
        <v>6638</v>
      </c>
      <c r="F1571" s="3" t="s">
        <v>6639</v>
      </c>
      <c r="G1571" s="3" t="str">
        <f ca="1">IFERROR(__xludf.DUMMYFUNCTION("googletranslate(D1571,""en"",""ja"")"),"ドキセピン")</f>
        <v>ドキセピン</v>
      </c>
      <c r="H1571" s="3" t="str">
        <f ca="1">IFERROR(__xludf.DUMMYFUNCTION("googletranslate(E1571,""en"",""ja"")"),"生物学的標本中に存在するドキセピンの測定。")</f>
        <v>生物学的標本中に存在するドキセピンの測定。</v>
      </c>
      <c r="I1571" s="3" t="str">
        <f ca="1">IFERROR(__xludf.DUMMYFUNCTION("googletranslate(F1571,""en"",""ja"")"),"ドキセピンの測定")</f>
        <v>ドキセピンの測定</v>
      </c>
    </row>
    <row r="1572" spans="1:9" ht="45">
      <c r="A1572" s="3" t="s">
        <v>6</v>
      </c>
      <c r="B1572" s="3" t="s">
        <v>6640</v>
      </c>
      <c r="C1572" s="3" t="s">
        <v>6641</v>
      </c>
      <c r="D1572" s="3" t="s">
        <v>6641</v>
      </c>
      <c r="E1572" s="3" t="s">
        <v>6642</v>
      </c>
      <c r="F1572" s="3" t="s">
        <v>6643</v>
      </c>
      <c r="G1572" s="3" t="str">
        <f ca="1">IFERROR(__xludf.DUMMYFUNCTION("googletranslate(D1572,""en"",""ja"")"),"ドキセピンおよび/または代謝物")</f>
        <v>ドキセピンおよび/または代謝物</v>
      </c>
      <c r="H1572" s="3" t="str">
        <f ca="1">IFERROR(__xludf.DUMMYFUNCTION("googletranslate(E1572,""en"",""ja"")"),"ドキセピンとその代謝物の両方を測定できるアッセイのための、生物学的標本に存在するドキセピンおよび/またはその代謝物の測定。")</f>
        <v>ドキセピンとその代謝物の両方を測定できるアッセイのための、生物学的標本に存在するドキセピンおよび/またはその代謝物の測定。</v>
      </c>
      <c r="I1572" s="3" t="str">
        <f ca="1">IFERROR(__xludf.DUMMYFUNCTION("googletranslate(F1572,""en"",""ja"")"),"ドキセピンおよび/または代謝物の測定")</f>
        <v>ドキセピンおよび/または代謝物の測定</v>
      </c>
    </row>
    <row r="1573" spans="1:9" ht="30">
      <c r="A1573" s="3" t="s">
        <v>185</v>
      </c>
      <c r="B1573" s="3" t="s">
        <v>6644</v>
      </c>
      <c r="C1573" s="3" t="s">
        <v>6645</v>
      </c>
      <c r="D1573" s="3" t="s">
        <v>6645</v>
      </c>
      <c r="E1573" s="3" t="s">
        <v>6646</v>
      </c>
      <c r="F1573" s="3" t="s">
        <v>6647</v>
      </c>
      <c r="G1573" s="3" t="str">
        <f ca="1">IFERROR(__xludf.DUMMYFUNCTION("googletranslate(D1573,""en"",""ja"")"),"食物性リン")</f>
        <v>食物性リン</v>
      </c>
      <c r="H1573" s="3" t="str">
        <f ca="1">IFERROR(__xludf.DUMMYFUNCTION("googletranslate(E1573,""en"",""ja"")"),"栄養製品または食事、またはその一部に含まれるリンの測定。")</f>
        <v>栄養製品または食事、またはその一部に含まれるリンの測定。</v>
      </c>
      <c r="I1573" s="3" t="str">
        <f ca="1">IFERROR(__xludf.DUMMYFUNCTION("googletranslate(F1573,""en"",""ja"")"),"食事中のリンの測定")</f>
        <v>食事中のリンの測定</v>
      </c>
    </row>
    <row r="1574" spans="1:9" ht="45">
      <c r="A1574" s="3" t="s">
        <v>185</v>
      </c>
      <c r="B1574" s="3" t="s">
        <v>6648</v>
      </c>
      <c r="C1574" s="3" t="s">
        <v>6649</v>
      </c>
      <c r="D1574" s="3" t="s">
        <v>6650</v>
      </c>
      <c r="E1574" s="3" t="s">
        <v>6651</v>
      </c>
      <c r="F1574" s="3" t="s">
        <v>6652</v>
      </c>
      <c r="G1574" s="3" t="str">
        <f ca="1">IFERROR(__xludf.DUMMYFUNCTION("googletranslate(D1574,""en"",""ja"")"),"食事療法 16:0 パルミチン酸;食事由来 16:0 パルミチン酸;食事性パルミチン酸")</f>
        <v>食事療法 16:0 パルミチン酸;食事由来 16:0 パルミチン酸;食事性パルミチン酸</v>
      </c>
      <c r="H1574" s="3" t="str">
        <f ca="1">IFERROR(__xludf.DUMMYFUNCTION("googletranslate(E1574,""en"",""ja"")"),"栄養製品または食事、またはその一部に含まれる 16:0 パルミチン酸の合計の測定。")</f>
        <v>栄養製品または食事、またはその一部に含まれる 16:0 パルミチン酸の合計の測定。</v>
      </c>
      <c r="I1574" s="3" t="str">
        <f ca="1">IFERROR(__xludf.DUMMYFUNCTION("googletranslate(F1574,""en"",""ja"")"),"食事性パルミチン酸の測定")</f>
        <v>食事性パルミチン酸の測定</v>
      </c>
    </row>
    <row r="1575" spans="1:9" ht="45">
      <c r="A1575" s="3" t="s">
        <v>185</v>
      </c>
      <c r="B1575" s="3" t="s">
        <v>6653</v>
      </c>
      <c r="C1575" s="3" t="s">
        <v>6654</v>
      </c>
      <c r="D1575" s="3" t="s">
        <v>6655</v>
      </c>
      <c r="E1575" s="3" t="s">
        <v>6656</v>
      </c>
      <c r="F1575" s="3" t="s">
        <v>6657</v>
      </c>
      <c r="G1575" s="3" t="str">
        <f ca="1">IFERROR(__xludf.DUMMYFUNCTION("googletranslate(D1575,""en"",""ja"")"),"食事 16:1 パルミトレイン酸;食事性 16:1 パルミトレイン酸;食物パルミトレイン酸")</f>
        <v>食事 16:1 パルミトレイン酸;食事性 16:1 パルミトレイン酸;食物パルミトレイン酸</v>
      </c>
      <c r="H1575" s="3" t="str">
        <f ca="1">IFERROR(__xludf.DUMMYFUNCTION("googletranslate(E1575,""en"",""ja"")"),"栄養製品または食事、またはその一部に含まれる合計 16:1 パルミトレイン酸の測定。")</f>
        <v>栄養製品または食事、またはその一部に含まれる合計 16:1 パルミトレイン酸の測定。</v>
      </c>
      <c r="I1575" s="3" t="str">
        <f ca="1">IFERROR(__xludf.DUMMYFUNCTION("googletranslate(F1575,""en"",""ja"")"),"食事中のパルミトレイン酸の測定")</f>
        <v>食事中のパルミトレイン酸の測定</v>
      </c>
    </row>
    <row r="1576" spans="1:9" ht="45">
      <c r="A1576" s="3" t="s">
        <v>185</v>
      </c>
      <c r="B1576" s="3" t="s">
        <v>6658</v>
      </c>
      <c r="C1576" s="3" t="s">
        <v>6659</v>
      </c>
      <c r="D1576" s="3" t="s">
        <v>6660</v>
      </c>
      <c r="E1576" s="3" t="s">
        <v>6661</v>
      </c>
      <c r="F1576" s="3" t="s">
        <v>6662</v>
      </c>
      <c r="G1576" s="3" t="str">
        <f ca="1">IFERROR(__xludf.DUMMYFUNCTION("googletranslate(D1576,""en"",""ja"")"),"食事 18:4 パリナレート。食事 18:4 パリナ酸;食事性パリナ酸")</f>
        <v>食事 18:4 パリナレート。食事 18:4 パリナ酸;食事性パリナ酸</v>
      </c>
      <c r="H1576" s="3" t="str">
        <f ca="1">IFERROR(__xludf.DUMMYFUNCTION("googletranslate(E1576,""en"",""ja"")"),"栄養製品または食事、あるいはその一部に含まれる 18:4 パリナリン酸の合計の測定。")</f>
        <v>栄養製品または食事、あるいはその一部に含まれる 18:4 パリナリン酸の合計の測定。</v>
      </c>
      <c r="I1576" s="3" t="str">
        <f ca="1">IFERROR(__xludf.DUMMYFUNCTION("googletranslate(F1576,""en"",""ja"")"),"食事によるパリナ酸の測定")</f>
        <v>食事によるパリナ酸の測定</v>
      </c>
    </row>
    <row r="1577" spans="1:9" ht="30">
      <c r="A1577" s="3" t="s">
        <v>6</v>
      </c>
      <c r="B1577" s="3" t="s">
        <v>6663</v>
      </c>
      <c r="C1577" s="3" t="s">
        <v>6664</v>
      </c>
      <c r="D1577" s="3" t="s">
        <v>6664</v>
      </c>
      <c r="E1577" s="3" t="s">
        <v>6665</v>
      </c>
      <c r="F1577" s="3" t="s">
        <v>6666</v>
      </c>
      <c r="G1577" s="3" t="str">
        <f ca="1">IFERROR(__xludf.DUMMYFUNCTION("googletranslate(D1577,""en"",""ja"")"),"デオキシピリジノリン")</f>
        <v>デオキシピリジノリン</v>
      </c>
      <c r="H1577" s="3" t="str">
        <f ca="1">IFERROR(__xludf.DUMMYFUNCTION("googletranslate(E1577,""en"",""ja"")"),"生物学的標本中のデオキシピリジノリンの測定。")</f>
        <v>生物学的標本中のデオキシピリジノリンの測定。</v>
      </c>
      <c r="I1577" s="3" t="str">
        <f ca="1">IFERROR(__xludf.DUMMYFUNCTION("googletranslate(F1577,""en"",""ja"")"),"デオキシピリジノリンの測定")</f>
        <v>デオキシピリジノリンの測定</v>
      </c>
    </row>
    <row r="1578" spans="1:9" ht="45">
      <c r="A1578" s="3" t="s">
        <v>6</v>
      </c>
      <c r="B1578" s="3" t="s">
        <v>6667</v>
      </c>
      <c r="C1578" s="3" t="s">
        <v>6668</v>
      </c>
      <c r="D1578" s="3" t="s">
        <v>6668</v>
      </c>
      <c r="E1578" s="3" t="s">
        <v>6669</v>
      </c>
      <c r="F1578" s="3" t="s">
        <v>6670</v>
      </c>
      <c r="G1578" s="3" t="str">
        <f ca="1">IFERROR(__xludf.DUMMYFUNCTION("googletranslate(D1578,""en"",""ja"")"),"デオキシピリジノリン/クレアチニン")</f>
        <v>デオキシピリジノリン/クレアチニン</v>
      </c>
      <c r="H1578" s="3" t="str">
        <f ca="1">IFERROR(__xludf.DUMMYFUNCTION("googletranslate(E1578,""en"",""ja"")"),"生物学的標本中のクレアチニンに対するデオキシピリジノリンの相対測定値 (比率またはパーセンテージ)。")</f>
        <v>生物学的標本中のクレアチニンに対するデオキシピリジノリンの相対測定値 (比率またはパーセンテージ)。</v>
      </c>
      <c r="I1578" s="3" t="str">
        <f ca="1">IFERROR(__xludf.DUMMYFUNCTION("googletranslate(F1578,""en"",""ja"")"),"デオキシピリジノリンとクレアチニンの比率の測定")</f>
        <v>デオキシピリジノリンとクレアチニンの比率の測定</v>
      </c>
    </row>
    <row r="1579" spans="1:9" ht="30">
      <c r="A1579" s="3" t="s">
        <v>51</v>
      </c>
      <c r="B1579" s="3" t="s">
        <v>6671</v>
      </c>
      <c r="C1579" s="3" t="s">
        <v>6672</v>
      </c>
      <c r="D1579" s="3" t="s">
        <v>6672</v>
      </c>
      <c r="E1579" s="3" t="s">
        <v>6673</v>
      </c>
      <c r="F1579" s="3" t="s">
        <v>6672</v>
      </c>
      <c r="G1579" s="3" t="str">
        <f ca="1">IFERROR(__xludf.DUMMYFUNCTION("googletranslate(D1579,""en"",""ja"")"),"フィラメントあたりのデニール数")</f>
        <v>フィラメントあたりのデニール数</v>
      </c>
      <c r="H1579" s="3" t="str">
        <f ca="1">IFERROR(__xludf.DUMMYFUNCTION("googletranslate(E1579,""en"",""ja"")"),"個々のフィラメントあたりの繊維の線質量密度。")</f>
        <v>個々のフィラメントあたりの繊維の線質量密度。</v>
      </c>
      <c r="I1579" s="3" t="str">
        <f ca="1">IFERROR(__xludf.DUMMYFUNCTION("googletranslate(F1579,""en"",""ja"")"),"フィラメントあたりのデニール数")</f>
        <v>フィラメントあたりのデニール数</v>
      </c>
    </row>
    <row r="1580" spans="1:9" ht="30">
      <c r="A1580" s="3" t="s">
        <v>6</v>
      </c>
      <c r="B1580" s="3" t="s">
        <v>6674</v>
      </c>
      <c r="C1580" s="3" t="s">
        <v>6675</v>
      </c>
      <c r="D1580" s="3" t="s">
        <v>6675</v>
      </c>
      <c r="E1580" s="3" t="s">
        <v>6676</v>
      </c>
      <c r="F1580" s="3" t="s">
        <v>6677</v>
      </c>
      <c r="G1580" s="3" t="str">
        <f ca="1">IFERROR(__xludf.DUMMYFUNCTION("googletranslate(D1580,""en"",""ja"")"),"ジフェノキシレート")</f>
        <v>ジフェノキシレート</v>
      </c>
      <c r="H1580" s="3" t="str">
        <f ca="1">IFERROR(__xludf.DUMMYFUNCTION("googletranslate(E1580,""en"",""ja"")"),"生物学的標本中のジフェノキシレートの測定。")</f>
        <v>生物学的標本中のジフェノキシレートの測定。</v>
      </c>
      <c r="I1580" s="3" t="str">
        <f ca="1">IFERROR(__xludf.DUMMYFUNCTION("googletranslate(F1580,""en"",""ja"")"),"ジフェノキシレートの測定")</f>
        <v>ジフェノキシレートの測定</v>
      </c>
    </row>
    <row r="1581" spans="1:9">
      <c r="A1581" s="3" t="s">
        <v>6</v>
      </c>
      <c r="B1581" s="3" t="s">
        <v>6678</v>
      </c>
      <c r="C1581" s="3" t="s">
        <v>6679</v>
      </c>
      <c r="D1581" s="3" t="s">
        <v>6679</v>
      </c>
      <c r="E1581" s="3" t="s">
        <v>6680</v>
      </c>
      <c r="F1581" s="3" t="s">
        <v>6681</v>
      </c>
      <c r="G1581" s="3" t="str">
        <f ca="1">IFERROR(__xludf.DUMMYFUNCTION("googletranslate(D1581,""en"",""ja"")"),"ジピパノン")</f>
        <v>ジピパノン</v>
      </c>
      <c r="H1581" s="3" t="str">
        <f ca="1">IFERROR(__xludf.DUMMYFUNCTION("googletranslate(E1581,""en"",""ja"")"),"生物学的標本中のジピパノンの測定。")</f>
        <v>生物学的標本中のジピパノンの測定。</v>
      </c>
      <c r="I1581" s="3" t="str">
        <f ca="1">IFERROR(__xludf.DUMMYFUNCTION("googletranslate(F1581,""en"",""ja"")"),"ジピパノンの測定")</f>
        <v>ジピパノンの測定</v>
      </c>
    </row>
    <row r="1582" spans="1:9" ht="30">
      <c r="A1582" s="3" t="s">
        <v>185</v>
      </c>
      <c r="B1582" s="3" t="s">
        <v>6682</v>
      </c>
      <c r="C1582" s="3" t="s">
        <v>6683</v>
      </c>
      <c r="D1582" s="3" t="s">
        <v>6683</v>
      </c>
      <c r="E1582" s="3" t="s">
        <v>6684</v>
      </c>
      <c r="F1582" s="3" t="s">
        <v>6685</v>
      </c>
      <c r="G1582" s="3" t="str">
        <f ca="1">IFERROR(__xludf.DUMMYFUNCTION("googletranslate(D1582,""en"",""ja"")"),"ダイエット用ジャガイモ")</f>
        <v>ダイエット用ジャガイモ</v>
      </c>
      <c r="H1582" s="3" t="str">
        <f ca="1">IFERROR(__xludf.DUMMYFUNCTION("googletranslate(E1582,""en"",""ja"")"),"栄養製品または食事、またはその一部に含まれるジャガイモの測定。")</f>
        <v>栄養製品または食事、またはその一部に含まれるジャガイモの測定。</v>
      </c>
      <c r="I1582" s="3" t="str">
        <f ca="1">IFERROR(__xludf.DUMMYFUNCTION("googletranslate(F1582,""en"",""ja"")"),"ジャガイモの栄養測定")</f>
        <v>ジャガイモの栄養測定</v>
      </c>
    </row>
    <row r="1583" spans="1:9" ht="30">
      <c r="A1583" s="3" t="s">
        <v>185</v>
      </c>
      <c r="B1583" s="3" t="s">
        <v>6686</v>
      </c>
      <c r="C1583" s="3" t="s">
        <v>6687</v>
      </c>
      <c r="D1583" s="3" t="s">
        <v>6687</v>
      </c>
      <c r="E1583" s="3" t="s">
        <v>6688</v>
      </c>
      <c r="F1583" s="3" t="s">
        <v>6689</v>
      </c>
      <c r="G1583" s="3" t="str">
        <f ca="1">IFERROR(__xludf.DUMMYFUNCTION("googletranslate(D1583,""en"",""ja"")"),"食用鶏肉")</f>
        <v>食用鶏肉</v>
      </c>
      <c r="H1583" s="3" t="str">
        <f ca="1">IFERROR(__xludf.DUMMYFUNCTION("googletranslate(E1583,""en"",""ja"")"),"栄養製品または食事、またはその一部に含まれる家禽の測定。")</f>
        <v>栄養製品または食事、またはその一部に含まれる家禽の測定。</v>
      </c>
      <c r="I1583" s="3" t="str">
        <f ca="1">IFERROR(__xludf.DUMMYFUNCTION("googletranslate(F1583,""en"",""ja"")"),"家禽の食事測定")</f>
        <v>家禽の食事測定</v>
      </c>
    </row>
    <row r="1584" spans="1:9" ht="30">
      <c r="A1584" s="3" t="s">
        <v>6</v>
      </c>
      <c r="B1584" s="3" t="s">
        <v>6690</v>
      </c>
      <c r="C1584" s="3" t="s">
        <v>6691</v>
      </c>
      <c r="D1584" s="3" t="s">
        <v>6691</v>
      </c>
      <c r="E1584" s="3" t="s">
        <v>6692</v>
      </c>
      <c r="F1584" s="3" t="s">
        <v>6693</v>
      </c>
      <c r="G1584" s="3" t="str">
        <f ca="1">IFERROR(__xludf.DUMMYFUNCTION("googletranslate(D1584,""en"",""ja"")"),"ジペプチジルペプチダーゼ-4")</f>
        <v>ジペプチジルペプチダーゼ-4</v>
      </c>
      <c r="H1584" s="3" t="str">
        <f ca="1">IFERROR(__xludf.DUMMYFUNCTION("googletranslate(E1584,""en"",""ja"")"),"生物学的標本中のジペプチジルペプチダーゼ-4の測定。")</f>
        <v>生物学的標本中のジペプチジルペプチダーゼ-4の測定。</v>
      </c>
      <c r="I1584" s="3" t="str">
        <f ca="1">IFERROR(__xludf.DUMMYFUNCTION("googletranslate(F1584,""en"",""ja"")"),"ジペプチジルペプチダーゼ-4の測定")</f>
        <v>ジペプチジルペプチダーゼ-4の測定</v>
      </c>
    </row>
    <row r="1585" spans="1:9" ht="30">
      <c r="A1585" s="3" t="s">
        <v>185</v>
      </c>
      <c r="B1585" s="3" t="s">
        <v>6694</v>
      </c>
      <c r="C1585" s="3" t="s">
        <v>6695</v>
      </c>
      <c r="D1585" s="3" t="s">
        <v>6695</v>
      </c>
      <c r="E1585" s="3" t="s">
        <v>6696</v>
      </c>
      <c r="F1585" s="3" t="s">
        <v>6697</v>
      </c>
      <c r="G1585" s="3" t="str">
        <f ca="1">IFERROR(__xludf.DUMMYFUNCTION("googletranslate(D1585,""en"",""ja"")"),"食事性タンパク質")</f>
        <v>食事性タンパク質</v>
      </c>
      <c r="H1585" s="3" t="str">
        <f ca="1">IFERROR(__xludf.DUMMYFUNCTION("googletranslate(E1585,""en"",""ja"")"),"栄養製品または食事、またはその一部に含まれる総タンパク質の測定。")</f>
        <v>栄養製品または食事、またはその一部に含まれる総タンパク質の測定。</v>
      </c>
      <c r="I1585" s="3" t="str">
        <f ca="1">IFERROR(__xludf.DUMMYFUNCTION("googletranslate(F1585,""en"",""ja"")"),"食事中のタンパク質の測定")</f>
        <v>食事中のタンパク質の測定</v>
      </c>
    </row>
    <row r="1586" spans="1:9" ht="30">
      <c r="A1586" s="3" t="s">
        <v>185</v>
      </c>
      <c r="B1586" s="3" t="s">
        <v>6698</v>
      </c>
      <c r="C1586" s="3" t="s">
        <v>6699</v>
      </c>
      <c r="D1586" s="3" t="s">
        <v>6699</v>
      </c>
      <c r="E1586" s="3" t="s">
        <v>6700</v>
      </c>
      <c r="F1586" s="3" t="s">
        <v>6701</v>
      </c>
      <c r="G1586" s="3" t="str">
        <f ca="1">IFERROR(__xludf.DUMMYFUNCTION("googletranslate(D1586,""en"",""ja"")"),"たんぱく質栄養食品")</f>
        <v>たんぱく質栄養食品</v>
      </c>
      <c r="H1586" s="3" t="str">
        <f ca="1">IFERROR(__xludf.DUMMYFUNCTION("googletranslate(E1586,""en"",""ja"")"),"栄養製品または食事、またはその一部に含まれるタンパク質が豊富な食品の決定。")</f>
        <v>栄養製品または食事、またはその一部に含まれるタンパク質が豊富な食品の決定。</v>
      </c>
      <c r="I1586" s="3" t="str">
        <f ca="1">IFERROR(__xludf.DUMMYFUNCTION("googletranslate(F1586,""en"",""ja"")"),"食事性たんぱく質食品の測定")</f>
        <v>食事性たんぱく質食品の測定</v>
      </c>
    </row>
    <row r="1587" spans="1:9" ht="30">
      <c r="A1587" s="3" t="s">
        <v>5519</v>
      </c>
      <c r="B1587" s="3" t="s">
        <v>6702</v>
      </c>
      <c r="C1587" s="3" t="s">
        <v>6703</v>
      </c>
      <c r="D1587" s="3" t="s">
        <v>6703</v>
      </c>
      <c r="E1587" s="3" t="s">
        <v>6704</v>
      </c>
      <c r="F1587" s="3" t="s">
        <v>6703</v>
      </c>
      <c r="G1587" s="3" t="str">
        <f ca="1">IFERROR(__xludf.DUMMYFUNCTION("googletranslate(D1587,""en"",""ja"")"),"病気の再発の相対的な位置")</f>
        <v>病気の再発の相対的な位置</v>
      </c>
      <c r="H1587" s="3" t="str">
        <f ca="1">IFERROR(__xludf.DUMMYFUNCTION("googletranslate(E1587,""en"",""ja"")"),"病気が再発した領域または相対的な位置の説明。")</f>
        <v>病気が再発した領域または相対的な位置の説明。</v>
      </c>
      <c r="I1587" s="3" t="str">
        <f ca="1">IFERROR(__xludf.DUMMYFUNCTION("googletranslate(F1587,""en"",""ja"")"),"病気の再発の相対的な位置")</f>
        <v>病気の再発の相対的な位置</v>
      </c>
    </row>
    <row r="1588" spans="1:9" ht="30">
      <c r="A1588" s="3" t="s">
        <v>185</v>
      </c>
      <c r="B1588" s="3" t="s">
        <v>6705</v>
      </c>
      <c r="C1588" s="3" t="s">
        <v>6706</v>
      </c>
      <c r="D1588" s="3" t="s">
        <v>6707</v>
      </c>
      <c r="E1588" s="3" t="s">
        <v>6708</v>
      </c>
      <c r="F1588" s="3" t="s">
        <v>6709</v>
      </c>
      <c r="G1588" s="3" t="str">
        <f ca="1">IFERROR(__xludf.DUMMYFUNCTION("googletranslate(D1588,""en"",""ja"")"),"食事性レチノール;食事性ビタミンA")</f>
        <v>食事性レチノール;食事性ビタミンA</v>
      </c>
      <c r="H1588" s="3" t="str">
        <f ca="1">IFERROR(__xludf.DUMMYFUNCTION("googletranslate(E1588,""en"",""ja"")"),"栄養製品または食事、またはその一部に含まれるレチノールの測定。")</f>
        <v>栄養製品または食事、またはその一部に含まれるレチノールの測定。</v>
      </c>
      <c r="I1588" s="3" t="str">
        <f ca="1">IFERROR(__xludf.DUMMYFUNCTION("googletranslate(F1588,""en"",""ja"")"),"食事によるレチノールの測定")</f>
        <v>食事によるレチノールの測定</v>
      </c>
    </row>
    <row r="1589" spans="1:9" ht="30">
      <c r="A1589" s="3" t="s">
        <v>185</v>
      </c>
      <c r="B1589" s="3" t="s">
        <v>6710</v>
      </c>
      <c r="C1589" s="3" t="s">
        <v>6711</v>
      </c>
      <c r="D1589" s="3" t="s">
        <v>6712</v>
      </c>
      <c r="E1589" s="3" t="s">
        <v>6713</v>
      </c>
      <c r="F1589" s="3" t="s">
        <v>6714</v>
      </c>
      <c r="G1589" s="3" t="str">
        <f ca="1">IFERROR(__xludf.DUMMYFUNCTION("googletranslate(D1589,""en"",""ja"")"),"食事性リボフラビン;食事性ビタミンB2")</f>
        <v>食事性リボフラビン;食事性ビタミンB2</v>
      </c>
      <c r="H1589" s="3" t="str">
        <f ca="1">IFERROR(__xludf.DUMMYFUNCTION("googletranslate(E1589,""en"",""ja"")"),"栄養製品または食事、あるいはその一部に含まれるリボフラビンの測定。")</f>
        <v>栄養製品または食事、あるいはその一部に含まれるリボフラビンの測定。</v>
      </c>
      <c r="I1589" s="3" t="str">
        <f ca="1">IFERROR(__xludf.DUMMYFUNCTION("googletranslate(F1589,""en"",""ja"")"),"食事によるリボフラビンの測定")</f>
        <v>食事によるリボフラビンの測定</v>
      </c>
    </row>
    <row r="1590" spans="1:9" ht="30">
      <c r="A1590" s="3" t="s">
        <v>185</v>
      </c>
      <c r="B1590" s="3" t="s">
        <v>6715</v>
      </c>
      <c r="C1590" s="3" t="s">
        <v>6716</v>
      </c>
      <c r="D1590" s="3" t="s">
        <v>6716</v>
      </c>
      <c r="E1590" s="3" t="s">
        <v>6717</v>
      </c>
      <c r="F1590" s="3" t="s">
        <v>6716</v>
      </c>
      <c r="G1590" s="3" t="str">
        <f ca="1">IFERROR(__xludf.DUMMYFUNCTION("googletranslate(D1590,""en"",""ja"")"),"薬剤耐性ステータス")</f>
        <v>薬剤耐性ステータス</v>
      </c>
      <c r="H1590" s="3" t="str">
        <f ca="1">IFERROR(__xludf.DUMMYFUNCTION("googletranslate(E1590,""en"",""ja"")"),"薬理学的作用物質に反応しない状態または状態。")</f>
        <v>薬理学的作用物質に反応しない状態または状態。</v>
      </c>
      <c r="I1590" s="3" t="str">
        <f ca="1">IFERROR(__xludf.DUMMYFUNCTION("googletranslate(F1590,""en"",""ja"")"),"薬剤耐性ステータス")</f>
        <v>薬剤耐性ステータス</v>
      </c>
    </row>
    <row r="1591" spans="1:9" ht="45">
      <c r="A1591" s="3" t="s">
        <v>6</v>
      </c>
      <c r="B1591" s="3" t="s">
        <v>6718</v>
      </c>
      <c r="C1591" s="3" t="s">
        <v>6719</v>
      </c>
      <c r="D1591" s="3" t="s">
        <v>6720</v>
      </c>
      <c r="E1591" s="3" t="s">
        <v>6721</v>
      </c>
      <c r="F1591" s="3" t="s">
        <v>6722</v>
      </c>
      <c r="G1591" s="3" t="str">
        <f ca="1">IFERROR(__xludf.DUMMYFUNCTION("googletranslate(D1591,""en"",""ja"")"),"ドロモスタノロン;ドロスタノロン;メドロステロン;メドロテストロン;メトロン")</f>
        <v>ドロモスタノロン;ドロスタノロン;メドロステロン;メドロテストロン;メトロン</v>
      </c>
      <c r="H1591" s="3" t="str">
        <f ca="1">IFERROR(__xludf.DUMMYFUNCTION("googletranslate(E1591,""en"",""ja"")"),"生物学的標本中のドロスタノロンの測定。")</f>
        <v>生物学的標本中のドロスタノロンの測定。</v>
      </c>
      <c r="I1591" s="3" t="str">
        <f ca="1">IFERROR(__xludf.DUMMYFUNCTION("googletranslate(F1591,""en"",""ja"")"),"ドロスタノロンの測定")</f>
        <v>ドロスタノロンの測定</v>
      </c>
    </row>
    <row r="1592" spans="1:9" ht="30">
      <c r="A1592" s="3" t="s">
        <v>6</v>
      </c>
      <c r="B1592" s="3" t="s">
        <v>6723</v>
      </c>
      <c r="C1592" s="3" t="s">
        <v>6724</v>
      </c>
      <c r="D1592" s="3" t="s">
        <v>6724</v>
      </c>
      <c r="E1592" s="3" t="s">
        <v>6725</v>
      </c>
      <c r="F1592" s="3" t="s">
        <v>6726</v>
      </c>
      <c r="G1592" s="3" t="str">
        <f ca="1">IFERROR(__xludf.DUMMYFUNCTION("googletranslate(D1592,""en"",""ja"")"),"薬物スクリーニング")</f>
        <v>薬物スクリーニング</v>
      </c>
      <c r="H1592" s="3" t="str">
        <f ca="1">IFERROR(__xludf.DUMMYFUNCTION("googletranslate(E1592,""en"",""ja"")"),"生物学的標本中に娯楽用薬物または乱用薬物が存在するかどうかを示す指標。")</f>
        <v>生物学的標本中に娯楽用薬物または乱用薬物が存在するかどうかを示す指標。</v>
      </c>
      <c r="I1592" s="3" t="str">
        <f ca="1">IFERROR(__xludf.DUMMYFUNCTION("googletranslate(F1592,""en"",""ja"")"),"薬物検査")</f>
        <v>薬物検査</v>
      </c>
    </row>
    <row r="1593" spans="1:9" ht="45">
      <c r="A1593" s="3" t="s">
        <v>6</v>
      </c>
      <c r="B1593" s="3" t="s">
        <v>6727</v>
      </c>
      <c r="C1593" s="3" t="s">
        <v>6728</v>
      </c>
      <c r="D1593" s="3" t="s">
        <v>6729</v>
      </c>
      <c r="E1593" s="3" t="s">
        <v>6730</v>
      </c>
      <c r="F1593" s="3" t="s">
        <v>6731</v>
      </c>
      <c r="G1593" s="3" t="str">
        <f ca="1">IFERROR(__xludf.DUMMYFUNCTION("googletranslate(D1593,""en"",""ja"")"),"dRVVT 画面でパーセントの差を確認します。パーセント差を確認するための dRVVT 画面")</f>
        <v>dRVVT 画面でパーセントの差を確認します。パーセント差を確認するための dRVVT 画面</v>
      </c>
      <c r="H1593" s="3" t="str">
        <f ca="1">IFERROR(__xludf.DUMMYFUNCTION("googletranslate(E1593,""en"",""ja"")"),"ループス抗凝固物質の存在を確認するための測定値。[(画面 dRVVT - dRVVT の確認)/画面 dRVVT]x100 として計算されます。")</f>
        <v>ループス抗凝固物質の存在を確認するための測定値。[(画面 dRVVT - dRVVT の確認)/画面 dRVVT]x100 として計算されます。</v>
      </c>
      <c r="I1593" s="3" t="str">
        <f ca="1">IFERROR(__xludf.DUMMYFUNCTION("googletranslate(F1593,""en"",""ja"")"),"パーセント差を確認するための dRVVT 画面")</f>
        <v>パーセント差を確認するための dRVVT 画面</v>
      </c>
    </row>
    <row r="1594" spans="1:9" ht="45">
      <c r="A1594" s="3" t="s">
        <v>6</v>
      </c>
      <c r="B1594" s="3" t="s">
        <v>6732</v>
      </c>
      <c r="C1594" s="3" t="s">
        <v>6733</v>
      </c>
      <c r="D1594" s="3" t="s">
        <v>6734</v>
      </c>
      <c r="E1594" s="3" t="s">
        <v>6735</v>
      </c>
      <c r="F1594" s="3" t="s">
        <v>6736</v>
      </c>
      <c r="G1594" s="3" t="str">
        <f ca="1">IFERROR(__xludf.DUMMYFUNCTION("googletranslate(D1594,""en"",""ja"")"),"ラッセルのバイパー毒時間を薄めます。ループス抗凝固検査")</f>
        <v>ラッセルのバイパー毒時間を薄めます。ループス抗凝固検査</v>
      </c>
      <c r="H1594" s="3" t="str">
        <f ca="1">IFERROR(__xludf.DUMMYFUNCTION("googletranslate(E1594,""en"",""ja"")"),"希釈したラッセルクサリヘビ毒を添加した後、血漿サンプルが凝固するまでにかかる時間を測定します。")</f>
        <v>希釈したラッセルクサリヘビ毒を添加した後、血漿サンプルが凝固するまでにかかる時間を測定します。</v>
      </c>
      <c r="I1594" s="3" t="str">
        <f ca="1">IFERROR(__xludf.DUMMYFUNCTION("googletranslate(F1594,""en"",""ja"")"),"ラッセルクサリヘビ毒の希釈時間測定")</f>
        <v>ラッセルクサリヘビ毒の希釈時間測定</v>
      </c>
    </row>
    <row r="1595" spans="1:9" ht="45">
      <c r="A1595" s="3" t="s">
        <v>6</v>
      </c>
      <c r="B1595" s="3" t="s">
        <v>6737</v>
      </c>
      <c r="C1595" s="3" t="s">
        <v>6738</v>
      </c>
      <c r="D1595" s="3" t="s">
        <v>6739</v>
      </c>
      <c r="E1595" s="3" t="s">
        <v>6740</v>
      </c>
      <c r="F1595" s="3" t="s">
        <v>6741</v>
      </c>
      <c r="G1595" s="3" t="str">
        <f ca="1">IFERROR(__xludf.DUMMYFUNCTION("googletranslate(D1595,""en"",""ja"")"),"ラッセルのバイパー毒の時間比を薄めます。ループス抗凝固剤比率")</f>
        <v>ラッセルのバイパー毒の時間比を薄めます。ループス抗凝固剤比率</v>
      </c>
      <c r="H1595" s="3" t="str">
        <f ca="1">IFERROR(__xludf.DUMMYFUNCTION("googletranslate(E1595,""en"",""ja"")"),"対照サンプルに対する対象サンプル中の希釈ラッセルクサリヘビ毒時間の相対測定。")</f>
        <v>対照サンプルに対する対象サンプル中の希釈ラッセルクサリヘビ毒時間の相対測定。</v>
      </c>
      <c r="I1595" s="3" t="str">
        <f ca="1">IFERROR(__xludf.DUMMYFUNCTION("googletranslate(F1595,""en"",""ja"")"),"ラッセルクサリヘビ毒の希釈時間制御比の測定")</f>
        <v>ラッセルクサリヘビ毒の希釈時間制御比の測定</v>
      </c>
    </row>
    <row r="1596" spans="1:9" ht="45">
      <c r="A1596" s="3" t="s">
        <v>6</v>
      </c>
      <c r="B1596" s="3" t="s">
        <v>6742</v>
      </c>
      <c r="C1596" s="3" t="s">
        <v>6743</v>
      </c>
      <c r="D1596" s="3" t="s">
        <v>6743</v>
      </c>
      <c r="E1596" s="3" t="s">
        <v>6744</v>
      </c>
      <c r="F1596" s="3" t="s">
        <v>6745</v>
      </c>
      <c r="G1596" s="3" t="str">
        <f ca="1">IFERROR(__xludf.DUMMYFUNCTION("googletranslate(D1596,""en"",""ja"")"),"DRVVT 比率確認画面")</f>
        <v>DRVVT 比率確認画面</v>
      </c>
      <c r="H1596" s="3" t="str">
        <f ca="1">IFERROR(__xludf.DUMMYFUNCTION("googletranslate(E1596,""en"",""ja"")"),"過剰なリン脂質の存在下での dRVVT に対する、過剰なリン脂質の存在しない場合の希薄ラッセルクサリヘビ毒時間の相対測定値 (比)。")</f>
        <v>過剰なリン脂質の存在下での dRVVT に対する、過剰なリン脂質の存在しない場合の希薄ラッセルクサリヘビ毒時間の相対測定値 (比)。</v>
      </c>
      <c r="I1596" s="3" t="str">
        <f ca="1">IFERROR(__xludf.DUMMYFUNCTION("googletranslate(F1596,""en"",""ja"")"),"ラッセルクサリヘビ毒を希釈して比率測定を確認する時間")</f>
        <v>ラッセルクサリヘビ毒を希釈して比率測定を確認する時間</v>
      </c>
    </row>
    <row r="1597" spans="1:9" ht="30">
      <c r="A1597" s="3" t="s">
        <v>51</v>
      </c>
      <c r="B1597" s="3" t="s">
        <v>6746</v>
      </c>
      <c r="C1597" s="3" t="s">
        <v>6747</v>
      </c>
      <c r="D1597" s="3" t="s">
        <v>6747</v>
      </c>
      <c r="E1597" s="3" t="s">
        <v>6748</v>
      </c>
      <c r="F1597" s="3" t="s">
        <v>6747</v>
      </c>
      <c r="G1597" s="3" t="str">
        <f ca="1">IFERROR(__xludf.DUMMYFUNCTION("googletranslate(D1597,""en"",""ja"")"),"ドロー耐性")</f>
        <v>ドロー耐性</v>
      </c>
      <c r="H1597" s="3" t="str">
        <f ca="1">IFERROR(__xludf.DUMMYFUNCTION("googletranslate(E1597,""en"",""ja"")"),"空気の流れに対するタバコロッドとフィルターの抵抗。")</f>
        <v>空気の流れに対するタバコロッドとフィルターの抵抗。</v>
      </c>
      <c r="I1597" s="3" t="str">
        <f ca="1">IFERROR(__xludf.DUMMYFUNCTION("googletranslate(F1597,""en"",""ja"")"),"ドロー耐性")</f>
        <v>ドロー耐性</v>
      </c>
    </row>
    <row r="1598" spans="1:9">
      <c r="A1598" s="3" t="s">
        <v>142</v>
      </c>
      <c r="B1598" s="3" t="s">
        <v>6749</v>
      </c>
      <c r="C1598" s="3" t="s">
        <v>6750</v>
      </c>
      <c r="D1598" s="3" t="s">
        <v>6750</v>
      </c>
      <c r="E1598" s="3" t="s">
        <v>6751</v>
      </c>
      <c r="F1598" s="3" t="s">
        <v>6750</v>
      </c>
      <c r="G1598" s="3" t="str">
        <f ca="1">IFERROR(__xludf.DUMMYFUNCTION("googletranslate(D1598,""en"",""ja"")"),"放電インジケーター")</f>
        <v>放電インジケーター</v>
      </c>
      <c r="H1598" s="3" t="str">
        <f ca="1">IFERROR(__xludf.DUMMYFUNCTION("googletranslate(E1598,""en"",""ja"")"),"分泌物の有無を示す指標。")</f>
        <v>分泌物の有無を示す指標。</v>
      </c>
      <c r="I1598" s="3" t="str">
        <f ca="1">IFERROR(__xludf.DUMMYFUNCTION("googletranslate(F1598,""en"",""ja"")"),"放電インジケーター")</f>
        <v>放電インジケーター</v>
      </c>
    </row>
    <row r="1599" spans="1:9" ht="30">
      <c r="A1599" s="3" t="s">
        <v>185</v>
      </c>
      <c r="B1599" s="3" t="s">
        <v>6752</v>
      </c>
      <c r="C1599" s="3" t="s">
        <v>6753</v>
      </c>
      <c r="D1599" s="3" t="s">
        <v>6753</v>
      </c>
      <c r="E1599" s="3" t="s">
        <v>6754</v>
      </c>
      <c r="F1599" s="3" t="s">
        <v>6755</v>
      </c>
      <c r="G1599" s="3" t="str">
        <f ca="1">IFERROR(__xludf.DUMMYFUNCTION("googletranslate(D1599,""en"",""ja"")"),"食事性セレン")</f>
        <v>食事性セレン</v>
      </c>
      <c r="H1599" s="3" t="str">
        <f ca="1">IFERROR(__xludf.DUMMYFUNCTION("googletranslate(E1599,""en"",""ja"")"),"栄養製品または食事、またはその一部に含まれる総セレンの測定。")</f>
        <v>栄養製品または食事、またはその一部に含まれる総セレンの測定。</v>
      </c>
      <c r="I1599" s="3" t="str">
        <f ca="1">IFERROR(__xludf.DUMMYFUNCTION("googletranslate(F1599,""en"",""ja"")"),"食事によるセレンの測定")</f>
        <v>食事によるセレンの測定</v>
      </c>
    </row>
    <row r="1600" spans="1:9" ht="30">
      <c r="A1600" s="3" t="s">
        <v>185</v>
      </c>
      <c r="B1600" s="3" t="s">
        <v>6756</v>
      </c>
      <c r="C1600" s="3" t="s">
        <v>6757</v>
      </c>
      <c r="D1600" s="3" t="s">
        <v>6757</v>
      </c>
      <c r="E1600" s="3" t="s">
        <v>6758</v>
      </c>
      <c r="F1600" s="3" t="s">
        <v>6759</v>
      </c>
      <c r="G1600" s="3" t="str">
        <f ca="1">IFERROR(__xludf.DUMMYFUNCTION("googletranslate(D1600,""en"",""ja"")"),"n-3脂肪酸が豊富な魚介類の食事")</f>
        <v>n-3脂肪酸が豊富な魚介類の食事</v>
      </c>
      <c r="H1600" s="3" t="str">
        <f ca="1">IFERROR(__xludf.DUMMYFUNCTION("googletranslate(E1600,""en"",""ja"")"),"栄養製品または食事、あるいはその一部に含まれる n-3 脂肪酸を多く含む魚介類の測定。")</f>
        <v>栄養製品または食事、あるいはその一部に含まれる n-3 脂肪酸を多く含む魚介類の測定。</v>
      </c>
      <c r="I1600" s="3" t="str">
        <f ca="1">IFERROR(__xludf.DUMMYFUNCTION("googletranslate(F1600,""en"",""ja"")"),"n-3 脂肪酸を多く含む魚介類の食事の測定")</f>
        <v>n-3 脂肪酸を多く含む魚介類の食事の測定</v>
      </c>
    </row>
    <row r="1601" spans="1:9" ht="30">
      <c r="A1601" s="3" t="s">
        <v>185</v>
      </c>
      <c r="B1601" s="3" t="s">
        <v>6760</v>
      </c>
      <c r="C1601" s="3" t="s">
        <v>6761</v>
      </c>
      <c r="D1601" s="3" t="s">
        <v>6761</v>
      </c>
      <c r="E1601" s="3" t="s">
        <v>6762</v>
      </c>
      <c r="F1601" s="3" t="s">
        <v>6763</v>
      </c>
      <c r="G1601" s="3" t="str">
        <f ca="1">IFERROR(__xludf.DUMMYFUNCTION("googletranslate(D1601,""en"",""ja"")"),"n-3 脂肪酸が少ない魚介類の食事療法")</f>
        <v>n-3 脂肪酸が少ない魚介類の食事療法</v>
      </c>
      <c r="H1601" s="3" t="str">
        <f ca="1">IFERROR(__xludf.DUMMYFUNCTION("googletranslate(E1601,""en"",""ja"")"),"栄養製品または食事、またはその一部に含まれる n-3 脂肪酸の少ない魚介類の測定。")</f>
        <v>栄養製品または食事、またはその一部に含まれる n-3 脂肪酸の少ない魚介類の測定。</v>
      </c>
      <c r="I1601" s="3" t="str">
        <f ca="1">IFERROR(__xludf.DUMMYFUNCTION("googletranslate(F1601,""en"",""ja"")"),"n-3 脂肪酸の少ない魚介類の食事療法の測定")</f>
        <v>n-3 脂肪酸の少ない魚介類の食事療法の測定</v>
      </c>
    </row>
    <row r="1602" spans="1:9" ht="30">
      <c r="A1602" s="3" t="s">
        <v>185</v>
      </c>
      <c r="B1602" s="3" t="s">
        <v>6764</v>
      </c>
      <c r="C1602" s="3" t="s">
        <v>6765</v>
      </c>
      <c r="D1602" s="3" t="s">
        <v>6765</v>
      </c>
      <c r="E1602" s="3" t="s">
        <v>6766</v>
      </c>
      <c r="F1602" s="3" t="s">
        <v>6767</v>
      </c>
      <c r="G1602" s="3" t="str">
        <f ca="1">IFERROR(__xludf.DUMMYFUNCTION("googletranslate(D1602,""en"",""ja"")"),"食事性固形脂肪")</f>
        <v>食事性固形脂肪</v>
      </c>
      <c r="H1602" s="3" t="str">
        <f ca="1">IFERROR(__xludf.DUMMYFUNCTION("googletranslate(E1602,""en"",""ja"")"),"栄養製品または食事、またはその一部に含まれる固形脂肪の測定。")</f>
        <v>栄養製品または食事、またはその一部に含まれる固形脂肪の測定。</v>
      </c>
      <c r="I1602" s="3" t="str">
        <f ca="1">IFERROR(__xludf.DUMMYFUNCTION("googletranslate(F1602,""en"",""ja"")"),"食事中の固形脂肪の測定")</f>
        <v>食事中の固形脂肪の測定</v>
      </c>
    </row>
    <row r="1603" spans="1:9" ht="30">
      <c r="A1603" s="3" t="s">
        <v>185</v>
      </c>
      <c r="B1603" s="3" t="s">
        <v>6768</v>
      </c>
      <c r="C1603" s="3" t="s">
        <v>6769</v>
      </c>
      <c r="D1603" s="3" t="s">
        <v>6769</v>
      </c>
      <c r="E1603" s="3" t="s">
        <v>6770</v>
      </c>
      <c r="F1603" s="3" t="s">
        <v>6771</v>
      </c>
      <c r="G1603" s="3" t="str">
        <f ca="1">IFERROR(__xludf.DUMMYFUNCTION("googletranslate(D1603,""en"",""ja"")"),"大豆食品")</f>
        <v>大豆食品</v>
      </c>
      <c r="H1603" s="3" t="str">
        <f ca="1">IFERROR(__xludf.DUMMYFUNCTION("googletranslate(E1603,""en"",""ja"")"),"栄養製品または食事、あるいはその一部に含まれる大豆含有製品の測定。")</f>
        <v>栄養製品または食事、あるいはその一部に含まれる大豆含有製品の測定。</v>
      </c>
      <c r="I1603" s="3" t="str">
        <f ca="1">IFERROR(__xludf.DUMMYFUNCTION("googletranslate(F1603,""en"",""ja"")"),"大豆製品の測定")</f>
        <v>大豆製品の測定</v>
      </c>
    </row>
    <row r="1604" spans="1:9" ht="30">
      <c r="A1604" s="3" t="s">
        <v>33</v>
      </c>
      <c r="B1604" s="3" t="s">
        <v>6772</v>
      </c>
      <c r="C1604" s="3" t="s">
        <v>6773</v>
      </c>
      <c r="D1604" s="3" t="s">
        <v>6773</v>
      </c>
      <c r="E1604" s="3" t="s">
        <v>6774</v>
      </c>
      <c r="F1604" s="3" t="s">
        <v>6775</v>
      </c>
      <c r="G1604" s="3" t="str">
        <f ca="1">IFERROR(__xludf.DUMMYFUNCTION("googletranslate(D1604,""en"",""ja"")"),"派生検体数")</f>
        <v>派生検体数</v>
      </c>
      <c r="H1604" s="3" t="str">
        <f ca="1">IFERROR(__xludf.DUMMYFUNCTION("googletranslate(E1604,""en"",""ja"")"),"親標本から生成される派生標本の数。")</f>
        <v>親標本から生成される派生標本の数。</v>
      </c>
      <c r="I1604" s="3" t="str">
        <f ca="1">IFERROR(__xludf.DUMMYFUNCTION("googletranslate(F1604,""en"",""ja"")"),"派生検体の数")</f>
        <v>派生検体の数</v>
      </c>
    </row>
    <row r="1605" spans="1:9" ht="45">
      <c r="A1605" s="3" t="s">
        <v>185</v>
      </c>
      <c r="B1605" s="3" t="s">
        <v>6776</v>
      </c>
      <c r="C1605" s="3" t="s">
        <v>6777</v>
      </c>
      <c r="D1605" s="3" t="s">
        <v>6777</v>
      </c>
      <c r="E1605" s="3" t="s">
        <v>6778</v>
      </c>
      <c r="F1605" s="3" t="s">
        <v>6779</v>
      </c>
      <c r="G1605" s="3" t="str">
        <f ca="1">IFERROR(__xludf.DUMMYFUNCTION("googletranslate(D1605,""en"",""ja"")"),"病気の段階")</f>
        <v>病気の段階</v>
      </c>
      <c r="H1605" s="3" t="str">
        <f ca="1">IFERROR(__xludf.DUMMYFUNCTION("googletranslate(E1605,""en"",""ja"")"),"重症度、病因、病態生理の臨床的尺度に基づいた疾患の進行の特徴付けまたは分類。")</f>
        <v>重症度、病因、病態生理の臨床的尺度に基づいた疾患の進行の特徴付けまたは分類。</v>
      </c>
      <c r="I1605" s="3" t="str">
        <f ca="1">IFERROR(__xludf.DUMMYFUNCTION("googletranslate(F1605,""en"",""ja"")"),"疾患ステージの認定者")</f>
        <v>疾患ステージの認定者</v>
      </c>
    </row>
    <row r="1606" spans="1:9" ht="30">
      <c r="A1606" s="3" t="s">
        <v>503</v>
      </c>
      <c r="B1606" s="3" t="s">
        <v>6780</v>
      </c>
      <c r="C1606" s="3" t="s">
        <v>6781</v>
      </c>
      <c r="D1606" s="3" t="s">
        <v>6781</v>
      </c>
      <c r="E1606" s="3" t="s">
        <v>6782</v>
      </c>
      <c r="F1606" s="3" t="s">
        <v>6781</v>
      </c>
      <c r="G1606" s="3" t="str">
        <f ca="1">IFERROR(__xludf.DUMMYFUNCTION("googletranslate(D1606,""en"",""ja"")"),"臓器提供時のドナーステータス")</f>
        <v>臓器提供時のドナーステータス</v>
      </c>
      <c r="H1606" s="3" t="str">
        <f ca="1">IFERROR(__xludf.DUMMYFUNCTION("googletranslate(E1606,""en"",""ja"")"),"臓器採取時に生存しているか脳死状態であるドナーの状態または状態。")</f>
        <v>臓器採取時に生存しているか脳死状態であるドナーの状態または状態。</v>
      </c>
      <c r="I1606" s="3" t="str">
        <f ca="1">IFERROR(__xludf.DUMMYFUNCTION("googletranslate(F1606,""en"",""ja"")"),"臓器提供時のドナーステータス")</f>
        <v>臓器提供時のドナーステータス</v>
      </c>
    </row>
    <row r="1607" spans="1:9" ht="45">
      <c r="A1607" s="3" t="s">
        <v>185</v>
      </c>
      <c r="B1607" s="3" t="s">
        <v>6783</v>
      </c>
      <c r="C1607" s="3" t="s">
        <v>6784</v>
      </c>
      <c r="D1607" s="3" t="s">
        <v>6785</v>
      </c>
      <c r="E1607" s="3" t="s">
        <v>6786</v>
      </c>
      <c r="F1607" s="3" t="s">
        <v>6787</v>
      </c>
      <c r="G1607" s="3" t="str">
        <f ca="1">IFERROR(__xludf.DUMMYFUNCTION("googletranslate(D1607,""en"",""ja"")"),"食事性 18:0 ステアリン酸塩。食物由来 18:0 ステアリン酸;食物由来ステアリン酸")</f>
        <v>食事性 18:0 ステアリン酸塩。食物由来 18:0 ステアリン酸;食物由来ステアリン酸</v>
      </c>
      <c r="H1607" s="3" t="str">
        <f ca="1">IFERROR(__xludf.DUMMYFUNCTION("googletranslate(E1607,""en"",""ja"")"),"栄養製品または食事、あるいはその一部に含まれる 18:0 ステアリン酸の合計の測定。")</f>
        <v>栄養製品または食事、あるいはその一部に含まれる 18:0 ステアリン酸の合計の測定。</v>
      </c>
      <c r="I1607" s="3" t="str">
        <f ca="1">IFERROR(__xludf.DUMMYFUNCTION("googletranslate(F1607,""en"",""ja"")"),"食事中のステアリン酸の測定")</f>
        <v>食事中のステアリン酸の測定</v>
      </c>
    </row>
    <row r="1608" spans="1:9" ht="30">
      <c r="A1608" s="3" t="s">
        <v>185</v>
      </c>
      <c r="B1608" s="3" t="s">
        <v>6788</v>
      </c>
      <c r="C1608" s="3" t="s">
        <v>6789</v>
      </c>
      <c r="D1608" s="3" t="s">
        <v>6789</v>
      </c>
      <c r="E1608" s="3" t="s">
        <v>6790</v>
      </c>
      <c r="F1608" s="3" t="s">
        <v>6791</v>
      </c>
      <c r="G1608" s="3" t="str">
        <f ca="1">IFERROR(__xludf.DUMMYFUNCTION("googletranslate(D1608,""en"",""ja"")"),"食事の総糖質量")</f>
        <v>食事の総糖質量</v>
      </c>
      <c r="H1608" s="3" t="str">
        <f ca="1">IFERROR(__xludf.DUMMYFUNCTION("googletranslate(E1608,""en"",""ja"")"),"栄養製品または食事、あるいはその一部に含まれる総糖質の測定。")</f>
        <v>栄養製品または食事、あるいはその一部に含まれる総糖質の測定。</v>
      </c>
      <c r="I1608" s="3" t="str">
        <f ca="1">IFERROR(__xludf.DUMMYFUNCTION("googletranslate(F1608,""en"",""ja"")"),"食事の糖質測定")</f>
        <v>食事の糖質測定</v>
      </c>
    </row>
    <row r="1609" spans="1:9" ht="30">
      <c r="A1609" s="3" t="s">
        <v>6</v>
      </c>
      <c r="B1609" s="3" t="s">
        <v>6792</v>
      </c>
      <c r="C1609" s="3" t="s">
        <v>6793</v>
      </c>
      <c r="D1609" s="3" t="s">
        <v>6794</v>
      </c>
      <c r="E1609" s="3" t="s">
        <v>6795</v>
      </c>
      <c r="F1609" s="3" t="s">
        <v>6796</v>
      </c>
      <c r="G1609" s="3" t="str">
        <f ca="1">IFERROR(__xludf.DUMMYFUNCTION("googletranslate(D1609,""en"",""ja"")"),"デスベンラファクシン; O-デスメチルベンラファキシン")</f>
        <v>デスベンラファクシン; O-デスメチルベンラファキシン</v>
      </c>
      <c r="H1609" s="3" t="str">
        <f ca="1">IFERROR(__xludf.DUMMYFUNCTION("googletranslate(E1609,""en"",""ja"")"),"生物学的標本に存在するデスベンラファクシンの測定。")</f>
        <v>生物学的標本に存在するデスベンラファクシンの測定。</v>
      </c>
      <c r="I1609" s="3" t="str">
        <f ca="1">IFERROR(__xludf.DUMMYFUNCTION("googletranslate(F1609,""en"",""ja"")"),"デスベンラファクシンの測定")</f>
        <v>デスベンラファクシンの測定</v>
      </c>
    </row>
    <row r="1610" spans="1:9" ht="30">
      <c r="A1610" s="3" t="s">
        <v>185</v>
      </c>
      <c r="B1610" s="3" t="s">
        <v>6797</v>
      </c>
      <c r="C1610" s="3" t="s">
        <v>6798</v>
      </c>
      <c r="D1610" s="3" t="s">
        <v>6798</v>
      </c>
      <c r="E1610" s="3" t="s">
        <v>6799</v>
      </c>
      <c r="F1610" s="3" t="s">
        <v>6800</v>
      </c>
      <c r="G1610" s="3" t="str">
        <f ca="1">IFERROR(__xludf.DUMMYFUNCTION("googletranslate(D1610,""en"",""ja"")"),"食事性テオブロミン")</f>
        <v>食事性テオブロミン</v>
      </c>
      <c r="H1610" s="3" t="str">
        <f ca="1">IFERROR(__xludf.DUMMYFUNCTION("googletranslate(E1610,""en"",""ja"")"),"栄養製品または食事、あるいはその一部に含まれるテオブロミンの測定。")</f>
        <v>栄養製品または食事、あるいはその一部に含まれるテオブロミンの測定。</v>
      </c>
      <c r="I1610" s="3" t="str">
        <f ca="1">IFERROR(__xludf.DUMMYFUNCTION("googletranslate(F1610,""en"",""ja"")"),"食事によるテオブロミンの測定")</f>
        <v>食事によるテオブロミンの測定</v>
      </c>
    </row>
    <row r="1611" spans="1:9" ht="30">
      <c r="A1611" s="3" t="s">
        <v>185</v>
      </c>
      <c r="B1611" s="3" t="s">
        <v>6801</v>
      </c>
      <c r="C1611" s="3" t="s">
        <v>6802</v>
      </c>
      <c r="D1611" s="3" t="s">
        <v>6803</v>
      </c>
      <c r="E1611" s="3" t="s">
        <v>6804</v>
      </c>
      <c r="F1611" s="3" t="s">
        <v>6805</v>
      </c>
      <c r="G1611" s="3" t="str">
        <f ca="1">IFERROR(__xludf.DUMMYFUNCTION("googletranslate(D1611,""en"",""ja"")"),"食事性チアミン;食事性チアミン;食事性ビタミンB1")</f>
        <v>食事性チアミン;食事性チアミン;食事性ビタミンB1</v>
      </c>
      <c r="H1611" s="3" t="str">
        <f ca="1">IFERROR(__xludf.DUMMYFUNCTION("googletranslate(E1611,""en"",""ja"")"),"栄養製品または食事、あるいはその一部に含まれるチアミンの測定。")</f>
        <v>栄養製品または食事、あるいはその一部に含まれるチアミンの測定。</v>
      </c>
      <c r="I1611" s="3" t="str">
        <f ca="1">IFERROR(__xludf.DUMMYFUNCTION("googletranslate(F1611,""en"",""ja"")"),"食事中のチアミンの測定")</f>
        <v>食事中のチアミンの測定</v>
      </c>
    </row>
    <row r="1612" spans="1:9" ht="45">
      <c r="A1612" s="3" t="s">
        <v>185</v>
      </c>
      <c r="B1612" s="3" t="s">
        <v>6806</v>
      </c>
      <c r="C1612" s="3" t="s">
        <v>6807</v>
      </c>
      <c r="D1612" s="3" t="s">
        <v>6808</v>
      </c>
      <c r="E1612" s="3" t="s">
        <v>6809</v>
      </c>
      <c r="F1612" s="3" t="s">
        <v>6810</v>
      </c>
      <c r="G1612" s="3" t="str">
        <f ca="1">IFERROR(__xludf.DUMMYFUNCTION("googletranslate(D1612,""en"",""ja"")"),"食事 20:5 チムノドナート;食事性 20:5 チムノドン酸;食事性チムノドン酸")</f>
        <v>食事 20:5 チムノドナート;食事性 20:5 チムノドン酸;食事性チムノドン酸</v>
      </c>
      <c r="H1612" s="3" t="str">
        <f ca="1">IFERROR(__xludf.DUMMYFUNCTION("googletranslate(E1612,""en"",""ja"")"),"栄養製品または食事、またはその一部に含まれる合計 20:5 チムノドン酸の測定。")</f>
        <v>栄養製品または食事、またはその一部に含まれる合計 20:5 チムノドン酸の測定。</v>
      </c>
      <c r="I1612" s="3" t="str">
        <f ca="1">IFERROR(__xludf.DUMMYFUNCTION("googletranslate(F1612,""en"",""ja"")"),"食事によるチムノドン酸の測定")</f>
        <v>食事によるチムノドン酸の測定</v>
      </c>
    </row>
    <row r="1613" spans="1:9" ht="30">
      <c r="A1613" s="3" t="s">
        <v>185</v>
      </c>
      <c r="B1613" s="3" t="s">
        <v>6811</v>
      </c>
      <c r="C1613" s="3" t="s">
        <v>6812</v>
      </c>
      <c r="D1613" s="3" t="s">
        <v>6812</v>
      </c>
      <c r="E1613" s="3" t="s">
        <v>6813</v>
      </c>
      <c r="F1613" s="3" t="s">
        <v>6814</v>
      </c>
      <c r="G1613" s="3" t="str">
        <f ca="1">IFERROR(__xludf.DUMMYFUNCTION("googletranslate(D1613,""en"",""ja"")"),"ダイエットトマト")</f>
        <v>ダイエットトマト</v>
      </c>
      <c r="H1613" s="3" t="str">
        <f ca="1">IFERROR(__xludf.DUMMYFUNCTION("googletranslate(E1613,""en"",""ja"")"),"栄養製品または食事、またはその一部に含まれるトマトの測定。")</f>
        <v>栄養製品または食事、またはその一部に含まれるトマトの測定。</v>
      </c>
      <c r="I1613" s="3" t="str">
        <f ca="1">IFERROR(__xludf.DUMMYFUNCTION("googletranslate(F1613,""en"",""ja"")"),"ダイエットトマトの測定")</f>
        <v>ダイエットトマトの測定</v>
      </c>
    </row>
    <row r="1614" spans="1:9" ht="60">
      <c r="A1614" s="3" t="s">
        <v>6</v>
      </c>
      <c r="B1614" s="3" t="s">
        <v>6815</v>
      </c>
      <c r="C1614" s="3" t="s">
        <v>6816</v>
      </c>
      <c r="D1614" s="3" t="s">
        <v>6816</v>
      </c>
      <c r="E1614" s="3" t="s">
        <v>6817</v>
      </c>
      <c r="F1614" s="3" t="s">
        <v>6818</v>
      </c>
      <c r="G1614" s="3" t="str">
        <f ca="1">IFERROR(__xludf.DUMMYFUNCTION("googletranslate(D1614,""en"",""ja"")"),"DTPA クリアランス")</f>
        <v>DTPA クリアランス</v>
      </c>
      <c r="H1614" s="3" t="str">
        <f ca="1">IFERROR(__xludf.DUMMYFUNCTION("googletranslate(E1614,""en"",""ja"")"),"指定された時間単位 (例: 1 分) の尿の排泄によってジエチレントリアミン五酢酸 (DTPA) が除去される血清または血漿の量の測定値。")</f>
        <v>指定された時間単位 (例: 1 分) の尿の排泄によってジエチレントリアミン五酢酸 (DTPA) が除去される血清または血漿の量の測定値。</v>
      </c>
      <c r="I1614" s="3" t="str">
        <f ca="1">IFERROR(__xludf.DUMMYFUNCTION("googletranslate(F1614,""en"",""ja"")"),"ジエチレントリアミン五酢酸クリアランス")</f>
        <v>ジエチレントリアミン五酢酸クリアランス</v>
      </c>
    </row>
    <row r="1615" spans="1:9">
      <c r="A1615" s="3" t="s">
        <v>6</v>
      </c>
      <c r="B1615" s="3" t="s">
        <v>6819</v>
      </c>
      <c r="C1615" s="3" t="s">
        <v>6820</v>
      </c>
      <c r="D1615" s="3" t="s">
        <v>6820</v>
      </c>
      <c r="E1615" s="3" t="s">
        <v>6821</v>
      </c>
      <c r="F1615" s="3" t="s">
        <v>6822</v>
      </c>
      <c r="G1615" s="3" t="str">
        <f ca="1">IFERROR(__xludf.DUMMYFUNCTION("googletranslate(D1615,""en"",""ja"")"),"デュロキセチン")</f>
        <v>デュロキセチン</v>
      </c>
      <c r="H1615" s="3" t="str">
        <f ca="1">IFERROR(__xludf.DUMMYFUNCTION("googletranslate(E1615,""en"",""ja"")"),"生物学的標本中のデュロキセチンの測定。")</f>
        <v>生物学的標本中のデュロキセチンの測定。</v>
      </c>
      <c r="I1615" s="3" t="str">
        <f ca="1">IFERROR(__xludf.DUMMYFUNCTION("googletranslate(F1615,""en"",""ja"")"),"デュロキセチンの測定")</f>
        <v>デュロキセチンの測定</v>
      </c>
    </row>
    <row r="1616" spans="1:9" ht="45">
      <c r="A1616" s="3" t="s">
        <v>6</v>
      </c>
      <c r="B1616" s="3" t="s">
        <v>6823</v>
      </c>
      <c r="C1616" s="3" t="s">
        <v>6824</v>
      </c>
      <c r="D1616" s="3" t="s">
        <v>6825</v>
      </c>
      <c r="E1616" s="3" t="s">
        <v>6826</v>
      </c>
      <c r="F1616" s="3" t="s">
        <v>6827</v>
      </c>
      <c r="G1616" s="3" t="str">
        <f ca="1">IFERROR(__xludf.DUMMYFUNCTION("googletranslate(D1616,""en"",""ja"")"),"デュパン-2;デューク膵臓モノクローナル抗原タイプ 2;デュパン-2")</f>
        <v>デュパン-2;デューク膵臓モノクローナル抗原タイプ 2;デュパン-2</v>
      </c>
      <c r="H1616" s="3" t="str">
        <f ca="1">IFERROR(__xludf.DUMMYFUNCTION("googletranslate(E1616,""en"",""ja"")"),"生物学的標本中の DU-PAN-2 抗原の測定。")</f>
        <v>生物学的標本中の DU-PAN-2 抗原の測定。</v>
      </c>
      <c r="I1616" s="3" t="str">
        <f ca="1">IFERROR(__xludf.DUMMYFUNCTION("googletranslate(F1616,""en"",""ja"")"),"デューク膵臓モノクローナル抗原 2 型測定")</f>
        <v>デューク膵臓モノクローナル抗原 2 型測定</v>
      </c>
    </row>
    <row r="1617" spans="1:9" ht="30">
      <c r="A1617" s="3" t="s">
        <v>67</v>
      </c>
      <c r="B1617" s="3" t="s">
        <v>6828</v>
      </c>
      <c r="C1617" s="3" t="s">
        <v>6829</v>
      </c>
      <c r="D1617" s="3" t="s">
        <v>6829</v>
      </c>
      <c r="E1617" s="3" t="s">
        <v>6830</v>
      </c>
      <c r="F1617" s="3" t="s">
        <v>6831</v>
      </c>
      <c r="G1617" s="3" t="str">
        <f ca="1">IFERROR(__xludf.DUMMYFUNCTION("googletranslate(D1617,""en"",""ja"")"),"デング熱ウイルス 1/2/3/4 RNA")</f>
        <v>デング熱ウイルス 1/2/3/4 RNA</v>
      </c>
      <c r="H1617" s="3" t="str">
        <f ca="1">IFERROR(__xludf.DUMMYFUNCTION("googletranslate(E1617,""en"",""ja"")"),"生物学的検体中のデング熱ウイルス血清型 1、2、3、および/または 4 からの RNA の測定。")</f>
        <v>生物学的検体中のデング熱ウイルス血清型 1、2、3、および/または 4 からの RNA の測定。</v>
      </c>
      <c r="I1617" s="3" t="str">
        <f ca="1">IFERROR(__xludf.DUMMYFUNCTION("googletranslate(F1617,""en"",""ja"")"),"デング熱ウイルス 1、2、3、および/または 4 の RNA 測定")</f>
        <v>デング熱ウイルス 1、2、3、および/または 4 の RNA 測定</v>
      </c>
    </row>
    <row r="1618" spans="1:9">
      <c r="A1618" s="3" t="s">
        <v>185</v>
      </c>
      <c r="B1618" s="3" t="s">
        <v>6832</v>
      </c>
      <c r="C1618" s="3" t="s">
        <v>6833</v>
      </c>
      <c r="D1618" s="3" t="s">
        <v>6833</v>
      </c>
      <c r="E1618" s="3" t="s">
        <v>6834</v>
      </c>
      <c r="F1618" s="3" t="s">
        <v>6833</v>
      </c>
      <c r="G1618" s="3" t="str">
        <f ca="1">IFERROR(__xludf.DUMMYFUNCTION("googletranslate(D1618,""en"",""ja"")"),"挿入されたデバイスの数")</f>
        <v>挿入されたデバイスの数</v>
      </c>
      <c r="H1618" s="3" t="str">
        <f ca="1">IFERROR(__xludf.DUMMYFUNCTION("googletranslate(E1618,""en"",""ja"")"),"個人に挿入されているデバイスの数。")</f>
        <v>個人に挿入されているデバイスの数。</v>
      </c>
      <c r="I1618" s="3" t="str">
        <f ca="1">IFERROR(__xludf.DUMMYFUNCTION("googletranslate(F1618,""en"",""ja"")"),"挿入されたデバイスの数")</f>
        <v>挿入されたデバイスの数</v>
      </c>
    </row>
    <row r="1619" spans="1:9" ht="30">
      <c r="A1619" s="3" t="s">
        <v>185</v>
      </c>
      <c r="B1619" s="3" t="s">
        <v>6835</v>
      </c>
      <c r="C1619" s="3" t="s">
        <v>6836</v>
      </c>
      <c r="D1619" s="3" t="s">
        <v>6836</v>
      </c>
      <c r="E1619" s="3" t="s">
        <v>6837</v>
      </c>
      <c r="F1619" s="3" t="s">
        <v>6838</v>
      </c>
      <c r="G1619" s="3" t="str">
        <f ca="1">IFERROR(__xludf.DUMMYFUNCTION("googletranslate(D1619,""en"",""ja"")"),"食物野菜")</f>
        <v>食物野菜</v>
      </c>
      <c r="H1619" s="3" t="str">
        <f ca="1">IFERROR(__xludf.DUMMYFUNCTION("googletranslate(E1619,""en"",""ja"")"),"栄養製品または食事、あるいはその一部に含まれる野菜の総量の測定。")</f>
        <v>栄養製品または食事、あるいはその一部に含まれる野菜の総量の測定。</v>
      </c>
      <c r="I1619" s="3" t="str">
        <f ca="1">IFERROR(__xludf.DUMMYFUNCTION("googletranslate(F1619,""en"",""ja"")"),"食事野菜の測定")</f>
        <v>食事野菜の測定</v>
      </c>
    </row>
    <row r="1620" spans="1:9" ht="30">
      <c r="A1620" s="3" t="s">
        <v>185</v>
      </c>
      <c r="B1620" s="3" t="s">
        <v>6839</v>
      </c>
      <c r="C1620" s="3" t="s">
        <v>6840</v>
      </c>
      <c r="D1620" s="3" t="s">
        <v>6840</v>
      </c>
      <c r="E1620" s="3" t="s">
        <v>6841</v>
      </c>
      <c r="F1620" s="3" t="s">
        <v>6842</v>
      </c>
      <c r="G1620" s="3" t="str">
        <f ca="1">IFERROR(__xludf.DUMMYFUNCTION("googletranslate(D1620,""en"",""ja"")"),"ダイエット野菜 ダークグリーン")</f>
        <v>ダイエット野菜 ダークグリーン</v>
      </c>
      <c r="H1620" s="3" t="str">
        <f ca="1">IFERROR(__xludf.DUMMYFUNCTION("googletranslate(E1620,""en"",""ja"")"),"栄養製品または食事、あるいはその一部に含まれる深緑色野菜の総量の測定。")</f>
        <v>栄養製品または食事、あるいはその一部に含まれる深緑色野菜の総量の測定。</v>
      </c>
      <c r="I1620" s="3" t="str">
        <f ca="1">IFERROR(__xludf.DUMMYFUNCTION("googletranslate(F1620,""en"",""ja"")"),"食事野菜、濃い緑色の測定")</f>
        <v>食事野菜、濃い緑色の測定</v>
      </c>
    </row>
    <row r="1621" spans="1:9" ht="30">
      <c r="A1621" s="3" t="s">
        <v>185</v>
      </c>
      <c r="B1621" s="3" t="s">
        <v>6843</v>
      </c>
      <c r="C1621" s="3" t="s">
        <v>6844</v>
      </c>
      <c r="D1621" s="3" t="s">
        <v>6844</v>
      </c>
      <c r="E1621" s="3" t="s">
        <v>6845</v>
      </c>
      <c r="F1621" s="3" t="s">
        <v>6846</v>
      </c>
      <c r="G1621" s="3" t="str">
        <f ca="1">IFERROR(__xludf.DUMMYFUNCTION("googletranslate(D1621,""en"",""ja"")"),"栄養野菜、赤とオレンジ")</f>
        <v>栄養野菜、赤とオレンジ</v>
      </c>
      <c r="H1621" s="3" t="str">
        <f ca="1">IFERROR(__xludf.DUMMYFUNCTION("googletranslate(E1621,""en"",""ja"")"),"栄養製品または食事、またはその一部に含まれる赤およびオレンジ色の野菜の総量の測定。")</f>
        <v>栄養製品または食事、またはその一部に含まれる赤およびオレンジ色の野菜の総量の測定。</v>
      </c>
      <c r="I1621" s="3" t="str">
        <f ca="1">IFERROR(__xludf.DUMMYFUNCTION("googletranslate(F1621,""en"",""ja"")"),"食事野菜、赤とオレンジの測定")</f>
        <v>食事野菜、赤とオレンジの測定</v>
      </c>
    </row>
    <row r="1622" spans="1:9" ht="30">
      <c r="A1622" s="3" t="s">
        <v>185</v>
      </c>
      <c r="B1622" s="3" t="s">
        <v>6847</v>
      </c>
      <c r="C1622" s="3" t="s">
        <v>6848</v>
      </c>
      <c r="D1622" s="3" t="s">
        <v>6848</v>
      </c>
      <c r="E1622" s="3" t="s">
        <v>6849</v>
      </c>
      <c r="F1622" s="3" t="s">
        <v>6850</v>
      </c>
      <c r="G1622" s="3" t="str">
        <f ca="1">IFERROR(__xludf.DUMMYFUNCTION("googletranslate(D1622,""en"",""ja"")"),"食物野菜、でんぷん質")</f>
        <v>食物野菜、でんぷん質</v>
      </c>
      <c r="H1622" s="3" t="str">
        <f ca="1">IFERROR(__xludf.DUMMYFUNCTION("googletranslate(E1622,""en"",""ja"")"),"栄養製品または食事、またはその一部に含まれるデンプン質野菜の総量の測定。")</f>
        <v>栄養製品または食事、またはその一部に含まれるデンプン質野菜の総量の測定。</v>
      </c>
      <c r="I1622" s="3" t="str">
        <f ca="1">IFERROR(__xludf.DUMMYFUNCTION("googletranslate(F1622,""en"",""ja"")"),"食事野菜、でんぷん質の測定")</f>
        <v>食事野菜、でんぷん質の測定</v>
      </c>
    </row>
    <row r="1623" spans="1:9" ht="30">
      <c r="A1623" s="3" t="s">
        <v>185</v>
      </c>
      <c r="B1623" s="3" t="s">
        <v>6851</v>
      </c>
      <c r="C1623" s="3" t="s">
        <v>6852</v>
      </c>
      <c r="D1623" s="3" t="s">
        <v>6852</v>
      </c>
      <c r="E1623" s="3" t="s">
        <v>6853</v>
      </c>
      <c r="F1623" s="3" t="s">
        <v>6854</v>
      </c>
      <c r="G1623" s="3" t="str">
        <f ca="1">IFERROR(__xludf.DUMMYFUNCTION("googletranslate(D1623,""en"",""ja"")"),"食事性ビタミンA")</f>
        <v>食事性ビタミンA</v>
      </c>
      <c r="H1623" s="3" t="str">
        <f ca="1">IFERROR(__xludf.DUMMYFUNCTION("googletranslate(E1623,""en"",""ja"")"),"栄養製品または食事、またはその一部に含まれる総ビタミン A の測定。")</f>
        <v>栄養製品または食事、またはその一部に含まれる総ビタミン A の測定。</v>
      </c>
      <c r="I1623" s="3" t="str">
        <f ca="1">IFERROR(__xludf.DUMMYFUNCTION("googletranslate(F1623,""en"",""ja"")"),"食事性ビタミンAの測定")</f>
        <v>食事性ビタミンAの測定</v>
      </c>
    </row>
    <row r="1624" spans="1:9" ht="30">
      <c r="A1624" s="3" t="s">
        <v>185</v>
      </c>
      <c r="B1624" s="3" t="s">
        <v>6855</v>
      </c>
      <c r="C1624" s="3" t="s">
        <v>6856</v>
      </c>
      <c r="D1624" s="3" t="s">
        <v>6856</v>
      </c>
      <c r="E1624" s="3" t="s">
        <v>6857</v>
      </c>
      <c r="F1624" s="3" t="s">
        <v>6858</v>
      </c>
      <c r="G1624" s="3" t="str">
        <f ca="1">IFERROR(__xludf.DUMMYFUNCTION("googletranslate(D1624,""en"",""ja"")"),"食事性ビタミンB12")</f>
        <v>食事性ビタミンB12</v>
      </c>
      <c r="H1624" s="3" t="str">
        <f ca="1">IFERROR(__xludf.DUMMYFUNCTION("googletranslate(E1624,""en"",""ja"")"),"栄養製品または食事、またはその一部に含まれる総ビタミン B12 の測定。")</f>
        <v>栄養製品または食事、またはその一部に含まれる総ビタミン B12 の測定。</v>
      </c>
      <c r="I1624" s="3" t="str">
        <f ca="1">IFERROR(__xludf.DUMMYFUNCTION("googletranslate(F1624,""en"",""ja"")"),"食事性ビタミンB12の測定")</f>
        <v>食事性ビタミンB12の測定</v>
      </c>
    </row>
    <row r="1625" spans="1:9" ht="30">
      <c r="A1625" s="3" t="s">
        <v>185</v>
      </c>
      <c r="B1625" s="3" t="s">
        <v>6859</v>
      </c>
      <c r="C1625" s="3" t="s">
        <v>6860</v>
      </c>
      <c r="D1625" s="3" t="s">
        <v>6860</v>
      </c>
      <c r="E1625" s="3" t="s">
        <v>6861</v>
      </c>
      <c r="F1625" s="3" t="s">
        <v>6862</v>
      </c>
      <c r="G1625" s="3" t="str">
        <f ca="1">IFERROR(__xludf.DUMMYFUNCTION("googletranslate(D1625,""en"",""ja"")"),"食事性ビタミンB6")</f>
        <v>食事性ビタミンB6</v>
      </c>
      <c r="H1625" s="3" t="str">
        <f ca="1">IFERROR(__xludf.DUMMYFUNCTION("googletranslate(E1625,""en"",""ja"")"),"栄養製品または食事、またはその一部に含まれる総ビタミン B6 の測定。")</f>
        <v>栄養製品または食事、またはその一部に含まれる総ビタミン B6 の測定。</v>
      </c>
      <c r="I1625" s="3" t="str">
        <f ca="1">IFERROR(__xludf.DUMMYFUNCTION("googletranslate(F1625,""en"",""ja"")"),"食事性ビタミンB6の測定")</f>
        <v>食事性ビタミンB6の測定</v>
      </c>
    </row>
    <row r="1626" spans="1:9" ht="30">
      <c r="A1626" s="3" t="s">
        <v>185</v>
      </c>
      <c r="B1626" s="3" t="s">
        <v>6863</v>
      </c>
      <c r="C1626" s="3" t="s">
        <v>6864</v>
      </c>
      <c r="D1626" s="3" t="s">
        <v>6864</v>
      </c>
      <c r="E1626" s="3" t="s">
        <v>6865</v>
      </c>
      <c r="F1626" s="3" t="s">
        <v>6866</v>
      </c>
      <c r="G1626" s="3" t="str">
        <f ca="1">IFERROR(__xludf.DUMMYFUNCTION("googletranslate(D1626,""en"",""ja"")"),"食事性ビタミンC")</f>
        <v>食事性ビタミンC</v>
      </c>
      <c r="H1626" s="3" t="str">
        <f ca="1">IFERROR(__xludf.DUMMYFUNCTION("googletranslate(E1626,""en"",""ja"")"),"栄養製品または食事、またはその一部に含まれる総ビタミン C の測定。")</f>
        <v>栄養製品または食事、またはその一部に含まれる総ビタミン C の測定。</v>
      </c>
      <c r="I1626" s="3" t="str">
        <f ca="1">IFERROR(__xludf.DUMMYFUNCTION("googletranslate(F1626,""en"",""ja"")"),"食事性ビタミンC測定")</f>
        <v>食事性ビタミンC測定</v>
      </c>
    </row>
    <row r="1627" spans="1:9" ht="30">
      <c r="A1627" s="3" t="s">
        <v>185</v>
      </c>
      <c r="B1627" s="3" t="s">
        <v>6867</v>
      </c>
      <c r="C1627" s="3" t="s">
        <v>6868</v>
      </c>
      <c r="D1627" s="3" t="s">
        <v>6868</v>
      </c>
      <c r="E1627" s="3" t="s">
        <v>6869</v>
      </c>
      <c r="F1627" s="3" t="s">
        <v>6870</v>
      </c>
      <c r="G1627" s="3" t="str">
        <f ca="1">IFERROR(__xludf.DUMMYFUNCTION("googletranslate(D1627,""en"",""ja"")"),"食事性ビタミンD")</f>
        <v>食事性ビタミンD</v>
      </c>
      <c r="H1627" s="3" t="str">
        <f ca="1">IFERROR(__xludf.DUMMYFUNCTION("googletranslate(E1627,""en"",""ja"")"),"栄養製品または食事、またはその一部に含まれる総ビタミン D の測定。")</f>
        <v>栄養製品または食事、またはその一部に含まれる総ビタミン D の測定。</v>
      </c>
      <c r="I1627" s="3" t="str">
        <f ca="1">IFERROR(__xludf.DUMMYFUNCTION("googletranslate(F1627,""en"",""ja"")"),"食事性ビタミンD測定")</f>
        <v>食事性ビタミンD測定</v>
      </c>
    </row>
    <row r="1628" spans="1:9" ht="30">
      <c r="A1628" s="3" t="s">
        <v>185</v>
      </c>
      <c r="B1628" s="3" t="s">
        <v>6871</v>
      </c>
      <c r="C1628" s="3" t="s">
        <v>6872</v>
      </c>
      <c r="D1628" s="3" t="s">
        <v>6872</v>
      </c>
      <c r="E1628" s="3" t="s">
        <v>6873</v>
      </c>
      <c r="F1628" s="3" t="s">
        <v>6874</v>
      </c>
      <c r="G1628" s="3" t="str">
        <f ca="1">IFERROR(__xludf.DUMMYFUNCTION("googletranslate(D1628,""en"",""ja"")"),"食事性ビタミンK")</f>
        <v>食事性ビタミンK</v>
      </c>
      <c r="H1628" s="3" t="str">
        <f ca="1">IFERROR(__xludf.DUMMYFUNCTION("googletranslate(E1628,""en"",""ja"")"),"栄養製品または食事、あるいはその一部に含まれる総ビタミン K の測定。")</f>
        <v>栄養製品または食事、あるいはその一部に含まれる総ビタミン K の測定。</v>
      </c>
      <c r="I1628" s="3" t="str">
        <f ca="1">IFERROR(__xludf.DUMMYFUNCTION("googletranslate(F1628,""en"",""ja"")"),"食事性ビタミンK測定")</f>
        <v>食事性ビタミンK測定</v>
      </c>
    </row>
    <row r="1629" spans="1:9" ht="30">
      <c r="A1629" s="3" t="s">
        <v>2904</v>
      </c>
      <c r="B1629" s="3" t="s">
        <v>6875</v>
      </c>
      <c r="C1629" s="3" t="s">
        <v>6876</v>
      </c>
      <c r="D1629" s="3" t="s">
        <v>6876</v>
      </c>
      <c r="E1629" s="3" t="s">
        <v>6877</v>
      </c>
      <c r="F1629" s="3" t="s">
        <v>6878</v>
      </c>
      <c r="G1629" s="3" t="str">
        <f ca="1">IFERROR(__xludf.DUMMYFUNCTION("googletranslate(D1629,""en"",""ja"")"),"デバイス出力ブラインディングステータス")</f>
        <v>デバイス出力ブラインディングステータス</v>
      </c>
      <c r="H1629" s="3" t="str">
        <f ca="1">IFERROR(__xludf.DUMMYFUNCTION("googletranslate(E1629,""en"",""ja"")"),"デバイスによって生成および提供される情報のブラインド条件または状態。")</f>
        <v>デバイスによって生成および提供される情報のブラインド条件または状態。</v>
      </c>
      <c r="I1629" s="3" t="str">
        <f ca="1">IFERROR(__xludf.DUMMYFUNCTION("googletranslate(F1629,""en"",""ja"")"),"デバイスデータブラインドステータス")</f>
        <v>デバイスデータブラインドステータス</v>
      </c>
    </row>
    <row r="1630" spans="1:9" ht="30">
      <c r="A1630" s="3" t="s">
        <v>503</v>
      </c>
      <c r="B1630" s="3" t="s">
        <v>6879</v>
      </c>
      <c r="C1630" s="3" t="s">
        <v>6880</v>
      </c>
      <c r="D1630" s="3" t="s">
        <v>6880</v>
      </c>
      <c r="E1630" s="3" t="s">
        <v>6881</v>
      </c>
      <c r="F1630" s="3" t="s">
        <v>6882</v>
      </c>
      <c r="G1630" s="3" t="str">
        <f ca="1">IFERROR(__xludf.DUMMYFUNCTION("googletranslate(D1630,""en"",""ja"")"),"住居タイプ")</f>
        <v>住居タイプ</v>
      </c>
      <c r="H1630" s="3" t="str">
        <f ca="1">IFERROR(__xludf.DUMMYFUNCTION("googletranslate(E1630,""en"",""ja"")"),"個人が居住する物理的な場所の特徴付けまたは分類。")</f>
        <v>個人が居住する物理的な場所の特徴付けまたは分類。</v>
      </c>
      <c r="I1630" s="3" t="str">
        <f ca="1">IFERROR(__xludf.DUMMYFUNCTION("googletranslate(F1630,""en"",""ja"")"),"居住区")</f>
        <v>居住区</v>
      </c>
    </row>
    <row r="1631" spans="1:9" ht="30">
      <c r="A1631" s="3" t="s">
        <v>185</v>
      </c>
      <c r="B1631" s="3" t="s">
        <v>6883</v>
      </c>
      <c r="C1631" s="3" t="s">
        <v>6884</v>
      </c>
      <c r="D1631" s="3" t="s">
        <v>6884</v>
      </c>
      <c r="E1631" s="3" t="s">
        <v>6885</v>
      </c>
      <c r="F1631" s="3" t="s">
        <v>6886</v>
      </c>
      <c r="G1631" s="3" t="str">
        <f ca="1">IFERROR(__xludf.DUMMYFUNCTION("googletranslate(D1631,""en"",""ja"")"),"診断基準を満たしました")</f>
        <v>診断基準を満たしました</v>
      </c>
      <c r="H1631" s="3" t="str">
        <f ca="1">IFERROR(__xludf.DUMMYFUNCTION("googletranslate(E1631,""en"",""ja"")"),"医学的診断を確立するために被験者が満たした診断基準の説明。")</f>
        <v>医学的診断を確立するために被験者が満たした診断基準の説明。</v>
      </c>
      <c r="I1631" s="3" t="str">
        <f ca="1">IFERROR(__xludf.DUMMYFUNCTION("googletranslate(F1631,""en"",""ja"")"),"どの診断基準が満たされましたか")</f>
        <v>どの診断基準が満たされましたか</v>
      </c>
    </row>
    <row r="1632" spans="1:9" ht="45">
      <c r="A1632" s="3" t="s">
        <v>6</v>
      </c>
      <c r="B1632" s="3" t="s">
        <v>6887</v>
      </c>
      <c r="C1632" s="3" t="s">
        <v>6888</v>
      </c>
      <c r="D1632" s="3" t="s">
        <v>6889</v>
      </c>
      <c r="E1632" s="3" t="s">
        <v>6890</v>
      </c>
      <c r="F1632" s="3" t="s">
        <v>6891</v>
      </c>
      <c r="G1632" s="3" t="str">
        <f ca="1">IFERROR(__xludf.DUMMYFUNCTION("googletranslate(D1632,""en"",""ja"")"),"11-デオキシコルチコイド; 11-デオキシコルチコステロイド; 11-デオキシコルチコステロイド")</f>
        <v>11-デオキシコルチコイド; 11-デオキシコルチコステロイド; 11-デオキシコルチコステロイド</v>
      </c>
      <c r="H1632" s="3" t="str">
        <f ca="1">IFERROR(__xludf.DUMMYFUNCTION("googletranslate(E1632,""en"",""ja"")"),"生物学的標本中の合計 11-デオキシコルチコステロイドの測定。")</f>
        <v>生物学的標本中の合計 11-デオキシコルチコステロイドの測定。</v>
      </c>
      <c r="I1632" s="3" t="str">
        <f ca="1">IFERROR(__xludf.DUMMYFUNCTION("googletranslate(F1632,""en"",""ja"")"),"11-デオキシコルチコステロイドの測定")</f>
        <v>11-デオキシコルチコステロイドの測定</v>
      </c>
    </row>
    <row r="1633" spans="1:9" ht="30">
      <c r="A1633" s="3" t="s">
        <v>6</v>
      </c>
      <c r="B1633" s="3" t="s">
        <v>6892</v>
      </c>
      <c r="C1633" s="3" t="s">
        <v>6893</v>
      </c>
      <c r="D1633" s="3" t="s">
        <v>6893</v>
      </c>
      <c r="E1633" s="3" t="s">
        <v>6894</v>
      </c>
      <c r="F1633" s="3" t="s">
        <v>6895</v>
      </c>
      <c r="G1633" s="3" t="str">
        <f ca="1">IFERROR(__xludf.DUMMYFUNCTION("googletranslate(D1633,""en"",""ja"")"),"11-デオキシコルチゾール")</f>
        <v>11-デオキシコルチゾール</v>
      </c>
      <c r="H1633" s="3" t="str">
        <f ca="1">IFERROR(__xludf.DUMMYFUNCTION("googletranslate(E1633,""en"",""ja"")"),"生物学的標本中の 11-デオキシコルチゾールの測定。")</f>
        <v>生物学的標本中の 11-デオキシコルチゾールの測定。</v>
      </c>
      <c r="I1633" s="3" t="str">
        <f ca="1">IFERROR(__xludf.DUMMYFUNCTION("googletranslate(F1633,""en"",""ja"")"),"11-デオキシコルチゾールの測定")</f>
        <v>11-デオキシコルチゾールの測定</v>
      </c>
    </row>
    <row r="1634" spans="1:9" ht="30">
      <c r="A1634" s="3" t="s">
        <v>6</v>
      </c>
      <c r="B1634" s="3" t="s">
        <v>6896</v>
      </c>
      <c r="C1634" s="3" t="s">
        <v>6897</v>
      </c>
      <c r="D1634" s="3" t="s">
        <v>6897</v>
      </c>
      <c r="E1634" s="3" t="s">
        <v>6898</v>
      </c>
      <c r="F1634" s="3" t="s">
        <v>6899</v>
      </c>
      <c r="G1634" s="3" t="str">
        <f ca="1">IFERROR(__xludf.DUMMYFUNCTION("googletranslate(D1634,""en"",""ja"")"),"21-デオキシコルチゾール")</f>
        <v>21-デオキシコルチゾール</v>
      </c>
      <c r="H1634" s="3" t="str">
        <f ca="1">IFERROR(__xludf.DUMMYFUNCTION("googletranslate(E1634,""en"",""ja"")"),"生物学的標本中の 21-デオキシコルチゾールの測定。")</f>
        <v>生物学的標本中の 21-デオキシコルチゾールの測定。</v>
      </c>
      <c r="I1634" s="3" t="str">
        <f ca="1">IFERROR(__xludf.DUMMYFUNCTION("googletranslate(F1634,""en"",""ja"")"),"21-デオキシコルチゾールの測定")</f>
        <v>21-デオキシコルチゾールの測定</v>
      </c>
    </row>
    <row r="1635" spans="1:9" ht="60">
      <c r="A1635" s="3" t="s">
        <v>6</v>
      </c>
      <c r="B1635" s="3" t="s">
        <v>6900</v>
      </c>
      <c r="C1635" s="3" t="s">
        <v>6901</v>
      </c>
      <c r="D1635" s="3" t="s">
        <v>6902</v>
      </c>
      <c r="E1635" s="3" t="s">
        <v>6903</v>
      </c>
      <c r="F1635" s="3" t="s">
        <v>6904</v>
      </c>
      <c r="G1635" s="3" t="str">
        <f ca="1">IFERROR(__xludf.DUMMYFUNCTION("googletranslate(D1635,""en"",""ja"")"),"11-デオキシコルチコステロン; 21-ヒドロキシプロゲステロン;コルテキソン;デオキシコルトン;デソキシコルトン")</f>
        <v>11-デオキシコルチコステロン; 21-ヒドロキシプロゲステロン;コルテキソン;デオキシコルトン;デソキシコルトン</v>
      </c>
      <c r="H1635" s="3" t="str">
        <f ca="1">IFERROR(__xludf.DUMMYFUNCTION("googletranslate(E1635,""en"",""ja"")"),"生物学的標本中の 11-デオキシコルチコステロンの測定。")</f>
        <v>生物学的標本中の 11-デオキシコルチコステロンの測定。</v>
      </c>
      <c r="I1635" s="3" t="str">
        <f ca="1">IFERROR(__xludf.DUMMYFUNCTION("googletranslate(F1635,""en"",""ja"")"),"11-デオキシコルチコステロンの測定")</f>
        <v>11-デオキシコルチコステロンの測定</v>
      </c>
    </row>
    <row r="1636" spans="1:9" ht="30">
      <c r="A1636" s="3" t="s">
        <v>6</v>
      </c>
      <c r="B1636" s="3" t="s">
        <v>6905</v>
      </c>
      <c r="C1636" s="3" t="s">
        <v>6906</v>
      </c>
      <c r="D1636" s="3" t="s">
        <v>6906</v>
      </c>
      <c r="E1636" s="3" t="s">
        <v>6907</v>
      </c>
      <c r="F1636" s="3" t="s">
        <v>6908</v>
      </c>
      <c r="G1636" s="3" t="str">
        <f ca="1">IFERROR(__xludf.DUMMYFUNCTION("googletranslate(D1636,""en"",""ja"")"),"21-デオキシコルチコステロン")</f>
        <v>21-デオキシコルチコステロン</v>
      </c>
      <c r="H1636" s="3" t="str">
        <f ca="1">IFERROR(__xludf.DUMMYFUNCTION("googletranslate(E1636,""en"",""ja"")"),"生物学的標本中の 21-デオキシコルチコステロンの測定。")</f>
        <v>生物学的標本中の 21-デオキシコルチコステロンの測定。</v>
      </c>
      <c r="I1636" s="3" t="str">
        <f ca="1">IFERROR(__xludf.DUMMYFUNCTION("googletranslate(F1636,""en"",""ja"")"),"21-デオキシコルチコステロンの測定")</f>
        <v>21-デオキシコルチコステロンの測定</v>
      </c>
    </row>
    <row r="1637" spans="1:9" ht="30">
      <c r="A1637" s="3" t="s">
        <v>185</v>
      </c>
      <c r="B1637" s="3" t="s">
        <v>6909</v>
      </c>
      <c r="C1637" s="3" t="s">
        <v>6910</v>
      </c>
      <c r="D1637" s="3" t="s">
        <v>6910</v>
      </c>
      <c r="E1637" s="3" t="s">
        <v>6911</v>
      </c>
      <c r="F1637" s="3" t="s">
        <v>6912</v>
      </c>
      <c r="G1637" s="3" t="str">
        <f ca="1">IFERROR(__xludf.DUMMYFUNCTION("googletranslate(D1637,""en"",""ja"")"),"ダイエットヨーグルト")</f>
        <v>ダイエットヨーグルト</v>
      </c>
      <c r="H1637" s="3" t="str">
        <f ca="1">IFERROR(__xludf.DUMMYFUNCTION("googletranslate(E1637,""en"",""ja"")"),"栄養製品または食事、またはその一部に含まれるヨーグルトの測定。")</f>
        <v>栄養製品または食事、またはその一部に含まれるヨーグルトの測定。</v>
      </c>
      <c r="I1637" s="3" t="str">
        <f ca="1">IFERROR(__xludf.DUMMYFUNCTION("googletranslate(F1637,""en"",""ja"")"),"ダイエットヨーグルトの測定")</f>
        <v>ダイエットヨーグルトの測定</v>
      </c>
    </row>
    <row r="1638" spans="1:9" ht="45">
      <c r="A1638" s="3" t="s">
        <v>159</v>
      </c>
      <c r="B1638" s="3" t="s">
        <v>6913</v>
      </c>
      <c r="C1638" s="3" t="s">
        <v>6914</v>
      </c>
      <c r="D1638" s="3" t="s">
        <v>6914</v>
      </c>
      <c r="E1638" s="3" t="s">
        <v>6915</v>
      </c>
      <c r="F1638" s="3" t="s">
        <v>6916</v>
      </c>
      <c r="G1638" s="3" t="str">
        <f ca="1">IFERROR(__xludf.DUMMYFUNCTION("googletranslate(D1638,""en"",""ja"")"),"異常感覚")</f>
        <v>異常感覚</v>
      </c>
      <c r="H1638" s="3" t="str">
        <f ca="1">IFERROR(__xludf.DUMMYFUNCTION("googletranslate(E1638,""en"",""ja"")"),"感覚異常（通常、灼熱感、うずき、またはしびれと表現される、異常で不快な感覚を引き起こす感覚の歪み）の評価。")</f>
        <v>感覚異常（通常、灼熱感、うずき、またはしびれと表現される、異常で不快な感覚を引き起こす感覚の歪み）の評価。</v>
      </c>
      <c r="I1638" s="3" t="str">
        <f ca="1">IFERROR(__xludf.DUMMYFUNCTION("googletranslate(F1638,""en"",""ja"")"),"異常感覚の評価")</f>
        <v>異常感覚の評価</v>
      </c>
    </row>
    <row r="1639" spans="1:9" ht="45">
      <c r="A1639" s="3" t="s">
        <v>159</v>
      </c>
      <c r="B1639" s="3" t="s">
        <v>6917</v>
      </c>
      <c r="C1639" s="3" t="s">
        <v>6918</v>
      </c>
      <c r="D1639" s="3" t="s">
        <v>6918</v>
      </c>
      <c r="E1639" s="3" t="s">
        <v>6919</v>
      </c>
      <c r="F1639" s="3" t="s">
        <v>6920</v>
      </c>
      <c r="G1639" s="3" t="str">
        <f ca="1">IFERROR(__xludf.DUMMYFUNCTION("googletranslate(D1639,""en"",""ja"")"),"ジストニア")</f>
        <v>ジストニア</v>
      </c>
      <c r="H1639" s="3" t="str">
        <f ca="1">IFERROR(__xludf.DUMMYFUNCTION("googletranslate(E1639,""en"",""ja"")"),"ジストニア（異常な動きや姿勢を引き起こす持続的または断続的な筋肉の収縮を特徴とする運動障害）の評価。")</f>
        <v>ジストニア（異常な動きや姿勢を引き起こす持続的または断続的な筋肉の収縮を特徴とする運動障害）の評価。</v>
      </c>
      <c r="I1639" s="3" t="str">
        <f ca="1">IFERROR(__xludf.DUMMYFUNCTION("googletranslate(F1639,""en"",""ja"")"),"ジストニアの評価")</f>
        <v>ジストニアの評価</v>
      </c>
    </row>
    <row r="1640" spans="1:9" ht="30">
      <c r="A1640" s="3" t="s">
        <v>6</v>
      </c>
      <c r="B1640" s="3" t="s">
        <v>6921</v>
      </c>
      <c r="C1640" s="3" t="s">
        <v>6922</v>
      </c>
      <c r="D1640" s="3" t="s">
        <v>6922</v>
      </c>
      <c r="E1640" s="3" t="s">
        <v>6923</v>
      </c>
      <c r="F1640" s="3" t="s">
        <v>6924</v>
      </c>
      <c r="G1640" s="3" t="str">
        <f ca="1">IFERROR(__xludf.DUMMYFUNCTION("googletranslate(D1640,""en"",""ja"")"),"ジストロフィン")</f>
        <v>ジストロフィン</v>
      </c>
      <c r="H1640" s="3" t="str">
        <f ca="1">IFERROR(__xludf.DUMMYFUNCTION("googletranslate(E1640,""en"",""ja"")"),"生物学的標本中の総ジストロフィンの測定。")</f>
        <v>生物学的標本中の総ジストロフィンの測定。</v>
      </c>
      <c r="I1640" s="3" t="str">
        <f ca="1">IFERROR(__xludf.DUMMYFUNCTION("googletranslate(F1640,""en"",""ja"")"),"ジストロフィンの測定")</f>
        <v>ジストロフィンの測定</v>
      </c>
    </row>
    <row r="1641" spans="1:9" ht="45">
      <c r="A1641" s="3" t="s">
        <v>6</v>
      </c>
      <c r="B1641" s="3" t="s">
        <v>6925</v>
      </c>
      <c r="C1641" s="3" t="s">
        <v>6926</v>
      </c>
      <c r="D1641" s="3" t="s">
        <v>6927</v>
      </c>
      <c r="E1641" s="3" t="s">
        <v>6928</v>
      </c>
      <c r="F1641" s="3" t="s">
        <v>6929</v>
      </c>
      <c r="G1641" s="3" t="str">
        <f ca="1">IFERROR(__xludf.DUMMYFUNCTION("googletranslate(D1641,""en"",""ja"")"),"ジストロフィンの実際/対照。ジストロフィンの実際/正常")</f>
        <v>ジストロフィンの実際/対照。ジストロフィンの実際/正常</v>
      </c>
      <c r="H1641" s="3" t="str">
        <f ca="1">IFERROR(__xludf.DUMMYFUNCTION("googletranslate(E1641,""en"",""ja"")"),"対照検体と比較した場合の、被験者の検体中のジストロフィンの相対測定値（比率またはパーセンテージ）。")</f>
        <v>対照検体と比較した場合の、被験者の検体中のジストロフィンの相対測定値（比率またはパーセンテージ）。</v>
      </c>
      <c r="I1641" s="3" t="str">
        <f ca="1">IFERROR(__xludf.DUMMYFUNCTION("googletranslate(F1641,""en"",""ja"")"),"ジストロフィンの実際対対照比の測定")</f>
        <v>ジストロフィンの実際対対照比の測定</v>
      </c>
    </row>
    <row r="1642" spans="1:9" ht="30">
      <c r="A1642" s="3" t="s">
        <v>185</v>
      </c>
      <c r="B1642" s="3" t="s">
        <v>6930</v>
      </c>
      <c r="C1642" s="3" t="s">
        <v>6931</v>
      </c>
      <c r="D1642" s="3" t="s">
        <v>6931</v>
      </c>
      <c r="E1642" s="3" t="s">
        <v>6932</v>
      </c>
      <c r="F1642" s="3" t="s">
        <v>6933</v>
      </c>
      <c r="G1642" s="3" t="str">
        <f ca="1">IFERROR(__xludf.DUMMYFUNCTION("googletranslate(D1642,""en"",""ja"")"),"食物亜鉛")</f>
        <v>食物亜鉛</v>
      </c>
      <c r="H1642" s="3" t="str">
        <f ca="1">IFERROR(__xludf.DUMMYFUNCTION("googletranslate(E1642,""en"",""ja"")"),"栄養製品または食事、またはその一部に含まれる総亜鉛の測定。")</f>
        <v>栄養製品または食事、またはその一部に含まれる総亜鉛の測定。</v>
      </c>
      <c r="I1642" s="3" t="str">
        <f ca="1">IFERROR(__xludf.DUMMYFUNCTION("googletranslate(F1642,""en"",""ja"")"),"食事中の亜鉛の測定")</f>
        <v>食事中の亜鉛の測定</v>
      </c>
    </row>
    <row r="1643" spans="1:9" ht="30">
      <c r="A1643" s="3" t="s">
        <v>6</v>
      </c>
      <c r="B1643" s="3" t="s">
        <v>6934</v>
      </c>
      <c r="C1643" s="3" t="s">
        <v>6935</v>
      </c>
      <c r="D1643" s="3" t="s">
        <v>6935</v>
      </c>
      <c r="E1643" s="3" t="s">
        <v>6936</v>
      </c>
      <c r="F1643" s="3" t="s">
        <v>6937</v>
      </c>
      <c r="G1643" s="3" t="str">
        <f ca="1">IFERROR(__xludf.DUMMYFUNCTION("googletranslate(D1643,""en"",""ja"")"),"ジアゼパム")</f>
        <v>ジアゼパム</v>
      </c>
      <c r="H1643" s="3" t="str">
        <f ca="1">IFERROR(__xludf.DUMMYFUNCTION("googletranslate(E1643,""en"",""ja"")"),"生物学的標本中に存在するジアゼパムの測定。")</f>
        <v>生物学的標本中に存在するジアゼパムの測定。</v>
      </c>
      <c r="I1643" s="3" t="str">
        <f ca="1">IFERROR(__xludf.DUMMYFUNCTION("googletranslate(F1643,""en"",""ja"")"),"ジアゼパムの測定")</f>
        <v>ジアゼパムの測定</v>
      </c>
    </row>
    <row r="1644" spans="1:9" ht="30">
      <c r="A1644" s="3" t="s">
        <v>6</v>
      </c>
      <c r="B1644" s="3" t="s">
        <v>6938</v>
      </c>
      <c r="C1644" s="3" t="s">
        <v>6939</v>
      </c>
      <c r="D1644" s="3" t="s">
        <v>6940</v>
      </c>
      <c r="E1644" s="3" t="s">
        <v>6941</v>
      </c>
      <c r="F1644" s="3" t="s">
        <v>6942</v>
      </c>
      <c r="G1644" s="3" t="str">
        <f ca="1">IFERROR(__xludf.DUMMYFUNCTION("googletranslate(D1644,""en"",""ja"")"),"E1S;エストロン 3-硫酸塩;硫酸エストロン")</f>
        <v>E1S;エストロン 3-硫酸塩;硫酸エストロン</v>
      </c>
      <c r="H1644" s="3" t="str">
        <f ca="1">IFERROR(__xludf.DUMMYFUNCTION("googletranslate(E1644,""en"",""ja"")"),"生物学的標本中の硫酸エストロンの測定。")</f>
        <v>生物学的標本中の硫酸エストロンの測定。</v>
      </c>
      <c r="I1644" s="3" t="str">
        <f ca="1">IFERROR(__xludf.DUMMYFUNCTION("googletranslate(F1644,""en"",""ja"")"),"硫酸エストロンの測定")</f>
        <v>硫酸エストロンの測定</v>
      </c>
    </row>
    <row r="1645" spans="1:9" ht="45">
      <c r="A1645" s="3" t="s">
        <v>51</v>
      </c>
      <c r="B1645" s="3" t="s">
        <v>6943</v>
      </c>
      <c r="C1645" s="3" t="s">
        <v>6944</v>
      </c>
      <c r="D1645" s="3" t="s">
        <v>6945</v>
      </c>
      <c r="E1645" s="3" t="s">
        <v>6946</v>
      </c>
      <c r="F1645" s="3" t="s">
        <v>6947</v>
      </c>
      <c r="G1645" s="3" t="str">
        <f ca="1">IFERROR(__xludf.DUMMYFUNCTION("googletranslate(D1645,""en"",""ja"")"),"3-オキソブタン酸エチル;アセト酢酸エチル;エチルアセト酢酸;アセチル酢酸エチル")</f>
        <v>3-オキソブタン酸エチル;アセト酢酸エチル;エチルアセト酢酸;アセチル酢酸エチル</v>
      </c>
      <c r="H1645" s="3" t="str">
        <f ca="1">IFERROR(__xludf.DUMMYFUNCTION("googletranslate(E1645,""en"",""ja"")"),"試料中のアセト酢酸エチルの測定。")</f>
        <v>試料中のアセト酢酸エチルの測定。</v>
      </c>
      <c r="I1645" s="3" t="str">
        <f ca="1">IFERROR(__xludf.DUMMYFUNCTION("googletranslate(F1645,""en"",""ja"")"),"アセト酢酸エチルの測定")</f>
        <v>アセト酢酸エチルの測定</v>
      </c>
    </row>
    <row r="1646" spans="1:9" ht="45">
      <c r="A1646" s="3" t="s">
        <v>6</v>
      </c>
      <c r="B1646" s="3" t="s">
        <v>6948</v>
      </c>
      <c r="C1646" s="3" t="s">
        <v>6949</v>
      </c>
      <c r="D1646" s="3" t="s">
        <v>6950</v>
      </c>
      <c r="E1646" s="3" t="s">
        <v>6951</v>
      </c>
      <c r="F1646" s="3" t="s">
        <v>6952</v>
      </c>
      <c r="G1646" s="3" t="str">
        <f ca="1">IFERROR(__xludf.DUMMYFUNCTION("googletranslate(D1646,""en"",""ja"")"),"EAG;推定平均血糖値;グルコース、推定値;グルコース、推定平均値")</f>
        <v>EAG;推定平均血糖値;グルコース、推定値;グルコース、推定平均値</v>
      </c>
      <c r="H1646" s="3" t="str">
        <f ca="1">IFERROR(__xludf.DUMMYFUNCTION("googletranslate(E1646,""en"",""ja"")"),"糖化ヘモグロビンの値に基づいて計算された血糖値の推定値")</f>
        <v>糖化ヘモグロビンの値に基づいて計算された血糖値の推定値</v>
      </c>
      <c r="I1646" s="3" t="str">
        <f ca="1">IFERROR(__xludf.DUMMYFUNCTION("googletranslate(F1646,""en"",""ja"")"),"推定平均血糖値測定値")</f>
        <v>推定平均血糖値測定値</v>
      </c>
    </row>
    <row r="1647" spans="1:9" ht="30">
      <c r="A1647" s="3" t="s">
        <v>67</v>
      </c>
      <c r="B1647" s="3" t="s">
        <v>6953</v>
      </c>
      <c r="C1647" s="3" t="s">
        <v>6954</v>
      </c>
      <c r="D1647" s="3" t="s">
        <v>6955</v>
      </c>
      <c r="E1647" s="3" t="s">
        <v>6956</v>
      </c>
      <c r="F1647" s="3" t="s">
        <v>6957</v>
      </c>
      <c r="G1647" s="3" t="str">
        <f ca="1">IFERROR(__xludf.DUMMYFUNCTION("googletranslate(D1647,""en"",""ja"")"),"エプスタイン・バーのDNA。ヒトヘルペスウイルス 4 DNA")</f>
        <v>エプスタイン・バーのDNA。ヒトヘルペスウイルス 4 DNA</v>
      </c>
      <c r="H1647" s="3" t="str">
        <f ca="1">IFERROR(__xludf.DUMMYFUNCTION("googletranslate(E1647,""en"",""ja"")"),"生物学的標本中のエプスタイン・バーウイルス DNA の測定。")</f>
        <v>生物学的標本中のエプスタイン・バーウイルス DNA の測定。</v>
      </c>
      <c r="I1647" s="3" t="str">
        <f ca="1">IFERROR(__xludf.DUMMYFUNCTION("googletranslate(F1647,""en"",""ja"")"),"エプスタイン・バー DNA 測定")</f>
        <v>エプスタイン・バー DNA 測定</v>
      </c>
    </row>
    <row r="1648" spans="1:9" ht="30">
      <c r="A1648" s="3" t="s">
        <v>67</v>
      </c>
      <c r="B1648" s="3" t="s">
        <v>6958</v>
      </c>
      <c r="C1648" s="3" t="s">
        <v>6959</v>
      </c>
      <c r="D1648" s="3" t="s">
        <v>6959</v>
      </c>
      <c r="E1648" s="3" t="s">
        <v>6960</v>
      </c>
      <c r="F1648" s="3" t="s">
        <v>6961</v>
      </c>
      <c r="G1648" s="3" t="str">
        <f ca="1">IFERROR(__xludf.DUMMYFUNCTION("googletranslate(D1648,""en"",""ja"")"),"エプスタイン・バー早期抗原")</f>
        <v>エプスタイン・バー早期抗原</v>
      </c>
      <c r="H1648" s="3" t="str">
        <f ca="1">IFERROR(__xludf.DUMMYFUNCTION("googletranslate(E1648,""en"",""ja"")"),"生物学的標本中のエプスタイン・バー初期抗原の測定。")</f>
        <v>生物学的標本中のエプスタイン・バー初期抗原の測定。</v>
      </c>
      <c r="I1648" s="3" t="str">
        <f ca="1">IFERROR(__xludf.DUMMYFUNCTION("googletranslate(F1648,""en"",""ja"")"),"エプスタイン・バー早期抗原測定")</f>
        <v>エプスタイン・バー早期抗原測定</v>
      </c>
    </row>
    <row r="1649" spans="1:9" ht="30">
      <c r="A1649" s="3" t="s">
        <v>67</v>
      </c>
      <c r="B1649" s="3" t="s">
        <v>6962</v>
      </c>
      <c r="C1649" s="3" t="s">
        <v>6963</v>
      </c>
      <c r="D1649" s="3" t="s">
        <v>6963</v>
      </c>
      <c r="E1649" s="3" t="s">
        <v>6964</v>
      </c>
      <c r="F1649" s="3" t="s">
        <v>6965</v>
      </c>
      <c r="G1649" s="3" t="str">
        <f ca="1">IFERROR(__xludf.DUMMYFUNCTION("googletranslate(D1649,""en"",""ja"")"),"エプスタイン・バー核抗原")</f>
        <v>エプスタイン・バー核抗原</v>
      </c>
      <c r="H1649" s="3" t="str">
        <f ca="1">IFERROR(__xludf.DUMMYFUNCTION("googletranslate(E1649,""en"",""ja"")"),"生物学的標本中のエプスタイン・バー核抗原の測定。")</f>
        <v>生物学的標本中のエプスタイン・バー核抗原の測定。</v>
      </c>
      <c r="I1649" s="3" t="str">
        <f ca="1">IFERROR(__xludf.DUMMYFUNCTION("googletranslate(F1649,""en"",""ja"")"),"エプスタイン・バー核抗原測定")</f>
        <v>エプスタイン・バー核抗原測定</v>
      </c>
    </row>
    <row r="1650" spans="1:9">
      <c r="A1650" s="3" t="s">
        <v>67</v>
      </c>
      <c r="B1650" s="3" t="s">
        <v>6966</v>
      </c>
      <c r="C1650" s="3" t="s">
        <v>6967</v>
      </c>
      <c r="D1650" s="3" t="s">
        <v>6967</v>
      </c>
      <c r="E1650" s="3" t="s">
        <v>6968</v>
      </c>
      <c r="F1650" s="3" t="s">
        <v>6969</v>
      </c>
      <c r="G1650" s="3" t="str">
        <f ca="1">IFERROR(__xludf.DUMMYFUNCTION("googletranslate(D1650,""en"",""ja"")"),"エボラウイルス")</f>
        <v>エボラウイルス</v>
      </c>
      <c r="H1650" s="3" t="str">
        <f ca="1">IFERROR(__xludf.DUMMYFUNCTION("googletranslate(E1650,""en"",""ja"")"),"生物学的標本中のエボラウイルスの測定。")</f>
        <v>生物学的標本中のエボラウイルスの測定。</v>
      </c>
      <c r="I1650" s="3" t="str">
        <f ca="1">IFERROR(__xludf.DUMMYFUNCTION("googletranslate(F1650,""en"",""ja"")"),"エボラウイルスの測定")</f>
        <v>エボラウイルスの測定</v>
      </c>
    </row>
    <row r="1651" spans="1:9" ht="30">
      <c r="A1651" s="3" t="s">
        <v>67</v>
      </c>
      <c r="B1651" s="3" t="s">
        <v>6970</v>
      </c>
      <c r="C1651" s="3" t="s">
        <v>6971</v>
      </c>
      <c r="D1651" s="3" t="s">
        <v>6971</v>
      </c>
      <c r="E1651" s="3" t="s">
        <v>6972</v>
      </c>
      <c r="F1651" s="3" t="s">
        <v>6973</v>
      </c>
      <c r="G1651" s="3" t="str">
        <f ca="1">IFERROR(__xludf.DUMMYFUNCTION("googletranslate(D1651,""en"",""ja"")"),"エプスタイン・バーウイルス")</f>
        <v>エプスタイン・バーウイルス</v>
      </c>
      <c r="H1651" s="3" t="str">
        <f ca="1">IFERROR(__xludf.DUMMYFUNCTION("googletranslate(E1651,""en"",""ja"")"),"生物学的標本中のエプスタイン・バーウイルスの測定。")</f>
        <v>生物学的標本中のエプスタイン・バーウイルスの測定。</v>
      </c>
      <c r="I1651" s="3" t="str">
        <f ca="1">IFERROR(__xludf.DUMMYFUNCTION("googletranslate(F1651,""en"",""ja"")"),"エプスタイン・バーウイルスの測定")</f>
        <v>エプスタイン・バーウイルスの測定</v>
      </c>
    </row>
    <row r="1652" spans="1:9" ht="75">
      <c r="A1652" s="3" t="s">
        <v>180</v>
      </c>
      <c r="B1652" s="3" t="s">
        <v>6974</v>
      </c>
      <c r="C1652" s="3" t="s">
        <v>6975</v>
      </c>
      <c r="D1652" s="3" t="s">
        <v>6976</v>
      </c>
      <c r="E1652" s="3" t="s">
        <v>6977</v>
      </c>
      <c r="F1652" s="3" t="s">
        <v>6978</v>
      </c>
      <c r="G1652" s="3" t="str">
        <f ca="1">IFERROR(__xludf.DUMMYFUNCTION("googletranslate(D1652,""en"",""ja"")"),"エプスタイン・バーウイルス抗体プロファイル。エプスタイン・バーウイルス感染状況。エプスタイン・バーウイルスパネル")</f>
        <v>エプスタイン・バーウイルス抗体プロファイル。エプスタイン・バーウイルス感染状況。エプスタイン・バーウイルスパネル</v>
      </c>
      <c r="H1652" s="3" t="str">
        <f ca="1">IFERROR(__xludf.DUMMYFUNCTION("googletranslate(E1652,""en"",""ja"")"),"EBV 抗原抗体検査のパネルに基づくエプスタイン・バーウイルス感染の評価。")</f>
        <v>EBV 抗原抗体検査のパネルに基づくエプスタイン・バーウイルス感染の評価。</v>
      </c>
      <c r="I1652" s="3" t="str">
        <f ca="1">IFERROR(__xludf.DUMMYFUNCTION("googletranslate(F1652,""en"",""ja"")"),"エプスタイン・バーウイルス感染状況")</f>
        <v>エプスタイン・バーウイルス感染状況</v>
      </c>
    </row>
    <row r="1653" spans="1:9" ht="45">
      <c r="A1653" s="3" t="s">
        <v>67</v>
      </c>
      <c r="B1653" s="3" t="s">
        <v>6979</v>
      </c>
      <c r="C1653" s="3" t="s">
        <v>6980</v>
      </c>
      <c r="D1653" s="3" t="s">
        <v>6981</v>
      </c>
      <c r="E1653" s="3" t="s">
        <v>6982</v>
      </c>
      <c r="F1653" s="3" t="s">
        <v>6983</v>
      </c>
      <c r="G1653" s="3" t="str">
        <f ca="1">IFERROR(__xludf.DUMMYFUNCTION("googletranslate(D1653,""en"",""ja"")"),"エプスタイン・バーウイルス潜伏膜タンパク質 1;エプスタイン・バーウイルス LMP1")</f>
        <v>エプスタイン・バーウイルス潜伏膜タンパク質 1;エプスタイン・バーウイルス LMP1</v>
      </c>
      <c r="H1653" s="3" t="str">
        <f ca="1">IFERROR(__xludf.DUMMYFUNCTION("googletranslate(E1653,""en"",""ja"")"),"生物学的標本中のエプスタイン・バーウイルス潜伏膜タンパク質 1 の測定。")</f>
        <v>生物学的標本中のエプスタイン・バーウイルス潜伏膜タンパク質 1 の測定。</v>
      </c>
      <c r="I1653" s="3" t="str">
        <f ca="1">IFERROR(__xludf.DUMMYFUNCTION("googletranslate(F1653,""en"",""ja"")"),"エプスタイン・バーウイルス潜伏膜タンパク質 1 の測定")</f>
        <v>エプスタイン・バーウイルス潜伏膜タンパク質 1 の測定</v>
      </c>
    </row>
    <row r="1654" spans="1:9" ht="45">
      <c r="A1654" s="3" t="s">
        <v>6</v>
      </c>
      <c r="B1654" s="3" t="s">
        <v>6984</v>
      </c>
      <c r="C1654" s="3" t="s">
        <v>6985</v>
      </c>
      <c r="D1654" s="3" t="s">
        <v>6985</v>
      </c>
      <c r="E1654" s="3" t="s">
        <v>6986</v>
      </c>
      <c r="F1654" s="3" t="s">
        <v>6987</v>
      </c>
      <c r="G1654" s="3" t="str">
        <f ca="1">IFERROR(__xludf.DUMMYFUNCTION("googletranslate(D1654,""en"",""ja"")"),"偏心細胞")</f>
        <v>偏心細胞</v>
      </c>
      <c r="H1654" s="3" t="str">
        <f ca="1">IFERROR(__xludf.DUMMYFUNCTION("googletranslate(E1654,""en"",""ja"")"),"生物学的標本中の偏心球（ヘモグロビンが細胞の特定の部分に局在し、局所的な染色として目立つ赤血球）の測定。")</f>
        <v>生物学的標本中の偏心球（ヘモグロビンが細胞の特定の部分に局在し、局所的な染色として目立つ赤血球）の測定。</v>
      </c>
      <c r="I1654" s="3" t="str">
        <f ca="1">IFERROR(__xludf.DUMMYFUNCTION("googletranslate(F1654,""en"",""ja"")"),"偏心球数")</f>
        <v>偏心球数</v>
      </c>
    </row>
    <row r="1655" spans="1:9">
      <c r="A1655" s="3" t="s">
        <v>142</v>
      </c>
      <c r="B1655" s="3" t="s">
        <v>6988</v>
      </c>
      <c r="C1655" s="3" t="s">
        <v>6989</v>
      </c>
      <c r="D1655" s="3" t="s">
        <v>6989</v>
      </c>
      <c r="E1655" s="3" t="s">
        <v>6990</v>
      </c>
      <c r="F1655" s="3" t="s">
        <v>6989</v>
      </c>
      <c r="G1655" s="3" t="str">
        <f ca="1">IFERROR(__xludf.DUMMYFUNCTION("googletranslate(D1655,""en"",""ja"")"),"斑状出血インジケーター")</f>
        <v>斑状出血インジケーター</v>
      </c>
      <c r="H1655" s="3" t="str">
        <f ca="1">IFERROR(__xludf.DUMMYFUNCTION("googletranslate(E1655,""en"",""ja"")"),"斑状出血が存在するかどうかの指標。")</f>
        <v>斑状出血が存在するかどうかの指標。</v>
      </c>
      <c r="I1655" s="3" t="str">
        <f ca="1">IFERROR(__xludf.DUMMYFUNCTION("googletranslate(F1655,""en"",""ja"")"),"斑状出血インジケーター")</f>
        <v>斑状出血インジケーター</v>
      </c>
    </row>
    <row r="1656" spans="1:9" ht="45">
      <c r="A1656" s="3" t="s">
        <v>1255</v>
      </c>
      <c r="B1656" s="3" t="s">
        <v>6991</v>
      </c>
      <c r="C1656" s="3" t="s">
        <v>6992</v>
      </c>
      <c r="D1656" s="3" t="s">
        <v>6993</v>
      </c>
      <c r="E1656" s="3" t="s">
        <v>6994</v>
      </c>
      <c r="F1656" s="3" t="s">
        <v>6995</v>
      </c>
      <c r="G1656" s="3" t="str">
        <f ca="1">IFERROR(__xludf.DUMMYFUNCTION("googletranslate(D1656,""en"",""ja"")"),"ECG 電極の数。 EKG 電極の数。心電図電極の数")</f>
        <v>ECG 電極の数。 EKG 電極の数。心電図電極の数</v>
      </c>
      <c r="H1656" s="3" t="str">
        <f ca="1">IFERROR(__xludf.DUMMYFUNCTION("googletranslate(E1656,""en"",""ja"")"),"評価に使用された心電図電極の数。")</f>
        <v>評価に使用された心電図電極の数。</v>
      </c>
      <c r="I1656" s="3" t="str">
        <f ca="1">IFERROR(__xludf.DUMMYFUNCTION("googletranslate(F1656,""en"",""ja"")"),"心電図電極の数")</f>
        <v>心電図電極の数</v>
      </c>
    </row>
    <row r="1657" spans="1:9" ht="45">
      <c r="A1657" s="3" t="s">
        <v>1255</v>
      </c>
      <c r="B1657" s="3" t="s">
        <v>6996</v>
      </c>
      <c r="C1657" s="3" t="s">
        <v>6997</v>
      </c>
      <c r="D1657" s="3" t="s">
        <v>6997</v>
      </c>
      <c r="E1657" s="3" t="s">
        <v>6998</v>
      </c>
      <c r="F1657" s="3" t="s">
        <v>6997</v>
      </c>
      <c r="G1657" s="3" t="str">
        <f ca="1">IFERROR(__xludf.DUMMYFUNCTION("googletranslate(D1657,""en"",""ja"")"),"エコータイム")</f>
        <v>エコータイム</v>
      </c>
      <c r="H1657" s="3" t="str">
        <f ca="1">IFERROR(__xludf.DUMMYFUNCTION("googletranslate(E1657,""en"",""ja"")"),"励起パルスの印加とピークエコー信号の記録の間の時間（ミリ秒）。 (NCI)")</f>
        <v>励起パルスの印加とピークエコー信号の記録の間の時間（ミリ秒）。 (NCI)</v>
      </c>
      <c r="I1657" s="3" t="str">
        <f ca="1">IFERROR(__xludf.DUMMYFUNCTION("googletranslate(F1657,""en"",""ja"")"),"エコータイム")</f>
        <v>エコータイム</v>
      </c>
    </row>
    <row r="1658" spans="1:9" ht="30">
      <c r="A1658" s="3" t="s">
        <v>67</v>
      </c>
      <c r="B1658" s="3" t="s">
        <v>6999</v>
      </c>
      <c r="C1658" s="3" t="s">
        <v>7000</v>
      </c>
      <c r="D1658" s="3" t="s">
        <v>7000</v>
      </c>
      <c r="E1658" s="3" t="s">
        <v>7001</v>
      </c>
      <c r="F1658" s="3" t="s">
        <v>7002</v>
      </c>
      <c r="G1658" s="3" t="str">
        <f ca="1">IFERROR(__xludf.DUMMYFUNCTION("googletranslate(D1658,""en"",""ja"")"),"エンテロバクター・クロアカエ")</f>
        <v>エンテロバクター・クロアカエ</v>
      </c>
      <c r="H1658" s="3" t="str">
        <f ca="1">IFERROR(__xludf.DUMMYFUNCTION("googletranslate(E1658,""en"",""ja"")"),"生物学的標本中の Enterobacter cloacae の測定。")</f>
        <v>生物学的標本中の Enterobacter cloacae の測定。</v>
      </c>
      <c r="I1658" s="3" t="str">
        <f ca="1">IFERROR(__xludf.DUMMYFUNCTION("googletranslate(F1658,""en"",""ja"")"),"エンテロバクター・クロアカエの測定")</f>
        <v>エンテロバクター・クロアカエの測定</v>
      </c>
    </row>
    <row r="1659" spans="1:9" ht="30">
      <c r="A1659" s="3" t="s">
        <v>67</v>
      </c>
      <c r="B1659" s="3" t="s">
        <v>7003</v>
      </c>
      <c r="C1659" s="3" t="s">
        <v>7004</v>
      </c>
      <c r="D1659" s="3" t="s">
        <v>7004</v>
      </c>
      <c r="E1659" s="3" t="s">
        <v>7005</v>
      </c>
      <c r="F1659" s="3" t="s">
        <v>7006</v>
      </c>
      <c r="G1659" s="3" t="str">
        <f ca="1">IFERROR(__xludf.DUMMYFUNCTION("googletranslate(D1659,""en"",""ja"")"),"エンテロバクター・クロアカエ複合体")</f>
        <v>エンテロバクター・クロアカエ複合体</v>
      </c>
      <c r="H1659" s="3" t="str">
        <f ca="1">IFERROR(__xludf.DUMMYFUNCTION("googletranslate(E1659,""en"",""ja"")"),"生物学的標本中の Enterobacter cloacae 複合体の測定。")</f>
        <v>生物学的標本中の Enterobacter cloacae 複合体の測定。</v>
      </c>
      <c r="I1659" s="3" t="str">
        <f ca="1">IFERROR(__xludf.DUMMYFUNCTION("googletranslate(F1659,""en"",""ja"")"),"エンテロバクター・クロアカエ複合体測定")</f>
        <v>エンテロバクター・クロアカエ複合体測定</v>
      </c>
    </row>
    <row r="1660" spans="1:9" ht="30">
      <c r="A1660" s="3" t="s">
        <v>67</v>
      </c>
      <c r="B1660" s="3" t="s">
        <v>7007</v>
      </c>
      <c r="C1660" s="3" t="s">
        <v>7008</v>
      </c>
      <c r="D1660" s="3" t="s">
        <v>7008</v>
      </c>
      <c r="E1660" s="3" t="s">
        <v>7009</v>
      </c>
      <c r="F1660" s="3" t="s">
        <v>7010</v>
      </c>
      <c r="G1660" s="3" t="str">
        <f ca="1">IFERROR(__xludf.DUMMYFUNCTION("googletranslate(D1660,""en"",""ja"")"),"エンテロバクター・クロアカエ複合体DNA")</f>
        <v>エンテロバクター・クロアカエ複合体DNA</v>
      </c>
      <c r="H1660" s="3" t="str">
        <f ca="1">IFERROR(__xludf.DUMMYFUNCTION("googletranslate(E1660,""en"",""ja"")"),"生物学的標本中の Enterobacter cloacae 複合体 DNA の測定。")</f>
        <v>生物学的標本中の Enterobacter cloacae 複合体 DNA の測定。</v>
      </c>
      <c r="I1660" s="3" t="str">
        <f ca="1">IFERROR(__xludf.DUMMYFUNCTION("googletranslate(F1660,""en"",""ja"")"),"Enterobacter cloacae 複合体 DNA 測定")</f>
        <v>Enterobacter cloacae 複合体 DNA 測定</v>
      </c>
    </row>
    <row r="1661" spans="1:9" ht="30">
      <c r="A1661" s="3" t="s">
        <v>67</v>
      </c>
      <c r="B1661" s="3" t="s">
        <v>7011</v>
      </c>
      <c r="C1661" s="3" t="s">
        <v>7012</v>
      </c>
      <c r="D1661" s="3" t="s">
        <v>7012</v>
      </c>
      <c r="E1661" s="3" t="s">
        <v>7013</v>
      </c>
      <c r="F1661" s="3" t="s">
        <v>7014</v>
      </c>
      <c r="G1661" s="3" t="str">
        <f ca="1">IFERROR(__xludf.DUMMYFUNCTION("googletranslate(D1661,""en"",""ja"")"),"大腸菌志賀様毒素")</f>
        <v>大腸菌志賀様毒素</v>
      </c>
      <c r="H1661" s="3" t="str">
        <f ca="1">IFERROR(__xludf.DUMMYFUNCTION("googletranslate(E1661,""en"",""ja"")"),"生物学的検体中の総大腸菌志賀様毒素の測定。")</f>
        <v>生物学的検体中の総大腸菌志賀様毒素の測定。</v>
      </c>
      <c r="I1661" s="3" t="str">
        <f ca="1">IFERROR(__xludf.DUMMYFUNCTION("googletranslate(F1661,""en"",""ja"")"),"大腸菌志賀様毒素測定")</f>
        <v>大腸菌志賀様毒素測定</v>
      </c>
    </row>
    <row r="1662" spans="1:9" ht="30">
      <c r="A1662" s="3" t="s">
        <v>67</v>
      </c>
      <c r="B1662" s="3" t="s">
        <v>7015</v>
      </c>
      <c r="C1662" s="3" t="s">
        <v>7016</v>
      </c>
      <c r="D1662" s="3" t="s">
        <v>7016</v>
      </c>
      <c r="E1662" s="3" t="s">
        <v>7017</v>
      </c>
      <c r="F1662" s="3" t="s">
        <v>7018</v>
      </c>
      <c r="G1662" s="3" t="str">
        <f ca="1">IFERROR(__xludf.DUMMYFUNCTION("googletranslate(D1662,""en"",""ja"")"),"大腸菌")</f>
        <v>大腸菌</v>
      </c>
      <c r="H1662" s="3" t="str">
        <f ca="1">IFERROR(__xludf.DUMMYFUNCTION("googletranslate(E1662,""en"",""ja"")"),"生物学的標本中の大腸菌の測定。")</f>
        <v>生物学的標本中の大腸菌の測定。</v>
      </c>
      <c r="I1662" s="3" t="str">
        <f ca="1">IFERROR(__xludf.DUMMYFUNCTION("googletranslate(F1662,""en"",""ja"")"),"大腸菌測定")</f>
        <v>大腸菌測定</v>
      </c>
    </row>
    <row r="1663" spans="1:9" ht="30">
      <c r="A1663" s="3" t="s">
        <v>67</v>
      </c>
      <c r="B1663" s="3" t="s">
        <v>7019</v>
      </c>
      <c r="C1663" s="3" t="s">
        <v>7020</v>
      </c>
      <c r="D1663" s="3" t="s">
        <v>7020</v>
      </c>
      <c r="E1663" s="3" t="s">
        <v>7021</v>
      </c>
      <c r="F1663" s="3" t="s">
        <v>7022</v>
      </c>
      <c r="G1663" s="3" t="str">
        <f ca="1">IFERROR(__xludf.DUMMYFUNCTION("googletranslate(D1663,""en"",""ja"")"),"大腸菌DNA")</f>
        <v>大腸菌DNA</v>
      </c>
      <c r="H1663" s="3" t="str">
        <f ca="1">IFERROR(__xludf.DUMMYFUNCTION("googletranslate(E1663,""en"",""ja"")"),"生物学的標本中の大腸菌 DNA の測定。")</f>
        <v>生物学的標本中の大腸菌 DNA の測定。</v>
      </c>
      <c r="I1663" s="3" t="str">
        <f ca="1">IFERROR(__xludf.DUMMYFUNCTION("googletranslate(F1663,""en"",""ja"")"),"大腸菌DNA測定")</f>
        <v>大腸菌DNA測定</v>
      </c>
    </row>
    <row r="1664" spans="1:9" ht="30">
      <c r="A1664" s="3" t="s">
        <v>67</v>
      </c>
      <c r="B1664" s="3" t="s">
        <v>7023</v>
      </c>
      <c r="C1664" s="3" t="s">
        <v>7024</v>
      </c>
      <c r="D1664" s="3" t="s">
        <v>7024</v>
      </c>
      <c r="E1664" s="3" t="s">
        <v>7025</v>
      </c>
      <c r="F1664" s="3" t="s">
        <v>7026</v>
      </c>
      <c r="G1664" s="3" t="str">
        <f ca="1">IFERROR(__xludf.DUMMYFUNCTION("googletranslate(D1664,""en"",""ja"")"),"大腸菌 K1 DNA")</f>
        <v>大腸菌 K1 DNA</v>
      </c>
      <c r="H1664" s="3" t="str">
        <f ca="1">IFERROR(__xludf.DUMMYFUNCTION("googletranslate(E1664,""en"",""ja"")"),"生物学的標本中の大腸菌 K1 DNA の測定。")</f>
        <v>生物学的標本中の大腸菌 K1 DNA の測定。</v>
      </c>
      <c r="I1664" s="3" t="str">
        <f ca="1">IFERROR(__xludf.DUMMYFUNCTION("googletranslate(F1664,""en"",""ja"")"),"大腸菌K1 DNA測定")</f>
        <v>大腸菌K1 DNA測定</v>
      </c>
    </row>
    <row r="1665" spans="1:9" ht="30">
      <c r="A1665" s="3" t="s">
        <v>67</v>
      </c>
      <c r="B1665" s="3" t="s">
        <v>7027</v>
      </c>
      <c r="C1665" s="3" t="s">
        <v>7028</v>
      </c>
      <c r="D1665" s="3" t="s">
        <v>7028</v>
      </c>
      <c r="E1665" s="3" t="s">
        <v>7029</v>
      </c>
      <c r="F1665" s="3" t="s">
        <v>7030</v>
      </c>
      <c r="G1665" s="3" t="str">
        <f ca="1">IFERROR(__xludf.DUMMYFUNCTION("googletranslate(D1665,""en"",""ja"")"),"大腸菌O抗原")</f>
        <v>大腸菌O抗原</v>
      </c>
      <c r="H1665" s="3" t="str">
        <f ca="1">IFERROR(__xludf.DUMMYFUNCTION("googletranslate(E1665,""en"",""ja"")"),"生物学的標本中の大腸菌 O 抗原の測定。")</f>
        <v>生物学的標本中の大腸菌 O 抗原の測定。</v>
      </c>
      <c r="I1665" s="3" t="str">
        <f ca="1">IFERROR(__xludf.DUMMYFUNCTION("googletranslate(F1665,""en"",""ja"")"),"大腸菌O抗原測定")</f>
        <v>大腸菌O抗原測定</v>
      </c>
    </row>
    <row r="1666" spans="1:9" ht="45">
      <c r="A1666" s="3" t="s">
        <v>6</v>
      </c>
      <c r="B1666" s="3" t="s">
        <v>7031</v>
      </c>
      <c r="C1666" s="3" t="s">
        <v>7032</v>
      </c>
      <c r="D1666" s="3" t="s">
        <v>7033</v>
      </c>
      <c r="E1666" s="3" t="s">
        <v>7034</v>
      </c>
      <c r="F1666" s="3" t="s">
        <v>7035</v>
      </c>
      <c r="G1666" s="3" t="str">
        <f ca="1">IFERROR(__xludf.DUMMYFUNCTION("googletranslate(D1666,""en"",""ja"")"),"好酸球カチオン性タンパク質;リボヌクレアーゼ A ファミリー メンバー 3; RNase 3")</f>
        <v>好酸球カチオン性タンパク質;リボヌクレアーゼ A ファミリー メンバー 3; RNase 3</v>
      </c>
      <c r="H1666" s="3" t="str">
        <f ca="1">IFERROR(__xludf.DUMMYFUNCTION("googletranslate(E1666,""en"",""ja"")"),"生物学的標本中の好酸球カチオン性タンパク質の測定。")</f>
        <v>生物学的標本中の好酸球カチオン性タンパク質の測定。</v>
      </c>
      <c r="I1666" s="3" t="str">
        <f ca="1">IFERROR(__xludf.DUMMYFUNCTION("googletranslate(F1666,""en"",""ja"")"),"好酸球カチオン性タンパク質の測定")</f>
        <v>好酸球カチオン性タンパク質の測定</v>
      </c>
    </row>
    <row r="1667" spans="1:9">
      <c r="A1667" s="3" t="s">
        <v>2904</v>
      </c>
      <c r="B1667" s="3" t="s">
        <v>7036</v>
      </c>
      <c r="C1667" s="3" t="s">
        <v>7037</v>
      </c>
      <c r="D1667" s="3" t="s">
        <v>7037</v>
      </c>
      <c r="E1667" s="3" t="s">
        <v>7038</v>
      </c>
      <c r="F1667" s="3" t="s">
        <v>7039</v>
      </c>
      <c r="G1667" s="3" t="str">
        <f ca="1">IFERROR(__xludf.DUMMYFUNCTION("googletranslate(D1667,""en"",""ja"")"),"電流センサーの種類")</f>
        <v>電流センサーの種類</v>
      </c>
      <c r="H1667" s="3" t="str">
        <f ca="1">IFERROR(__xludf.DUMMYFUNCTION("googletranslate(E1667,""en"",""ja"")"),"電流の検出に使用されるセンサーの説明。")</f>
        <v>電流の検出に使用されるセンサーの説明。</v>
      </c>
      <c r="I1667" s="3" t="str">
        <f ca="1">IFERROR(__xludf.DUMMYFUNCTION("googletranslate(F1667,""en"",""ja"")"),"電流センサーの種類")</f>
        <v>電流センサーの種類</v>
      </c>
    </row>
    <row r="1668" spans="1:9" ht="45">
      <c r="A1668" s="3" t="s">
        <v>6</v>
      </c>
      <c r="B1668" s="3" t="s">
        <v>7040</v>
      </c>
      <c r="C1668" s="3" t="s">
        <v>7041</v>
      </c>
      <c r="D1668" s="3" t="s">
        <v>7041</v>
      </c>
      <c r="E1668" s="3" t="s">
        <v>7042</v>
      </c>
      <c r="F1668" s="3" t="s">
        <v>7043</v>
      </c>
      <c r="G1668" s="3" t="str">
        <f ca="1">IFERROR(__xludf.DUMMYFUNCTION("googletranslate(D1668,""en"",""ja"")"),"エカリン凝固時間")</f>
        <v>エカリン凝固時間</v>
      </c>
      <c r="H1668" s="3" t="str">
        <f ca="1">IFERROR(__xludf.DUMMYFUNCTION("googletranslate(E1668,""en"",""ja"")"),"メイゾトロンビンの生成に基づく、生物学的検体中のトロンビン阻害剤の活性の測定。")</f>
        <v>メイゾトロンビンの生成に基づく、生物学的検体中のトロンビン阻害剤の活性の測定。</v>
      </c>
      <c r="I1668" s="3" t="str">
        <f ca="1">IFERROR(__xludf.DUMMYFUNCTION("googletranslate(F1668,""en"",""ja"")"),"エカリン凝固時間測定")</f>
        <v>エカリン凝固時間測定</v>
      </c>
    </row>
    <row r="1669" spans="1:9" ht="30">
      <c r="A1669" s="3" t="s">
        <v>142</v>
      </c>
      <c r="B1669" s="3" t="s">
        <v>7044</v>
      </c>
      <c r="C1669" s="3" t="s">
        <v>7045</v>
      </c>
      <c r="D1669" s="3" t="s">
        <v>7045</v>
      </c>
      <c r="E1669" s="3" t="s">
        <v>7046</v>
      </c>
      <c r="F1669" s="3" t="s">
        <v>7045</v>
      </c>
      <c r="G1669" s="3" t="str">
        <f ca="1">IFERROR(__xludf.DUMMYFUNCTION("googletranslate(D1669,""en"",""ja"")"),"子宮外妊娠の指標")</f>
        <v>子宮外妊娠の指標</v>
      </c>
      <c r="H1669" s="3" t="str">
        <f ca="1">IFERROR(__xludf.DUMMYFUNCTION("googletranslate(E1669,""en"",""ja"")"),"子宮外妊娠が発生したかどうかを示す指標。")</f>
        <v>子宮外妊娠が発生したかどうかを示す指標。</v>
      </c>
      <c r="I1669" s="3" t="str">
        <f ca="1">IFERROR(__xludf.DUMMYFUNCTION("googletranslate(F1669,""en"",""ja"")"),"子宮外妊娠の指標")</f>
        <v>子宮外妊娠の指標</v>
      </c>
    </row>
    <row r="1670" spans="1:9" ht="30">
      <c r="A1670" s="3" t="s">
        <v>142</v>
      </c>
      <c r="B1670" s="3" t="s">
        <v>7047</v>
      </c>
      <c r="C1670" s="3" t="s">
        <v>7048</v>
      </c>
      <c r="D1670" s="3" t="s">
        <v>7048</v>
      </c>
      <c r="E1670" s="3" t="s">
        <v>7049</v>
      </c>
      <c r="F1670" s="3" t="s">
        <v>7048</v>
      </c>
      <c r="G1670" s="3" t="str">
        <f ca="1">IFERROR(__xludf.DUMMYFUNCTION("googletranslate(D1670,""en"",""ja"")"),"子宮外妊娠の数")</f>
        <v>子宮外妊娠の数</v>
      </c>
      <c r="H1670" s="3" t="str">
        <f ca="1">IFERROR(__xludf.DUMMYFUNCTION("googletranslate(E1670,""en"",""ja"")"),"女性被験者が経験した子宮外妊娠の総数の測定値。")</f>
        <v>女性被験者が経験した子宮外妊娠の総数の測定値。</v>
      </c>
      <c r="I1670" s="3" t="str">
        <f ca="1">IFERROR(__xludf.DUMMYFUNCTION("googletranslate(F1670,""en"",""ja"")"),"子宮外妊娠の数")</f>
        <v>子宮外妊娠の数</v>
      </c>
    </row>
    <row r="1671" spans="1:9" ht="30">
      <c r="A1671" s="3" t="s">
        <v>67</v>
      </c>
      <c r="B1671" s="3" t="s">
        <v>7050</v>
      </c>
      <c r="C1671" s="3" t="s">
        <v>7051</v>
      </c>
      <c r="D1671" s="3" t="s">
        <v>7051</v>
      </c>
      <c r="E1671" s="3" t="s">
        <v>7052</v>
      </c>
      <c r="F1671" s="3" t="s">
        <v>7053</v>
      </c>
      <c r="G1671" s="3" t="str">
        <f ca="1">IFERROR(__xludf.DUMMYFUNCTION("googletranslate(D1671,""en"",""ja"")"),"大腸菌ベロ毒素")</f>
        <v>大腸菌ベロ毒素</v>
      </c>
      <c r="H1671" s="3" t="str">
        <f ca="1">IFERROR(__xludf.DUMMYFUNCTION("googletranslate(E1671,""en"",""ja"")"),"生物学的標本中の総大腸菌ベロ毒素の測定。")</f>
        <v>生物学的標本中の総大腸菌ベロ毒素の測定。</v>
      </c>
      <c r="I1671" s="3" t="str">
        <f ca="1">IFERROR(__xludf.DUMMYFUNCTION("googletranslate(F1671,""en"",""ja"")"),"大腸菌ベロ毒素測定")</f>
        <v>大腸菌ベロ毒素測定</v>
      </c>
    </row>
    <row r="1672" spans="1:9" ht="30">
      <c r="A1672" s="3" t="s">
        <v>118</v>
      </c>
      <c r="B1672" s="3" t="s">
        <v>7054</v>
      </c>
      <c r="C1672" s="3" t="s">
        <v>7055</v>
      </c>
      <c r="D1672" s="3" t="s">
        <v>7056</v>
      </c>
      <c r="E1672" s="3" t="s">
        <v>7057</v>
      </c>
      <c r="F1672" s="3" t="s">
        <v>7058</v>
      </c>
      <c r="G1672" s="3" t="str">
        <f ca="1">IFERROR(__xludf.DUMMYFUNCTION("googletranslate(D1672,""en"",""ja"")"),"細胞外の体水分。細胞外水")</f>
        <v>細胞外の体水分。細胞外水</v>
      </c>
      <c r="H1672" s="3" t="str">
        <f ca="1">IFERROR(__xludf.DUMMYFUNCTION("googletranslate(E1672,""en"",""ja"")"),"体内の細胞外コンパートメント内の水分量の測定値。")</f>
        <v>体内の細胞外コンパートメント内の水分量の測定値。</v>
      </c>
      <c r="I1672" s="3" t="str">
        <f ca="1">IFERROR(__xludf.DUMMYFUNCTION("googletranslate(F1672,""en"",""ja"")"),"細胞外水分測定")</f>
        <v>細胞外水分測定</v>
      </c>
    </row>
    <row r="1673" spans="1:9" ht="45">
      <c r="A1673" s="3" t="s">
        <v>118</v>
      </c>
      <c r="B1673" s="3" t="s">
        <v>7059</v>
      </c>
      <c r="C1673" s="3" t="s">
        <v>7060</v>
      </c>
      <c r="D1673" s="3" t="s">
        <v>7061</v>
      </c>
      <c r="E1673" s="3" t="s">
        <v>7062</v>
      </c>
      <c r="F1673" s="3" t="s">
        <v>7063</v>
      </c>
      <c r="G1673" s="3" t="str">
        <f ca="1">IFERROR(__xludf.DUMMYFUNCTION("googletranslate(D1673,""en"",""ja"")"),"ECW/TBW;細胞外水・全身水分")</f>
        <v>ECW/TBW;細胞外水・全身水分</v>
      </c>
      <c r="H1673" s="3" t="str">
        <f ca="1">IFERROR(__xludf.DUMMYFUNCTION("googletranslate(E1673,""en"",""ja"")"),"体内の水の総量に対する細胞外コンパートメントの水の量の相対的な測定値 (比率またはパーセンテージ)。")</f>
        <v>体内の水の総量に対する細胞外コンパートメントの水の量の相対的な測定値 (比率またはパーセンテージ)。</v>
      </c>
      <c r="I1673" s="3" t="str">
        <f ca="1">IFERROR(__xludf.DUMMYFUNCTION("googletranslate(F1673,""en"",""ja"")"),"細胞外水と体内総水分量の比率の測定")</f>
        <v>細胞外水と体内総水分量の比率の測定</v>
      </c>
    </row>
    <row r="1674" spans="1:9" ht="30">
      <c r="A1674" s="3" t="s">
        <v>142</v>
      </c>
      <c r="B1674" s="3" t="s">
        <v>7064</v>
      </c>
      <c r="C1674" s="3" t="s">
        <v>7065</v>
      </c>
      <c r="D1674" s="3" t="s">
        <v>7065</v>
      </c>
      <c r="E1674" s="3" t="s">
        <v>7066</v>
      </c>
      <c r="F1674" s="3" t="s">
        <v>7065</v>
      </c>
      <c r="G1674" s="3" t="str">
        <f ca="1">IFERROR(__xludf.DUMMYFUNCTION("googletranslate(D1674,""en"",""ja"")"),"受胎推定日")</f>
        <v>受胎推定日</v>
      </c>
      <c r="H1674" s="3" t="str">
        <f ca="1">IFERROR(__xludf.DUMMYFUNCTION("googletranslate(E1674,""en"",""ja"")"),"受胎イベントが発生したおおよその計算された日付。")</f>
        <v>受胎イベントが発生したおおよその計算された日付。</v>
      </c>
      <c r="I1674" s="3" t="str">
        <f ca="1">IFERROR(__xludf.DUMMYFUNCTION("googletranslate(F1674,""en"",""ja"")"),"受胎推定日")</f>
        <v>受胎推定日</v>
      </c>
    </row>
    <row r="1675" spans="1:9" ht="45">
      <c r="A1675" s="3" t="s">
        <v>6</v>
      </c>
      <c r="B1675" s="3" t="s">
        <v>7067</v>
      </c>
      <c r="C1675" s="3" t="s">
        <v>7067</v>
      </c>
      <c r="D1675" s="3" t="s">
        <v>7068</v>
      </c>
      <c r="E1675" s="3" t="s">
        <v>7069</v>
      </c>
      <c r="F1675" s="3" t="s">
        <v>7070</v>
      </c>
      <c r="G1675" s="3" t="str">
        <f ca="1">IFERROR(__xludf.DUMMYFUNCTION("googletranslate(D1675,""en"",""ja"")"),"2-エチリデン-1,5-ジメチル-3,3-ジフェニルピロリジン; EDDP")</f>
        <v>2-エチリデン-1,5-ジメチル-3,3-ジフェニルピロリジン; EDDP</v>
      </c>
      <c r="H1675" s="3" t="str">
        <f ca="1">IFERROR(__xludf.DUMMYFUNCTION("googletranslate(E1675,""en"",""ja"")"),"生物学的標本中に存在するメサドン代謝産物 2-エチリデン-1,5-ジメチル-3,3-ジフェニルピロリジンの測定。")</f>
        <v>生物学的標本中に存在するメサドン代謝産物 2-エチリデン-1,5-ジメチル-3,3-ジフェニルピロリジンの測定。</v>
      </c>
      <c r="I1675" s="3" t="str">
        <f ca="1">IFERROR(__xludf.DUMMYFUNCTION("googletranslate(F1675,""en"",""ja"")"),"EDDP測定")</f>
        <v>EDDP測定</v>
      </c>
    </row>
    <row r="1676" spans="1:9" ht="30">
      <c r="A1676" s="3" t="s">
        <v>1557</v>
      </c>
      <c r="B1676" s="3" t="s">
        <v>7071</v>
      </c>
      <c r="C1676" s="3" t="s">
        <v>7072</v>
      </c>
      <c r="D1676" s="3" t="s">
        <v>7072</v>
      </c>
      <c r="E1676" s="3" t="s">
        <v>7073</v>
      </c>
      <c r="F1676" s="3" t="s">
        <v>7074</v>
      </c>
      <c r="G1676" s="3" t="str">
        <f ca="1">IFERROR(__xludf.DUMMYFUNCTION("googletranslate(D1676,""en"",""ja"")"),"浮腫")</f>
        <v>浮腫</v>
      </c>
      <c r="H1676" s="3" t="str">
        <f ca="1">IFERROR(__xludf.DUMMYFUNCTION("googletranslate(E1676,""en"",""ja"")"),"生物学的標本または場所における浮腫 (過剰な量の水様体液) の評価。")</f>
        <v>生物学的標本または場所における浮腫 (過剰な量の水様体液) の評価。</v>
      </c>
      <c r="I1676" s="3" t="str">
        <f ca="1">IFERROR(__xludf.DUMMYFUNCTION("googletranslate(F1676,""en"",""ja"")"),"浮腫の評価")</f>
        <v>浮腫の評価</v>
      </c>
    </row>
    <row r="1677" spans="1:9">
      <c r="A1677" s="3" t="s">
        <v>142</v>
      </c>
      <c r="B1677" s="3" t="s">
        <v>7075</v>
      </c>
      <c r="C1677" s="3" t="s">
        <v>7076</v>
      </c>
      <c r="D1677" s="3" t="s">
        <v>7076</v>
      </c>
      <c r="E1677" s="3" t="s">
        <v>7077</v>
      </c>
      <c r="F1677" s="3" t="s">
        <v>7076</v>
      </c>
      <c r="G1677" s="3" t="str">
        <f ca="1">IFERROR(__xludf.DUMMYFUNCTION("googletranslate(D1677,""en"",""ja"")"),"浮腫インジケーター")</f>
        <v>浮腫インジケーター</v>
      </c>
      <c r="H1677" s="3" t="str">
        <f ca="1">IFERROR(__xludf.DUMMYFUNCTION("googletranslate(E1677,""en"",""ja"")"),"浮腫が存在するかどうかの指標。")</f>
        <v>浮腫が存在するかどうかの指標。</v>
      </c>
      <c r="I1677" s="3" t="str">
        <f ca="1">IFERROR(__xludf.DUMMYFUNCTION("googletranslate(F1677,""en"",""ja"")"),"浮腫インジケーター")</f>
        <v>浮腫インジケーター</v>
      </c>
    </row>
    <row r="1678" spans="1:9" ht="30">
      <c r="A1678" s="3" t="s">
        <v>67</v>
      </c>
      <c r="B1678" s="3" t="s">
        <v>7078</v>
      </c>
      <c r="C1678" s="3" t="s">
        <v>7079</v>
      </c>
      <c r="D1678" s="3" t="s">
        <v>7079</v>
      </c>
      <c r="E1678" s="3" t="s">
        <v>7080</v>
      </c>
      <c r="F1678" s="3" t="s">
        <v>7081</v>
      </c>
      <c r="G1678" s="3" t="str">
        <f ca="1">IFERROR(__xludf.DUMMYFUNCTION("googletranslate(D1678,""en"",""ja"")"),"赤エンタメーバディスパー")</f>
        <v>赤エンタメーバディスパー</v>
      </c>
      <c r="H1678" s="3" t="str">
        <f ca="1">IFERROR(__xludf.DUMMYFUNCTION("googletranslate(E1678,""en"",""ja"")"),"生物学的標本における赤ん坊のディスパーの測定。")</f>
        <v>生物学的標本における赤ん坊のディスパーの測定。</v>
      </c>
      <c r="I1678" s="3" t="str">
        <f ca="1">IFERROR(__xludf.DUMMYFUNCTION("googletranslate(F1678,""en"",""ja"")"),"赤ん坊のディスパー測定")</f>
        <v>赤ん坊のディスパー測定</v>
      </c>
    </row>
    <row r="1679" spans="1:9" ht="30">
      <c r="A1679" s="3" t="s">
        <v>67</v>
      </c>
      <c r="B1679" s="3" t="s">
        <v>7082</v>
      </c>
      <c r="C1679" s="3" t="s">
        <v>7083</v>
      </c>
      <c r="D1679" s="3" t="s">
        <v>7083</v>
      </c>
      <c r="E1679" s="3" t="s">
        <v>7084</v>
      </c>
      <c r="F1679" s="3" t="s">
        <v>7085</v>
      </c>
      <c r="G1679" s="3" t="str">
        <f ca="1">IFERROR(__xludf.DUMMYFUNCTION("googletranslate(D1679,""en"",""ja"")"),"赤エンタメーバ ディスパー DNA")</f>
        <v>赤エンタメーバ ディスパー DNA</v>
      </c>
      <c r="H1679" s="3" t="str">
        <f ca="1">IFERROR(__xludf.DUMMYFUNCTION("googletranslate(E1679,""en"",""ja"")"),"生物学的標本中の赤ん坊のディスパー DNA の測定。")</f>
        <v>生物学的標本中の赤ん坊のディスパー DNA の測定。</v>
      </c>
      <c r="I1679" s="3" t="str">
        <f ca="1">IFERROR(__xludf.DUMMYFUNCTION("googletranslate(F1679,""en"",""ja"")"),"赤ん坊ディスパー DNA 測定")</f>
        <v>赤ん坊ディスパー DNA 測定</v>
      </c>
    </row>
    <row r="1680" spans="1:9">
      <c r="A1680" s="3" t="s">
        <v>503</v>
      </c>
      <c r="B1680" s="3" t="s">
        <v>7086</v>
      </c>
      <c r="C1680" s="3" t="s">
        <v>7087</v>
      </c>
      <c r="D1680" s="3" t="s">
        <v>7087</v>
      </c>
      <c r="E1680" s="3" t="s">
        <v>7088</v>
      </c>
      <c r="F1680" s="3" t="s">
        <v>7089</v>
      </c>
      <c r="G1680" s="3" t="str">
        <f ca="1">IFERROR(__xludf.DUMMYFUNCTION("googletranslate(D1680,""en"",""ja"")"),"配達予定日")</f>
        <v>配達予定日</v>
      </c>
      <c r="H1680" s="3" t="str">
        <f ca="1">IFERROR(__xludf.DUMMYFUNCTION("googletranslate(E1680,""en"",""ja"")"),"納期のおおよその計算です。")</f>
        <v>納期のおおよその計算です。</v>
      </c>
      <c r="I1680" s="3" t="str">
        <f ca="1">IFERROR(__xludf.DUMMYFUNCTION("googletranslate(F1680,""en"",""ja"")"),"監禁予定日")</f>
        <v>監禁予定日</v>
      </c>
    </row>
    <row r="1681" spans="1:9">
      <c r="A1681" s="3" t="s">
        <v>142</v>
      </c>
      <c r="B1681" s="3" t="s">
        <v>7086</v>
      </c>
      <c r="C1681" s="3" t="s">
        <v>7087</v>
      </c>
      <c r="D1681" s="3" t="s">
        <v>7087</v>
      </c>
      <c r="E1681" s="3" t="s">
        <v>7088</v>
      </c>
      <c r="F1681" s="3" t="s">
        <v>7089</v>
      </c>
      <c r="G1681" s="3" t="str">
        <f ca="1">IFERROR(__xludf.DUMMYFUNCTION("googletranslate(D1681,""en"",""ja"")"),"配達予定日")</f>
        <v>配達予定日</v>
      </c>
      <c r="H1681" s="3" t="str">
        <f ca="1">IFERROR(__xludf.DUMMYFUNCTION("googletranslate(E1681,""en"",""ja"")"),"納期のおおよその計算です。")</f>
        <v>納期のおおよその計算です。</v>
      </c>
      <c r="I1681" s="3" t="str">
        <f ca="1">IFERROR(__xludf.DUMMYFUNCTION("googletranslate(F1681,""en"",""ja"")"),"監禁予定日")</f>
        <v>監禁予定日</v>
      </c>
    </row>
    <row r="1682" spans="1:9" ht="45">
      <c r="A1682" s="3" t="s">
        <v>6</v>
      </c>
      <c r="B1682" s="3" t="s">
        <v>7090</v>
      </c>
      <c r="C1682" s="3" t="s">
        <v>7091</v>
      </c>
      <c r="D1682" s="3" t="s">
        <v>7092</v>
      </c>
      <c r="E1682" s="3" t="s">
        <v>7093</v>
      </c>
      <c r="F1682" s="3" t="s">
        <v>7094</v>
      </c>
      <c r="G1682" s="3" t="str">
        <f ca="1">IFERROR(__xludf.DUMMYFUNCTION("googletranslate(D1682,""en"",""ja"")"),"好酸球プロテイン X;好酸球由来神経毒; RAF3;リボヌクレアーゼ A ファミリー メンバー 2")</f>
        <v>好酸球プロテイン X;好酸球由来神経毒; RAF3;リボヌクレアーゼ A ファミリー メンバー 2</v>
      </c>
      <c r="H1682" s="3" t="str">
        <f ca="1">IFERROR(__xludf.DUMMYFUNCTION("googletranslate(E1682,""en"",""ja"")"),"生体標本中の好酸球由来の神経毒の測定。")</f>
        <v>生体標本中の好酸球由来の神経毒の測定。</v>
      </c>
      <c r="I1682" s="3" t="str">
        <f ca="1">IFERROR(__xludf.DUMMYFUNCTION("googletranslate(F1682,""en"",""ja"")"),"好酸球由来神経毒測定")</f>
        <v>好酸球由来神経毒測定</v>
      </c>
    </row>
    <row r="1683" spans="1:9" ht="60">
      <c r="A1683" s="3" t="s">
        <v>6</v>
      </c>
      <c r="B1683" s="3" t="s">
        <v>7095</v>
      </c>
      <c r="C1683" s="3" t="s">
        <v>7096</v>
      </c>
      <c r="D1683" s="3" t="s">
        <v>7096</v>
      </c>
      <c r="E1683" s="3" t="s">
        <v>7097</v>
      </c>
      <c r="F1683" s="3" t="s">
        <v>7096</v>
      </c>
      <c r="G1683" s="3" t="str">
        <f ca="1">IFERROR(__xludf.DUMMYFUNCTION("googletranslate(D1683,""en"",""ja"")"),"EDTA クリアランス")</f>
        <v>EDTA クリアランス</v>
      </c>
      <c r="H1683" s="3" t="str">
        <f ca="1">IFERROR(__xludf.DUMMYFUNCTION("googletranslate(E1683,""en"",""ja"")"),"指定された時間単位 (例: 1 分) の尿の排泄によってエチレンジアミン四酢酸 (EDTA) が除去される血清または血漿の量の測定値。")</f>
        <v>指定された時間単位 (例: 1 分) の尿の排泄によってエチレンジアミン四酢酸 (EDTA) が除去される血清または血漿の量の測定値。</v>
      </c>
      <c r="I1683" s="3" t="str">
        <f ca="1">IFERROR(__xludf.DUMMYFUNCTION("googletranslate(F1683,""en"",""ja"")"),"EDTA クリアランス")</f>
        <v>EDTA クリアランス</v>
      </c>
    </row>
    <row r="1684" spans="1:9">
      <c r="A1684" s="3" t="s">
        <v>503</v>
      </c>
      <c r="B1684" s="3" t="s">
        <v>7098</v>
      </c>
      <c r="C1684" s="3" t="s">
        <v>7099</v>
      </c>
      <c r="D1684" s="3" t="s">
        <v>7099</v>
      </c>
      <c r="E1684" s="3" t="s">
        <v>7100</v>
      </c>
      <c r="F1684" s="3" t="s">
        <v>7101</v>
      </c>
      <c r="G1684" s="3" t="str">
        <f ca="1">IFERROR(__xludf.DUMMYFUNCTION("googletranslate(D1684,""en"",""ja"")"),"到達した教育レベル")</f>
        <v>到達した教育レベル</v>
      </c>
      <c r="H1684" s="3" t="str">
        <f ca="1">IFERROR(__xludf.DUMMYFUNCTION("googletranslate(E1684,""en"",""ja"")"),"人が到達した最高レベルの教育。")</f>
        <v>人が到達した最高レベルの教育。</v>
      </c>
      <c r="I1684" s="3" t="str">
        <f ca="1">IFERROR(__xludf.DUMMYFUNCTION("googletranslate(F1684,""en"",""ja"")"),"教育レベル")</f>
        <v>教育レベル</v>
      </c>
    </row>
    <row r="1685" spans="1:9" ht="30">
      <c r="A1685" s="3" t="s">
        <v>503</v>
      </c>
      <c r="B1685" s="3" t="s">
        <v>7102</v>
      </c>
      <c r="C1685" s="3" t="s">
        <v>7103</v>
      </c>
      <c r="D1685" s="3" t="s">
        <v>7103</v>
      </c>
      <c r="E1685" s="3" t="s">
        <v>7104</v>
      </c>
      <c r="F1685" s="3" t="s">
        <v>7103</v>
      </c>
      <c r="G1685" s="3" t="str">
        <f ca="1">IFERROR(__xludf.DUMMYFUNCTION("googletranslate(D1685,""en"",""ja"")"),"教育年数")</f>
        <v>教育年数</v>
      </c>
      <c r="H1685" s="3" t="str">
        <f ca="1">IFERROR(__xludf.DUMMYFUNCTION("googletranslate(E1685,""en"",""ja"")"),"人が修了した教育年数。")</f>
        <v>人が修了した教育年数。</v>
      </c>
      <c r="I1685" s="3" t="str">
        <f ca="1">IFERROR(__xludf.DUMMYFUNCTION("googletranslate(F1685,""en"",""ja"")"),"教育年数")</f>
        <v>教育年数</v>
      </c>
    </row>
    <row r="1686" spans="1:9" ht="30">
      <c r="A1686" s="3" t="s">
        <v>81</v>
      </c>
      <c r="B1686" s="3" t="s">
        <v>7105</v>
      </c>
      <c r="C1686" s="3" t="s">
        <v>7106</v>
      </c>
      <c r="D1686" s="3" t="s">
        <v>7107</v>
      </c>
      <c r="E1686" s="3" t="s">
        <v>7108</v>
      </c>
      <c r="F1686" s="3" t="s">
        <v>7106</v>
      </c>
      <c r="G1686" s="3" t="str">
        <f ca="1">IFERROR(__xludf.DUMMYFUNCTION("googletranslate(D1686,""en"",""ja"")"),"拡張末期血液量。拡張末期容積")</f>
        <v>拡張末期血液量。拡張末期容積</v>
      </c>
      <c r="H1686" s="3" t="str">
        <f ca="1">IFERROR(__xludf.DUMMYFUNCTION("googletranslate(E1686,""en"",""ja"")"),"拡張末期の心室または心房に残っている血液の量。")</f>
        <v>拡張末期の心室または心房に残っている血液の量。</v>
      </c>
      <c r="I1686" s="3" t="str">
        <f ca="1">IFERROR(__xludf.DUMMYFUNCTION("googletranslate(F1686,""en"",""ja"")"),"拡張末期容積")</f>
        <v>拡張末期容積</v>
      </c>
    </row>
    <row r="1687" spans="1:9" ht="45">
      <c r="A1687" s="3" t="s">
        <v>1255</v>
      </c>
      <c r="B1687" s="3" t="s">
        <v>7109</v>
      </c>
      <c r="C1687" s="3" t="s">
        <v>7110</v>
      </c>
      <c r="D1687" s="3" t="s">
        <v>7111</v>
      </c>
      <c r="E1687" s="3" t="s">
        <v>7112</v>
      </c>
      <c r="F1687" s="3" t="s">
        <v>7113</v>
      </c>
      <c r="G1687" s="3" t="str">
        <f ca="1">IFERROR(__xludf.DUMMYFUNCTION("googletranslate(D1687,""en"",""ja"")"),"EEG 電極の数。脳波電極数")</f>
        <v>EEG 電極の数。脳波電極数</v>
      </c>
      <c r="H1687" s="3" t="str">
        <f ca="1">IFERROR(__xludf.DUMMYFUNCTION("googletranslate(E1687,""en"",""ja"")"),"評価に使用された脳波電極の数。")</f>
        <v>評価に使用された脳波電極の数。</v>
      </c>
      <c r="I1687" s="3" t="str">
        <f ca="1">IFERROR(__xludf.DUMMYFUNCTION("googletranslate(F1687,""en"",""ja"")"),"脳波電極数")</f>
        <v>脳波電極数</v>
      </c>
    </row>
    <row r="1688" spans="1:9" ht="30">
      <c r="A1688" s="3" t="s">
        <v>67</v>
      </c>
      <c r="B1688" s="3" t="s">
        <v>7114</v>
      </c>
      <c r="C1688" s="3" t="s">
        <v>7115</v>
      </c>
      <c r="D1688" s="3" t="s">
        <v>7116</v>
      </c>
      <c r="E1688" s="3" t="s">
        <v>7117</v>
      </c>
      <c r="F1688" s="3" t="s">
        <v>7118</v>
      </c>
      <c r="G1688" s="3" t="str">
        <f ca="1">IFERROR(__xludf.DUMMYFUNCTION("googletranslate(D1688,""en"",""ja"")"),"フェカリス連鎖球菌")</f>
        <v>フェカリス連鎖球菌</v>
      </c>
      <c r="H1688" s="3" t="str">
        <f ca="1">IFERROR(__xludf.DUMMYFUNCTION("googletranslate(E1688,""en"",""ja"")"),"生物学的標本中のエンテロコッカス・フェカリスの測定。")</f>
        <v>生物学的標本中のエンテロコッカス・フェカリスの測定。</v>
      </c>
      <c r="I1688" s="3" t="str">
        <f ca="1">IFERROR(__xludf.DUMMYFUNCTION("googletranslate(F1688,""en"",""ja"")"),"エンテロコッカス・フェカリス測定")</f>
        <v>エンテロコッカス・フェカリス測定</v>
      </c>
    </row>
    <row r="1689" spans="1:9" ht="30">
      <c r="A1689" s="3" t="s">
        <v>67</v>
      </c>
      <c r="B1689" s="3" t="s">
        <v>7119</v>
      </c>
      <c r="C1689" s="3" t="s">
        <v>7120</v>
      </c>
      <c r="D1689" s="3" t="s">
        <v>7120</v>
      </c>
      <c r="E1689" s="3" t="s">
        <v>7121</v>
      </c>
      <c r="F1689" s="3" t="s">
        <v>7122</v>
      </c>
      <c r="G1689" s="3" t="str">
        <f ca="1">IFERROR(__xludf.DUMMYFUNCTION("googletranslate(D1689,""en"",""ja"")"),"エンテロコッカス・フェカリスのDNA")</f>
        <v>エンテロコッカス・フェカリスのDNA</v>
      </c>
      <c r="H1689" s="3" t="str">
        <f ca="1">IFERROR(__xludf.DUMMYFUNCTION("googletranslate(E1689,""en"",""ja"")"),"生物学的標本中の Enterococcus faecalis DNA の測定。")</f>
        <v>生物学的標本中の Enterococcus faecalis DNA の測定。</v>
      </c>
      <c r="I1689" s="3" t="str">
        <f ca="1">IFERROR(__xludf.DUMMYFUNCTION("googletranslate(F1689,""en"",""ja"")"),"エンテロコッカス・フェカリスのDNA測定")</f>
        <v>エンテロコッカス・フェカリスのDNA測定</v>
      </c>
    </row>
    <row r="1690" spans="1:9" ht="30">
      <c r="A1690" s="3" t="s">
        <v>67</v>
      </c>
      <c r="B1690" s="3" t="s">
        <v>7123</v>
      </c>
      <c r="C1690" s="3" t="s">
        <v>7124</v>
      </c>
      <c r="D1690" s="3" t="s">
        <v>7124</v>
      </c>
      <c r="E1690" s="3" t="s">
        <v>7125</v>
      </c>
      <c r="F1690" s="3" t="s">
        <v>7126</v>
      </c>
      <c r="G1690" s="3" t="str">
        <f ca="1">IFERROR(__xludf.DUMMYFUNCTION("googletranslate(D1690,""en"",""ja"")"),"エンテロコッカス・フェシウム")</f>
        <v>エンテロコッカス・フェシウム</v>
      </c>
      <c r="H1690" s="3" t="str">
        <f ca="1">IFERROR(__xludf.DUMMYFUNCTION("googletranslate(E1690,""en"",""ja"")"),"生物学的標本中の Enterococcus faecium の測定。")</f>
        <v>生物学的標本中の Enterococcus faecium の測定。</v>
      </c>
      <c r="I1690" s="3" t="str">
        <f ca="1">IFERROR(__xludf.DUMMYFUNCTION("googletranslate(F1690,""en"",""ja"")"),"エンテロコッカス・フェシウムの測定")</f>
        <v>エンテロコッカス・フェシウムの測定</v>
      </c>
    </row>
    <row r="1691" spans="1:9">
      <c r="A1691" s="3" t="s">
        <v>490</v>
      </c>
      <c r="B1691" s="3" t="s">
        <v>7127</v>
      </c>
      <c r="C1691" s="3" t="s">
        <v>7128</v>
      </c>
      <c r="D1691" s="3" t="s">
        <v>7128</v>
      </c>
      <c r="E1691" s="3" t="s">
        <v>7129</v>
      </c>
      <c r="F1691" s="3" t="s">
        <v>7128</v>
      </c>
      <c r="G1691" s="3" t="str">
        <f ca="1">IFERROR(__xludf.DUMMYFUNCTION("googletranslate(D1691,""en"",""ja"")"),"浸出液インジケーター")</f>
        <v>浸出液インジケーター</v>
      </c>
      <c r="H1691" s="3" t="str">
        <f ca="1">IFERROR(__xludf.DUMMYFUNCTION("googletranslate(E1691,""en"",""ja"")"),"浸出液が存在するかどうかの指標。")</f>
        <v>浸出液が存在するかどうかの指標。</v>
      </c>
      <c r="I1691" s="3" t="str">
        <f ca="1">IFERROR(__xludf.DUMMYFUNCTION("googletranslate(F1691,""en"",""ja"")"),"浸出液インジケーター")</f>
        <v>浸出液インジケーター</v>
      </c>
    </row>
    <row r="1692" spans="1:9" ht="30">
      <c r="A1692" s="3" t="s">
        <v>81</v>
      </c>
      <c r="B1692" s="3" t="s">
        <v>7130</v>
      </c>
      <c r="C1692" s="3" t="s">
        <v>7131</v>
      </c>
      <c r="D1692" s="3" t="s">
        <v>7131</v>
      </c>
      <c r="E1692" s="3" t="s">
        <v>7132</v>
      </c>
      <c r="F1692" s="3" t="s">
        <v>7131</v>
      </c>
      <c r="G1692" s="3" t="str">
        <f ca="1">IFERROR(__xludf.DUMMYFUNCTION("googletranslate(D1692,""en"",""ja"")"),"有効逆流オリフィス面積")</f>
        <v>有効逆流オリフィス面積</v>
      </c>
      <c r="H1692" s="3" t="str">
        <f ca="1">IFERROR(__xludf.DUMMYFUNCTION("googletranslate(E1692,""en"",""ja"")"),"バルブの有効逆流オリフィス面積の測定値。")</f>
        <v>バルブの有効逆流オリフィス面積の測定値。</v>
      </c>
      <c r="I1692" s="3" t="str">
        <f ca="1">IFERROR(__xludf.DUMMYFUNCTION("googletranslate(F1692,""en"",""ja"")"),"有効逆流オリフィス面積")</f>
        <v>有効逆流オリフィス面積</v>
      </c>
    </row>
    <row r="1693" spans="1:9" ht="30">
      <c r="A1693" s="3" t="s">
        <v>490</v>
      </c>
      <c r="B1693" s="3" t="s">
        <v>7133</v>
      </c>
      <c r="C1693" s="3" t="s">
        <v>7134</v>
      </c>
      <c r="D1693" s="3" t="s">
        <v>7134</v>
      </c>
      <c r="E1693" s="3" t="s">
        <v>7135</v>
      </c>
      <c r="F1693" s="3" t="s">
        <v>7136</v>
      </c>
      <c r="G1693" s="3" t="str">
        <f ca="1">IFERROR(__xludf.DUMMYFUNCTION("googletranslate(D1693,""en"",""ja"")"),"浸出液量")</f>
        <v>浸出液量</v>
      </c>
      <c r="H1693" s="3" t="str">
        <f ca="1">IFERROR(__xludf.DUMMYFUNCTION("googletranslate(E1693,""en"",""ja"")"),"滲出液が占める 3 次元空間の量。")</f>
        <v>滲出液が占める 3 次元空間の量。</v>
      </c>
      <c r="I1693" s="3" t="str">
        <f ca="1">IFERROR(__xludf.DUMMYFUNCTION("googletranslate(F1693,""en"",""ja"")"),"滲出液量の測定")</f>
        <v>滲出液量の測定</v>
      </c>
    </row>
    <row r="1694" spans="1:9" ht="45">
      <c r="A1694" s="3" t="s">
        <v>985</v>
      </c>
      <c r="B1694" s="3" t="s">
        <v>7137</v>
      </c>
      <c r="C1694" s="3" t="s">
        <v>7138</v>
      </c>
      <c r="D1694" s="3" t="s">
        <v>7138</v>
      </c>
      <c r="E1694" s="3" t="s">
        <v>7139</v>
      </c>
      <c r="F1694" s="3" t="s">
        <v>7140</v>
      </c>
      <c r="G1694" s="3" t="str">
        <f ca="1">IFERROR(__xludf.DUMMYFUNCTION("googletranslate(D1694,""en"",""ja"")"),"ECG 最大心房レート")</f>
        <v>ECG 最大心房レート</v>
      </c>
      <c r="H1694" s="3" t="str">
        <f ca="1">IFERROR(__xludf.DUMMYFUNCTION("googletranslate(E1694,""en"",""ja"")"),"一定時間内に記録された心房脱分極 (P 波) の最大速度の心電図測定値。通常、1 分あたりの拍動数で表されます。")</f>
        <v>一定時間内に記録された心房脱分極 (P 波) の最大速度の心電図測定値。通常、1 分あたりの拍動数で表されます。</v>
      </c>
      <c r="I1694" s="3" t="str">
        <f ca="1">IFERROR(__xludf.DUMMYFUNCTION("googletranslate(F1694,""en"",""ja"")"),"心電図による最大心房心拍数")</f>
        <v>心電図による最大心房心拍数</v>
      </c>
    </row>
    <row r="1695" spans="1:9" ht="45">
      <c r="A1695" s="3" t="s">
        <v>985</v>
      </c>
      <c r="B1695" s="3" t="s">
        <v>7141</v>
      </c>
      <c r="C1695" s="3" t="s">
        <v>7142</v>
      </c>
      <c r="D1695" s="3" t="s">
        <v>7142</v>
      </c>
      <c r="E1695" s="3" t="s">
        <v>7143</v>
      </c>
      <c r="F1695" s="3" t="s">
        <v>7144</v>
      </c>
      <c r="G1695" s="3" t="str">
        <f ca="1">IFERROR(__xludf.DUMMYFUNCTION("googletranslate(D1695,""en"",""ja"")"),"ECG心房レート中央値")</f>
        <v>ECG心房レート中央値</v>
      </c>
      <c r="H1695" s="3" t="str">
        <f ca="1">IFERROR(__xludf.DUMMYFUNCTION("googletranslate(E1695,""en"",""ja"")"),"一定時間内に記録された心房脱分極 (P 波) の中央値の心電図測定値。通常、1 分あたりの心拍数で表されます。")</f>
        <v>一定時間内に記録された心房脱分極 (P 波) の中央値の心電図測定値。通常、1 分あたりの心拍数で表されます。</v>
      </c>
      <c r="I1695" s="3" t="str">
        <f ca="1">IFERROR(__xludf.DUMMYFUNCTION("googletranslate(F1695,""en"",""ja"")"),"心電図による心房心拍数の中央値")</f>
        <v>心電図による心房心拍数の中央値</v>
      </c>
    </row>
    <row r="1696" spans="1:9" ht="45">
      <c r="A1696" s="3" t="s">
        <v>985</v>
      </c>
      <c r="B1696" s="3" t="s">
        <v>7145</v>
      </c>
      <c r="C1696" s="3" t="s">
        <v>7146</v>
      </c>
      <c r="D1696" s="3" t="s">
        <v>7146</v>
      </c>
      <c r="E1696" s="3" t="s">
        <v>7147</v>
      </c>
      <c r="F1696" s="3" t="s">
        <v>7148</v>
      </c>
      <c r="G1696" s="3" t="str">
        <f ca="1">IFERROR(__xludf.DUMMYFUNCTION("googletranslate(D1696,""en"",""ja"")"),"ECG 最小心房レート")</f>
        <v>ECG 最小心房レート</v>
      </c>
      <c r="H1696" s="3" t="str">
        <f ca="1">IFERROR(__xludf.DUMMYFUNCTION("googletranslate(E1696,""en"",""ja"")"),"一定時間内に記録された心房脱分極 (P 波) の最小率の心電図測定値。通常、1 分あたりの拍動数で表されます。")</f>
        <v>一定時間内に記録された心房脱分極 (P 波) の最小率の心電図測定値。通常、1 分あたりの拍動数で表されます。</v>
      </c>
      <c r="I1696" s="3" t="str">
        <f ca="1">IFERROR(__xludf.DUMMYFUNCTION("googletranslate(F1696,""en"",""ja"")"),"心電図による最小心房レート")</f>
        <v>心電図による最小心房レート</v>
      </c>
    </row>
    <row r="1697" spans="1:9" ht="45">
      <c r="A1697" s="3" t="s">
        <v>985</v>
      </c>
      <c r="B1697" s="3" t="s">
        <v>7149</v>
      </c>
      <c r="C1697" s="3" t="s">
        <v>7150</v>
      </c>
      <c r="D1697" s="3" t="s">
        <v>7150</v>
      </c>
      <c r="E1697" s="3" t="s">
        <v>7151</v>
      </c>
      <c r="F1697" s="3" t="s">
        <v>7152</v>
      </c>
      <c r="G1697" s="3" t="str">
        <f ca="1">IFERROR(__xludf.DUMMYFUNCTION("googletranslate(D1697,""en"",""ja"")"),"ECG 平均心房レート")</f>
        <v>ECG 平均心房レート</v>
      </c>
      <c r="H1697" s="3" t="str">
        <f ca="1">IFERROR(__xludf.DUMMYFUNCTION("googletranslate(E1697,""en"",""ja"")"),"一定時間内に記録された心房脱分極 (P 波) の平均速度の心電図測定値。通常、1 分あたりの拍動数で表されます。")</f>
        <v>一定時間内に記録された心房脱分極 (P 波) の平均速度の心電図測定値。通常、1 分あたりの拍動数で表されます。</v>
      </c>
      <c r="I1697" s="3" t="str">
        <f ca="1">IFERROR(__xludf.DUMMYFUNCTION("googletranslate(F1697,""en"",""ja"")"),"心電図による平均心房心拍数")</f>
        <v>心電図による平均心房心拍数</v>
      </c>
    </row>
    <row r="1698" spans="1:9" ht="60">
      <c r="A1698" s="3" t="s">
        <v>1664</v>
      </c>
      <c r="B1698" s="3" t="s">
        <v>7153</v>
      </c>
      <c r="C1698" s="3" t="s">
        <v>7154</v>
      </c>
      <c r="D1698" s="3" t="s">
        <v>7154</v>
      </c>
      <c r="E1698" s="3" t="s">
        <v>7155</v>
      </c>
      <c r="F1698" s="3" t="s">
        <v>7154</v>
      </c>
      <c r="G1698" s="3" t="str">
        <f ca="1">IFERROR(__xludf.DUMMYFUNCTION("googletranslate(D1698,""en"",""ja"")"),"以前の心電図との比較")</f>
        <v>以前の心電図との比較</v>
      </c>
      <c r="H1698" s="3" t="str">
        <f ca="1">IFERROR(__xludf.DUMMYFUNCTION("googletranslate(E1698,""en"",""ja"")"),"以前の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98" s="3" t="str">
        <f ca="1">IFERROR(__xludf.DUMMYFUNCTION("googletranslate(F1698,""en"",""ja"")"),"以前の心電図との比較")</f>
        <v>以前の心電図との比較</v>
      </c>
    </row>
    <row r="1699" spans="1:9" ht="60">
      <c r="A1699" s="3" t="s">
        <v>985</v>
      </c>
      <c r="B1699" s="3" t="s">
        <v>7153</v>
      </c>
      <c r="C1699" s="3" t="s">
        <v>7154</v>
      </c>
      <c r="D1699" s="3" t="s">
        <v>7154</v>
      </c>
      <c r="E1699" s="3" t="s">
        <v>7155</v>
      </c>
      <c r="F1699" s="3" t="s">
        <v>7154</v>
      </c>
      <c r="G1699" s="3" t="str">
        <f ca="1">IFERROR(__xludf.DUMMYFUNCTION("googletranslate(D1699,""en"",""ja"")"),"以前の心電図との比較")</f>
        <v>以前の心電図との比較</v>
      </c>
      <c r="H1699" s="3" t="str">
        <f ca="1">IFERROR(__xludf.DUMMYFUNCTION("googletranslate(E1699,""en"",""ja"")"),"以前の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99" s="3" t="str">
        <f ca="1">IFERROR(__xludf.DUMMYFUNCTION("googletranslate(F1699,""en"",""ja"")"),"以前の心電図との比較")</f>
        <v>以前の心電図との比較</v>
      </c>
    </row>
    <row r="1700" spans="1:9" ht="30">
      <c r="A1700" s="3" t="s">
        <v>142</v>
      </c>
      <c r="B1700" s="3" t="s">
        <v>7156</v>
      </c>
      <c r="C1700" s="3" t="s">
        <v>7157</v>
      </c>
      <c r="D1700" s="3" t="s">
        <v>7157</v>
      </c>
      <c r="E1700" s="3" t="s">
        <v>7158</v>
      </c>
      <c r="F1700" s="3" t="s">
        <v>7157</v>
      </c>
      <c r="G1700" s="3" t="str">
        <f ca="1">IFERROR(__xludf.DUMMYFUNCTION("googletranslate(D1700,""en"",""ja"")"),"推定在胎年齢")</f>
        <v>推定在胎年齢</v>
      </c>
      <c r="H1700" s="3" t="str">
        <f ca="1">IFERROR(__xludf.DUMMYFUNCTION("googletranslate(E1700,""en"",""ja"")"),"胎児、新生児、または乳児の在胎週数のおおよその計算。")</f>
        <v>胎児、新生児、または乳児の在胎週数のおおよその計算。</v>
      </c>
      <c r="I1700" s="3" t="str">
        <f ca="1">IFERROR(__xludf.DUMMYFUNCTION("googletranslate(F1700,""en"",""ja"")"),"推定在胎年齢")</f>
        <v>推定在胎年齢</v>
      </c>
    </row>
    <row r="1701" spans="1:9" ht="30">
      <c r="A1701" s="3" t="s">
        <v>503</v>
      </c>
      <c r="B1701" s="3" t="s">
        <v>7156</v>
      </c>
      <c r="C1701" s="3" t="s">
        <v>7157</v>
      </c>
      <c r="D1701" s="3" t="s">
        <v>7157</v>
      </c>
      <c r="E1701" s="3" t="s">
        <v>7158</v>
      </c>
      <c r="F1701" s="3" t="s">
        <v>7157</v>
      </c>
      <c r="G1701" s="3" t="str">
        <f ca="1">IFERROR(__xludf.DUMMYFUNCTION("googletranslate(D1701,""en"",""ja"")"),"推定在胎年齢")</f>
        <v>推定在胎年齢</v>
      </c>
      <c r="H1701" s="3" t="str">
        <f ca="1">IFERROR(__xludf.DUMMYFUNCTION("googletranslate(E1701,""en"",""ja"")"),"胎児、新生児、または乳児の在胎週数のおおよその計算。")</f>
        <v>胎児、新生児、または乳児の在胎週数のおおよその計算。</v>
      </c>
      <c r="I1701" s="3" t="str">
        <f ca="1">IFERROR(__xludf.DUMMYFUNCTION("googletranslate(F1701,""en"",""ja"")"),"推定在胎年齢")</f>
        <v>推定在胎年齢</v>
      </c>
    </row>
    <row r="1702" spans="1:9" ht="30">
      <c r="A1702" s="3" t="s">
        <v>6</v>
      </c>
      <c r="B1702" s="3" t="s">
        <v>7159</v>
      </c>
      <c r="C1702" s="3" t="s">
        <v>7160</v>
      </c>
      <c r="D1702" s="3" t="s">
        <v>7160</v>
      </c>
      <c r="E1702" s="3" t="s">
        <v>7161</v>
      </c>
      <c r="F1702" s="3" t="s">
        <v>7162</v>
      </c>
      <c r="G1702" s="3" t="str">
        <f ca="1">IFERROR(__xludf.DUMMYFUNCTION("googletranslate(D1702,""en"",""ja"")"),"上皮成長因子")</f>
        <v>上皮成長因子</v>
      </c>
      <c r="H1702" s="3" t="str">
        <f ca="1">IFERROR(__xludf.DUMMYFUNCTION("googletranslate(E1702,""en"",""ja"")"),"生物学的標本における上皮成長因子の測定。")</f>
        <v>生物学的標本における上皮成長因子の測定。</v>
      </c>
      <c r="I1702" s="3" t="str">
        <f ca="1">IFERROR(__xludf.DUMMYFUNCTION("googletranslate(F1702,""en"",""ja"")"),"上皮成長因子測定")</f>
        <v>上皮成長因子測定</v>
      </c>
    </row>
    <row r="1703" spans="1:9" ht="30">
      <c r="A1703" s="3" t="s">
        <v>6</v>
      </c>
      <c r="B1703" s="3" t="s">
        <v>7163</v>
      </c>
      <c r="C1703" s="3" t="s">
        <v>7164</v>
      </c>
      <c r="D1703" s="3" t="s">
        <v>7165</v>
      </c>
      <c r="E1703" s="3" t="s">
        <v>7166</v>
      </c>
      <c r="F1703" s="3" t="s">
        <v>7167</v>
      </c>
      <c r="G1703" s="3" t="str">
        <f ca="1">IFERROR(__xludf.DUMMYFUNCTION("googletranslate(D1703,""en"",""ja"")"),"上皮成長因子受容体; ERBB1; HER1")</f>
        <v>上皮成長因子受容体; ERBB1; HER1</v>
      </c>
      <c r="H1703" s="3" t="str">
        <f ca="1">IFERROR(__xludf.DUMMYFUNCTION("googletranslate(E1703,""en"",""ja"")"),"生物学的標本における上皮成長因子受容体の測定。")</f>
        <v>生物学的標本における上皮成長因子受容体の測定。</v>
      </c>
      <c r="I1703" s="3" t="str">
        <f ca="1">IFERROR(__xludf.DUMMYFUNCTION("googletranslate(F1703,""en"",""ja"")"),"上皮成長因子受容体測定")</f>
        <v>上皮成長因子受容体測定</v>
      </c>
    </row>
    <row r="1704" spans="1:9" ht="30">
      <c r="A1704" s="3" t="s">
        <v>6</v>
      </c>
      <c r="B1704" s="3" t="s">
        <v>7168</v>
      </c>
      <c r="C1704" s="3" t="s">
        <v>7169</v>
      </c>
      <c r="D1704" s="3" t="s">
        <v>7169</v>
      </c>
      <c r="E1704" s="3" t="s">
        <v>7170</v>
      </c>
      <c r="F1704" s="3" t="s">
        <v>7171</v>
      </c>
      <c r="G1704" s="3" t="str">
        <f ca="1">IFERROR(__xludf.DUMMYFUNCTION("googletranslate(D1704,""en"",""ja"")"),"上皮成長因子受容体、無料")</f>
        <v>上皮成長因子受容体、無料</v>
      </c>
      <c r="H1704" s="3" t="str">
        <f ca="1">IFERROR(__xludf.DUMMYFUNCTION("googletranslate(E1704,""en"",""ja"")"),"生物学的標本中の遊離（結合していない）上皮成長因子受容体の測定。")</f>
        <v>生物学的標本中の遊離（結合していない）上皮成長因子受容体の測定。</v>
      </c>
      <c r="I1704" s="3" t="str">
        <f ca="1">IFERROR(__xludf.DUMMYFUNCTION("googletranslate(F1704,""en"",""ja"")"),"遊離上皮成長因子受容体測定")</f>
        <v>遊離上皮成長因子受容体測定</v>
      </c>
    </row>
    <row r="1705" spans="1:9" ht="75">
      <c r="A1705" s="3" t="s">
        <v>985</v>
      </c>
      <c r="B1705" s="3" t="s">
        <v>7172</v>
      </c>
      <c r="C1705" s="3" t="s">
        <v>7173</v>
      </c>
      <c r="D1705" s="3" t="s">
        <v>7173</v>
      </c>
      <c r="E1705" s="3" t="s">
        <v>7174</v>
      </c>
      <c r="F1705" s="3" t="s">
        <v>7175</v>
      </c>
      <c r="G1705" s="3" t="str">
        <f ca="1">IFERROR(__xludf.DUMMYFUNCTION("googletranslate(D1705,""en"",""ja"")"),"ECG最大心拍数")</f>
        <v>ECG最大心拍数</v>
      </c>
      <c r="H1705" s="3" t="str">
        <f ca="1">IFERROR(__xludf.DUMMYFUNCTION("googletranslate(E1705,""en"",""ja"")"),"一定期間における心臓の特定領域の脱分極の最大速度の心電図測定値。通常、1 分あたりの拍動数で表されます。特に指定がない限り、これは通常、最大心室心拍数です。")</f>
        <v>一定期間における心臓の特定領域の脱分極の最大速度の心電図測定値。通常、1 分あたりの拍動数で表されます。特に指定がない限り、これは通常、最大心室心拍数です。</v>
      </c>
      <c r="I1705" s="3" t="str">
        <f ca="1">IFERROR(__xludf.DUMMYFUNCTION("googletranslate(F1705,""en"",""ja"")"),"心電図による最大心拍数")</f>
        <v>心電図による最大心拍数</v>
      </c>
    </row>
    <row r="1706" spans="1:9" ht="75">
      <c r="A1706" s="3" t="s">
        <v>985</v>
      </c>
      <c r="B1706" s="3" t="s">
        <v>7176</v>
      </c>
      <c r="C1706" s="3" t="s">
        <v>7177</v>
      </c>
      <c r="D1706" s="3" t="s">
        <v>7177</v>
      </c>
      <c r="E1706" s="3" t="s">
        <v>7178</v>
      </c>
      <c r="F1706" s="3" t="s">
        <v>7177</v>
      </c>
      <c r="G1706" s="3" t="str">
        <f ca="1">IFERROR(__xludf.DUMMYFUNCTION("googletranslate(D1706,""en"",""ja"")"),"ECG 中央心拍数")</f>
        <v>ECG 中央心拍数</v>
      </c>
      <c r="H1706" s="3" t="str">
        <f ca="1">IFERROR(__xludf.DUMMYFUNCTION("googletranslate(E1706,""en"",""ja"")"),"一定期間における心臓の特定領域の脱分極率の中央値の心電図測定値。通常、1 分あたりの拍動数で表されます。特に指定がない限り、これは通常、心室心拍数の中央値です。")</f>
        <v>一定期間における心臓の特定領域の脱分極率の中央値の心電図測定値。通常、1 分あたりの拍動数で表されます。特に指定がない限り、これは通常、心室心拍数の中央値です。</v>
      </c>
      <c r="I1706" s="3" t="str">
        <f ca="1">IFERROR(__xludf.DUMMYFUNCTION("googletranslate(F1706,""en"",""ja"")"),"ECG 中央心拍数")</f>
        <v>ECG 中央心拍数</v>
      </c>
    </row>
    <row r="1707" spans="1:9" ht="75">
      <c r="A1707" s="3" t="s">
        <v>985</v>
      </c>
      <c r="B1707" s="3" t="s">
        <v>7179</v>
      </c>
      <c r="C1707" s="3" t="s">
        <v>7180</v>
      </c>
      <c r="D1707" s="3" t="s">
        <v>7180</v>
      </c>
      <c r="E1707" s="3" t="s">
        <v>7181</v>
      </c>
      <c r="F1707" s="3" t="s">
        <v>7182</v>
      </c>
      <c r="G1707" s="3" t="str">
        <f ca="1">IFERROR(__xludf.DUMMYFUNCTION("googletranslate(D1707,""en"",""ja"")"),"ECG 最小心拍数")</f>
        <v>ECG 最小心拍数</v>
      </c>
      <c r="H1707" s="3" t="str">
        <f ca="1">IFERROR(__xludf.DUMMYFUNCTION("googletranslate(E1707,""en"",""ja"")"),"一定時間における心臓の特定領域の最小脱分極率の心電図測定値。通常、1 分あたりの拍動数で表されます。特に指定がない限り、これは通常、最小心室心拍数です。")</f>
        <v>一定時間における心臓の特定領域の最小脱分極率の心電図測定値。通常、1 分あたりの拍動数で表されます。特に指定がない限り、これは通常、最小心室心拍数です。</v>
      </c>
      <c r="I1707" s="3" t="str">
        <f ca="1">IFERROR(__xludf.DUMMYFUNCTION("googletranslate(F1707,""en"",""ja"")"),"心電図による最小心拍数")</f>
        <v>心電図による最小心拍数</v>
      </c>
    </row>
    <row r="1708" spans="1:9" ht="60">
      <c r="A1708" s="3" t="s">
        <v>985</v>
      </c>
      <c r="B1708" s="3" t="s">
        <v>7183</v>
      </c>
      <c r="C1708" s="3" t="s">
        <v>7184</v>
      </c>
      <c r="D1708" s="3" t="s">
        <v>7184</v>
      </c>
      <c r="E1708" s="3" t="s">
        <v>7185</v>
      </c>
      <c r="F1708" s="3" t="s">
        <v>7186</v>
      </c>
      <c r="G1708" s="3" t="str">
        <f ca="1">IFERROR(__xludf.DUMMYFUNCTION("googletranslate(D1708,""en"",""ja"")"),"ECG 平均心拍数")</f>
        <v>ECG 平均心拍数</v>
      </c>
      <c r="H1708" s="3" t="str">
        <f ca="1">IFERROR(__xludf.DUMMYFUNCTION("googletranslate(E1708,""en"",""ja"")"),"一定期間における心臓の特定領域の脱分極の平均速度の心電図測定値。通常、1 分あたりの拍動数で表されます。特に指定がない限り、これは通常、平均心室心拍数です。")</f>
        <v>一定期間における心臓の特定領域の脱分極の平均速度の心電図測定値。通常、1 分あたりの拍動数で表されます。特に指定がない限り、これは通常、平均心室心拍数です。</v>
      </c>
      <c r="I1708" s="3" t="str">
        <f ca="1">IFERROR(__xludf.DUMMYFUNCTION("googletranslate(F1708,""en"",""ja"")"),"心電図による平均心拍数")</f>
        <v>心電図による平均心拍数</v>
      </c>
    </row>
    <row r="1709" spans="1:9" ht="45">
      <c r="A1709" s="3" t="s">
        <v>985</v>
      </c>
      <c r="B1709" s="3" t="s">
        <v>7187</v>
      </c>
      <c r="C1709" s="3" t="s">
        <v>7188</v>
      </c>
      <c r="D1709" s="3" t="s">
        <v>7188</v>
      </c>
      <c r="E1709" s="3" t="s">
        <v>7189</v>
      </c>
      <c r="F1709" s="3" t="s">
        <v>7190</v>
      </c>
      <c r="G1709" s="3" t="str">
        <f ca="1">IFERROR(__xludf.DUMMYFUNCTION("googletranslate(D1709,""en"",""ja"")"),"シングル RR 心拍数")</f>
        <v>シングル RR 心拍数</v>
      </c>
      <c r="H1709" s="3" t="str">
        <f ca="1">IFERROR(__xludf.DUMMYFUNCTION("googletranslate(E1709,""en"",""ja"")"),"単一の RR 間隔 (2 つの連続する QRS 群間の間隔) から得られる心拍数の心電図測定。")</f>
        <v>単一の RR 間隔 (2 つの連続する QRS 群間の間隔) から得られる心拍数の心電図測定。</v>
      </c>
      <c r="I1709" s="3" t="str">
        <f ca="1">IFERROR(__xludf.DUMMYFUNCTION("googletranslate(F1709,""en"",""ja"")"),"ECG 評価によるシングルビート RR 推定心拍数")</f>
        <v>ECG 評価によるシングルビート RR 推定心拍数</v>
      </c>
    </row>
    <row r="1710" spans="1:9" ht="45">
      <c r="A1710" s="3" t="s">
        <v>985</v>
      </c>
      <c r="B1710" s="3" t="s">
        <v>7191</v>
      </c>
      <c r="C1710" s="3" t="s">
        <v>7192</v>
      </c>
      <c r="D1710" s="3" t="s">
        <v>7192</v>
      </c>
      <c r="E1710" s="3" t="s">
        <v>7193</v>
      </c>
      <c r="F1710" s="3" t="s">
        <v>7194</v>
      </c>
      <c r="G1710" s="3" t="str">
        <f ca="1">IFERROR(__xludf.DUMMYFUNCTION("googletranslate(D1710,""en"",""ja"")"),"ECG 最大心室速度")</f>
        <v>ECG 最大心室速度</v>
      </c>
      <c r="H1710" s="3" t="str">
        <f ca="1">IFERROR(__xludf.DUMMYFUNCTION("googletranslate(E1710,""en"",""ja"")"),"一定時間内に記録された心室脱分極（QRS 群）の最大速度の心電図測定値。通常、1 分あたりの拍動数で表されます。")</f>
        <v>一定時間内に記録された心室脱分極（QRS 群）の最大速度の心電図測定値。通常、1 分あたりの拍動数で表されます。</v>
      </c>
      <c r="I1710" s="3" t="str">
        <f ca="1">IFERROR(__xludf.DUMMYFUNCTION("googletranslate(F1710,""en"",""ja"")"),"心電図による最大心室拍数")</f>
        <v>心電図による最大心室拍数</v>
      </c>
    </row>
    <row r="1711" spans="1:9" ht="45">
      <c r="A1711" s="3" t="s">
        <v>985</v>
      </c>
      <c r="B1711" s="3" t="s">
        <v>7195</v>
      </c>
      <c r="C1711" s="3" t="s">
        <v>7196</v>
      </c>
      <c r="D1711" s="3" t="s">
        <v>7196</v>
      </c>
      <c r="E1711" s="3" t="s">
        <v>7197</v>
      </c>
      <c r="F1711" s="3" t="s">
        <v>7198</v>
      </c>
      <c r="G1711" s="3" t="str">
        <f ca="1">IFERROR(__xludf.DUMMYFUNCTION("googletranslate(D1711,""en"",""ja"")"),"ECG 中央心室速度")</f>
        <v>ECG 中央心室速度</v>
      </c>
      <c r="H1711" s="3" t="str">
        <f ca="1">IFERROR(__xludf.DUMMYFUNCTION("googletranslate(E1711,""en"",""ja"")"),"一定時間内に記録された心室脱分極率 (QRS 群) の中央値の心電図測定値。通常、1 分あたりの心拍数で表されます。")</f>
        <v>一定時間内に記録された心室脱分極率 (QRS 群) の中央値の心電図測定値。通常、1 分あたりの心拍数で表されます。</v>
      </c>
      <c r="I1711" s="3" t="str">
        <f ca="1">IFERROR(__xludf.DUMMYFUNCTION("googletranslate(F1711,""en"",""ja"")"),"心電図による心室心拍数の中央値")</f>
        <v>心電図による心室心拍数の中央値</v>
      </c>
    </row>
    <row r="1712" spans="1:9" ht="45">
      <c r="A1712" s="3" t="s">
        <v>985</v>
      </c>
      <c r="B1712" s="3" t="s">
        <v>7199</v>
      </c>
      <c r="C1712" s="3" t="s">
        <v>7200</v>
      </c>
      <c r="D1712" s="3" t="s">
        <v>7200</v>
      </c>
      <c r="E1712" s="3" t="s">
        <v>7201</v>
      </c>
      <c r="F1712" s="3" t="s">
        <v>7202</v>
      </c>
      <c r="G1712" s="3" t="str">
        <f ca="1">IFERROR(__xludf.DUMMYFUNCTION("googletranslate(D1712,""en"",""ja"")"),"ECG 最小心室心拍数")</f>
        <v>ECG 最小心室心拍数</v>
      </c>
      <c r="H1712" s="3" t="str">
        <f ca="1">IFERROR(__xludf.DUMMYFUNCTION("googletranslate(E1712,""en"",""ja"")"),"一定時間内に記録された心室脱分極 (QRS 群) の最小率の心電図測定値。通常は 1 分あたりの心拍数で表されます。")</f>
        <v>一定時間内に記録された心室脱分極 (QRS 群) の最小率の心電図測定値。通常は 1 分あたりの心拍数で表されます。</v>
      </c>
      <c r="I1712" s="3" t="str">
        <f ca="1">IFERROR(__xludf.DUMMYFUNCTION("googletranslate(F1712,""en"",""ja"")"),"心電図による最小心室拍数")</f>
        <v>心電図による最小心室拍数</v>
      </c>
    </row>
    <row r="1713" spans="1:9" ht="45">
      <c r="A1713" s="3" t="s">
        <v>985</v>
      </c>
      <c r="B1713" s="3" t="s">
        <v>7203</v>
      </c>
      <c r="C1713" s="3" t="s">
        <v>7204</v>
      </c>
      <c r="D1713" s="3" t="s">
        <v>7204</v>
      </c>
      <c r="E1713" s="3" t="s">
        <v>7205</v>
      </c>
      <c r="F1713" s="3" t="s">
        <v>7206</v>
      </c>
      <c r="G1713" s="3" t="str">
        <f ca="1">IFERROR(__xludf.DUMMYFUNCTION("googletranslate(D1713,""en"",""ja"")"),"ECG 平均心室拍数")</f>
        <v>ECG 平均心室拍数</v>
      </c>
      <c r="H1713" s="3" t="str">
        <f ca="1">IFERROR(__xludf.DUMMYFUNCTION("googletranslate(E1713,""en"",""ja"")"),"一定時間内に記録された心室脱分極 (QRS 群) の平均速度の心電図測定値。通常、1 分あたりの心拍数で表されます。")</f>
        <v>一定時間内に記録された心室脱分極 (QRS 群) の平均速度の心電図測定値。通常、1 分あたりの心拍数で表されます。</v>
      </c>
      <c r="I1713" s="3" t="str">
        <f ca="1">IFERROR(__xludf.DUMMYFUNCTION("googletranslate(F1713,""en"",""ja"")"),"心電図による平均心室拍数")</f>
        <v>心電図による平均心室拍数</v>
      </c>
    </row>
    <row r="1714" spans="1:9" ht="30">
      <c r="A1714" s="3" t="s">
        <v>67</v>
      </c>
      <c r="B1714" s="3" t="s">
        <v>7207</v>
      </c>
      <c r="C1714" s="3" t="s">
        <v>7208</v>
      </c>
      <c r="D1714" s="3" t="s">
        <v>7208</v>
      </c>
      <c r="E1714" s="3" t="s">
        <v>7209</v>
      </c>
      <c r="F1714" s="3" t="s">
        <v>7210</v>
      </c>
      <c r="G1714" s="3" t="str">
        <f ca="1">IFERROR(__xludf.DUMMYFUNCTION("googletranslate(D1714,""en"",""ja"")"),"腸管出血性大腸菌")</f>
        <v>腸管出血性大腸菌</v>
      </c>
      <c r="H1714" s="3" t="str">
        <f ca="1">IFERROR(__xludf.DUMMYFUNCTION("googletranslate(E1714,""en"",""ja"")"),"生体標本中の腸管出血性大腸菌の測定。")</f>
        <v>生体標本中の腸管出血性大腸菌の測定。</v>
      </c>
      <c r="I1714" s="3" t="str">
        <f ca="1">IFERROR(__xludf.DUMMYFUNCTION("googletranslate(F1714,""en"",""ja"")"),"腸管出血性大腸菌の測定")</f>
        <v>腸管出血性大腸菌の測定</v>
      </c>
    </row>
    <row r="1715" spans="1:9" ht="30">
      <c r="A1715" s="3" t="s">
        <v>67</v>
      </c>
      <c r="B1715" s="3" t="s">
        <v>7211</v>
      </c>
      <c r="C1715" s="3" t="s">
        <v>7212</v>
      </c>
      <c r="D1715" s="3" t="s">
        <v>7212</v>
      </c>
      <c r="E1715" s="3" t="s">
        <v>7213</v>
      </c>
      <c r="F1715" s="3" t="s">
        <v>7214</v>
      </c>
      <c r="G1715" s="3" t="str">
        <f ca="1">IFERROR(__xludf.DUMMYFUNCTION("googletranslate(D1715,""en"",""ja"")"),"赤ん坊のDNA")</f>
        <v>赤ん坊のDNA</v>
      </c>
      <c r="H1715" s="3" t="str">
        <f ca="1">IFERROR(__xludf.DUMMYFUNCTION("googletranslate(E1715,""en"",""ja"")"),"生物学的標本中の Entamoeba histolytica DNA の測定。")</f>
        <v>生物学的標本中の Entamoeba histolytica DNA の測定。</v>
      </c>
      <c r="I1715" s="3" t="str">
        <f ca="1">IFERROR(__xludf.DUMMYFUNCTION("googletranslate(F1715,""en"",""ja"")"),"赤ん坊のDNA測定")</f>
        <v>赤ん坊のDNA測定</v>
      </c>
    </row>
    <row r="1716" spans="1:9" ht="30">
      <c r="A1716" s="3" t="s">
        <v>67</v>
      </c>
      <c r="B1716" s="3" t="s">
        <v>7215</v>
      </c>
      <c r="C1716" s="3" t="s">
        <v>7216</v>
      </c>
      <c r="D1716" s="3" t="s">
        <v>7216</v>
      </c>
      <c r="E1716" s="3" t="s">
        <v>7217</v>
      </c>
      <c r="F1716" s="3" t="s">
        <v>7218</v>
      </c>
      <c r="G1716" s="3" t="str">
        <f ca="1">IFERROR(__xludf.DUMMYFUNCTION("googletranslate(D1716,""en"",""ja"")"),"エールリキアのDNA")</f>
        <v>エールリキアのDNA</v>
      </c>
      <c r="H1716" s="3" t="str">
        <f ca="1">IFERROR(__xludf.DUMMYFUNCTION("googletranslate(E1716,""en"",""ja"")"),"生物学的標本中のエールリキア属のメンバーからの DNA の測定。")</f>
        <v>生物学的標本中のエールリキア属のメンバーからの DNA の測定。</v>
      </c>
      <c r="I1716" s="3" t="str">
        <f ca="1">IFERROR(__xludf.DUMMYFUNCTION("googletranslate(F1716,""en"",""ja"")"),"エーリキア DNA 測定")</f>
        <v>エーリキア DNA 測定</v>
      </c>
    </row>
    <row r="1717" spans="1:9" ht="30">
      <c r="A1717" s="3" t="s">
        <v>81</v>
      </c>
      <c r="B1717" s="3" t="s">
        <v>7219</v>
      </c>
      <c r="C1717" s="3" t="s">
        <v>7220</v>
      </c>
      <c r="D1717" s="3" t="s">
        <v>7220</v>
      </c>
      <c r="E1717" s="3" t="s">
        <v>7221</v>
      </c>
      <c r="F1717" s="3" t="s">
        <v>7220</v>
      </c>
      <c r="G1717" s="3" t="str">
        <f ca="1">IFERROR(__xludf.DUMMYFUNCTION("googletranslate(D1717,""en"",""ja"")"),"排出波振幅")</f>
        <v>排出波振幅</v>
      </c>
      <c r="H1717" s="3" t="str">
        <f ca="1">IFERROR(__xludf.DUMMYFUNCTION("googletranslate(E1717,""en"",""ja"")"),"血液が左心室によって大動脈に駆出されるときに発生する駆出波の大きさ。")</f>
        <v>血液が左心室によって大動脈に駆出されるときに発生する駆出波の大きさ。</v>
      </c>
      <c r="I1717" s="3" t="str">
        <f ca="1">IFERROR(__xludf.DUMMYFUNCTION("googletranslate(F1717,""en"",""ja"")"),"排出波振幅")</f>
        <v>排出波振幅</v>
      </c>
    </row>
    <row r="1718" spans="1:9" ht="75">
      <c r="A1718" s="3" t="s">
        <v>67</v>
      </c>
      <c r="B1718" s="3" t="s">
        <v>7222</v>
      </c>
      <c r="C1718" s="3" t="s">
        <v>7223</v>
      </c>
      <c r="D1718" s="3" t="s">
        <v>7224</v>
      </c>
      <c r="E1718" s="3" t="s">
        <v>7225</v>
      </c>
      <c r="F1718" s="3" t="s">
        <v>7226</v>
      </c>
      <c r="G1718" s="3" t="str">
        <f ca="1">IFERROR(__xludf.DUMMYFUNCTION("googletranslate(D1718,""en"",""ja"")"),"E.Coli K1/N.Meningitidis 血清群 B Ag;大腸菌 K1/髄膜炎菌グループ B 抗原;大腸菌 K1/髄膜炎菌 血清群 B 抗原")</f>
        <v>E.Coli K1/N.Meningitidis 血清群 B Ag;大腸菌 K1/髄膜炎菌グループ B 抗原;大腸菌 K1/髄膜炎菌 血清群 B 抗原</v>
      </c>
      <c r="H1718" s="3" t="str">
        <f ca="1">IFERROR(__xludf.DUMMYFUNCTION("googletranslate(E1718,""en"",""ja"")"),"生物学的検体中の大腸菌 K1 および/または髄膜炎菌血清群 B に由来する抗原の測定。")</f>
        <v>生物学的検体中の大腸菌 K1 および/または髄膜炎菌血清群 B に由来する抗原の測定。</v>
      </c>
      <c r="I1718" s="3" t="str">
        <f ca="1">IFERROR(__xludf.DUMMYFUNCTION("googletranslate(F1718,""en"",""ja"")"),"大腸菌K1および/または髄膜炎菌グループB抗原の測定")</f>
        <v>大腸菌K1および/または髄膜炎菌グループB抗原の測定</v>
      </c>
    </row>
    <row r="1719" spans="1:9" ht="30">
      <c r="A1719" s="3" t="s">
        <v>6</v>
      </c>
      <c r="B1719" s="3" t="s">
        <v>7227</v>
      </c>
      <c r="C1719" s="3" t="s">
        <v>7228</v>
      </c>
      <c r="D1719" s="3" t="s">
        <v>7228</v>
      </c>
      <c r="E1719" s="3" t="s">
        <v>7229</v>
      </c>
      <c r="F1719" s="3" t="s">
        <v>7230</v>
      </c>
      <c r="G1719" s="3" t="str">
        <f ca="1">IFERROR(__xludf.DUMMYFUNCTION("googletranslate(D1719,""en"",""ja"")"),"膵臓エラスターゼ 1")</f>
        <v>膵臓エラスターゼ 1</v>
      </c>
      <c r="H1719" s="3" t="str">
        <f ca="1">IFERROR(__xludf.DUMMYFUNCTION("googletranslate(E1719,""en"",""ja"")"),"生物学的標本における膵臓エラスターゼ 1 の測定。")</f>
        <v>生物学的標本における膵臓エラスターゼ 1 の測定。</v>
      </c>
      <c r="I1719" s="3" t="str">
        <f ca="1">IFERROR(__xludf.DUMMYFUNCTION("googletranslate(F1719,""en"",""ja"")"),"膵臓エラスターゼの測定")</f>
        <v>膵臓エラスターゼの測定</v>
      </c>
    </row>
    <row r="1720" spans="1:9" ht="30">
      <c r="A1720" s="3" t="s">
        <v>6</v>
      </c>
      <c r="B1720" s="3" t="s">
        <v>7231</v>
      </c>
      <c r="C1720" s="3" t="s">
        <v>7232</v>
      </c>
      <c r="D1720" s="3" t="s">
        <v>7232</v>
      </c>
      <c r="E1720" s="3" t="s">
        <v>7233</v>
      </c>
      <c r="F1720" s="3" t="s">
        <v>7234</v>
      </c>
      <c r="G1720" s="3" t="str">
        <f ca="1">IFERROR(__xludf.DUMMYFUNCTION("googletranslate(D1720,""en"",""ja"")"),"膵臓エラスターゼ 1、多形核")</f>
        <v>膵臓エラスターゼ 1、多形核</v>
      </c>
      <c r="H1720" s="3" t="str">
        <f ca="1">IFERROR(__xludf.DUMMYFUNCTION("googletranslate(E1720,""en"",""ja"")"),"生物学的標本における多形核膵臓エラスターゼ 1 の測定。")</f>
        <v>生物学的標本における多形核膵臓エラスターゼ 1 の測定。</v>
      </c>
      <c r="I1720" s="3" t="str">
        <f ca="1">IFERROR(__xludf.DUMMYFUNCTION("googletranslate(F1720,""en"",""ja"")"),"多形核膵エラスターゼの測定")</f>
        <v>多形核膵エラスターゼの測定</v>
      </c>
    </row>
    <row r="1721" spans="1:9" ht="30">
      <c r="A1721" s="3" t="s">
        <v>6</v>
      </c>
      <c r="B1721" s="3" t="s">
        <v>7235</v>
      </c>
      <c r="C1721" s="3" t="s">
        <v>7236</v>
      </c>
      <c r="D1721" s="3" t="s">
        <v>7236</v>
      </c>
      <c r="E1721" s="3" t="s">
        <v>7237</v>
      </c>
      <c r="F1721" s="3" t="s">
        <v>7238</v>
      </c>
      <c r="G1721" s="3" t="str">
        <f ca="1">IFERROR(__xludf.DUMMYFUNCTION("googletranslate(D1721,""en"",""ja"")"),"好中球エラスターゼ")</f>
        <v>好中球エラスターゼ</v>
      </c>
      <c r="H1721" s="3" t="str">
        <f ca="1">IFERROR(__xludf.DUMMYFUNCTION("googletranslate(E1721,""en"",""ja"")"),"生物学的標本中の好中球エラスターゼの測定。")</f>
        <v>生物学的標本中の好中球エラスターゼの測定。</v>
      </c>
      <c r="I1721" s="3" t="str">
        <f ca="1">IFERROR(__xludf.DUMMYFUNCTION("googletranslate(F1721,""en"",""ja"")"),"好中球エラスターゼの測定")</f>
        <v>好中球エラスターゼの測定</v>
      </c>
    </row>
    <row r="1722" spans="1:9" ht="30">
      <c r="A1722" s="3" t="s">
        <v>6</v>
      </c>
      <c r="B1722" s="3" t="s">
        <v>7239</v>
      </c>
      <c r="C1722" s="3" t="s">
        <v>7240</v>
      </c>
      <c r="D1722" s="3" t="s">
        <v>7240</v>
      </c>
      <c r="E1722" s="3" t="s">
        <v>7241</v>
      </c>
      <c r="F1722" s="3" t="s">
        <v>7242</v>
      </c>
      <c r="G1722" s="3" t="str">
        <f ca="1">IFERROR(__xludf.DUMMYFUNCTION("googletranslate(D1722,""en"",""ja"")"),"好中球エラスターゼ、多形核")</f>
        <v>好中球エラスターゼ、多形核</v>
      </c>
      <c r="H1722" s="3" t="str">
        <f ca="1">IFERROR(__xludf.DUMMYFUNCTION("googletranslate(E1722,""en"",""ja"")"),"生物学的標本中の多形核好中球エラスターゼの測定。")</f>
        <v>生物学的標本中の多形核好中球エラスターゼの測定。</v>
      </c>
      <c r="I1722" s="3" t="str">
        <f ca="1">IFERROR(__xludf.DUMMYFUNCTION("googletranslate(F1722,""en"",""ja"")"),"多形核好中球エラスターゼの測定")</f>
        <v>多形核好中球エラスターゼの測定</v>
      </c>
    </row>
    <row r="1723" spans="1:9" ht="45">
      <c r="A1723" s="3" t="s">
        <v>6</v>
      </c>
      <c r="B1723" s="3" t="s">
        <v>7243</v>
      </c>
      <c r="C1723" s="3" t="s">
        <v>7244</v>
      </c>
      <c r="D1723" s="3" t="s">
        <v>7244</v>
      </c>
      <c r="E1723" s="3" t="s">
        <v>7245</v>
      </c>
      <c r="F1723" s="3" t="s">
        <v>7246</v>
      </c>
      <c r="G1723" s="3" t="str">
        <f ca="1">IFERROR(__xludf.DUMMYFUNCTION("googletranslate(D1723,""en"",""ja"")"),"楕円球")</f>
        <v>楕円球</v>
      </c>
      <c r="H1723" s="3" t="str">
        <f ca="1">IFERROR(__xludf.DUMMYFUNCTION("googletranslate(E1723,""en"",""ja"")"),"生物学的標本中の楕円球（平滑末端と長軸が短軸の 2 倍の長さを備えた楕円形の細胞）の測定。")</f>
        <v>生物学的標本中の楕円球（平滑末端と長軸が短軸の 2 倍の長さを備えた楕円形の細胞）の測定。</v>
      </c>
      <c r="I1723" s="3" t="str">
        <f ca="1">IFERROR(__xludf.DUMMYFUNCTION("googletranslate(F1723,""en"",""ja"")"),"楕円球数")</f>
        <v>楕円球数</v>
      </c>
    </row>
    <row r="1724" spans="1:9">
      <c r="A1724" s="3" t="s">
        <v>51</v>
      </c>
      <c r="B1724" s="3" t="s">
        <v>7247</v>
      </c>
      <c r="C1724" s="3" t="s">
        <v>7248</v>
      </c>
      <c r="D1724" s="3" t="s">
        <v>7248</v>
      </c>
      <c r="E1724" s="3" t="s">
        <v>7249</v>
      </c>
      <c r="F1724" s="3" t="s">
        <v>7248</v>
      </c>
      <c r="G1724" s="3" t="str">
        <f ca="1">IFERROR(__xludf.DUMMYFUNCTION("googletranslate(D1724,""en"",""ja"")"),"E-リキッド粘度")</f>
        <v>E-リキッド粘度</v>
      </c>
      <c r="H1724" s="3" t="str">
        <f ca="1">IFERROR(__xludf.DUMMYFUNCTION("googletranslate(E1724,""en"",""ja"")"),"純粋な力と流れに対するリキッドの抵抗。")</f>
        <v>純粋な力と流れに対するリキッドの抵抗。</v>
      </c>
      <c r="I1724" s="3" t="str">
        <f ca="1">IFERROR(__xludf.DUMMYFUNCTION("googletranslate(F1724,""en"",""ja"")"),"E-リキッド粘度")</f>
        <v>E-リキッド粘度</v>
      </c>
    </row>
    <row r="1725" spans="1:9">
      <c r="A1725" s="3" t="s">
        <v>51</v>
      </c>
      <c r="B1725" s="3" t="s">
        <v>7250</v>
      </c>
      <c r="C1725" s="3" t="s">
        <v>7251</v>
      </c>
      <c r="D1725" s="3" t="s">
        <v>7251</v>
      </c>
      <c r="E1725" s="3" t="s">
        <v>7252</v>
      </c>
      <c r="F1725" s="3" t="s">
        <v>7251</v>
      </c>
      <c r="G1725" s="3" t="str">
        <f ca="1">IFERROR(__xludf.DUMMYFUNCTION("googletranslate(D1725,""en"",""ja"")"),"E-リキッドの量")</f>
        <v>E-リキッドの量</v>
      </c>
      <c r="H1725" s="3" t="str">
        <f ca="1">IFERROR(__xludf.DUMMYFUNCTION("googletranslate(E1725,""en"",""ja"")"),"電子リキッドが占める 3 次元空間の量。")</f>
        <v>電子リキッドが占める 3 次元空間の量。</v>
      </c>
      <c r="I1725" s="3" t="str">
        <f ca="1">IFERROR(__xludf.DUMMYFUNCTION("googletranslate(F1725,""en"",""ja"")"),"E-リキッドの量")</f>
        <v>E-リキッドの量</v>
      </c>
    </row>
    <row r="1726" spans="1:9" ht="45">
      <c r="A1726" s="3" t="s">
        <v>490</v>
      </c>
      <c r="B1726" s="3" t="s">
        <v>7253</v>
      </c>
      <c r="C1726" s="3" t="s">
        <v>7254</v>
      </c>
      <c r="D1726" s="3" t="s">
        <v>7254</v>
      </c>
      <c r="E1726" s="3" t="s">
        <v>7255</v>
      </c>
      <c r="F1726" s="3" t="s">
        <v>7254</v>
      </c>
      <c r="G1726" s="3" t="str">
        <f ca="1">IFERROR(__xludf.DUMMYFUNCTION("googletranslate(D1726,""en"",""ja"")"),"エラストンス")</f>
        <v>エラストンス</v>
      </c>
      <c r="H1726" s="3" t="str">
        <f ca="1">IFERROR(__xludf.DUMMYFUNCTION("googletranslate(E1726,""en"",""ja"")"),"システムの拡張に対する抵抗の尺度、つまり肺の単位容積変化を引き起こすのに必要な圧力変化。エラストンスはコンプライアンスの逆数です。")</f>
        <v>システムの拡張に対する抵抗の尺度、つまり肺の単位容積変化を引き起こすのに必要な圧力変化。エラストンスはコンプライアンスの逆数です。</v>
      </c>
      <c r="I1726" s="3" t="str">
        <f ca="1">IFERROR(__xludf.DUMMYFUNCTION("googletranslate(F1726,""en"",""ja"")"),"エラストンス")</f>
        <v>エラストンス</v>
      </c>
    </row>
    <row r="1727" spans="1:9" ht="45">
      <c r="A1727" s="3" t="s">
        <v>6</v>
      </c>
      <c r="B1727" s="3" t="s">
        <v>7256</v>
      </c>
      <c r="C1727" s="3" t="s">
        <v>7257</v>
      </c>
      <c r="D1727" s="3" t="s">
        <v>7258</v>
      </c>
      <c r="E1727" s="3" t="s">
        <v>7259</v>
      </c>
      <c r="F1727" s="3" t="s">
        <v>7260</v>
      </c>
      <c r="G1727" s="3" t="str">
        <f ca="1">IFERROR(__xludf.DUMMYFUNCTION("googletranslate(D1727,""en"",""ja"")"),"エチルランフェタミン;エチラムフェタミン; N-エチルアンフェタミン")</f>
        <v>エチルランフェタミン;エチラムフェタミン; N-エチルアンフェタミン</v>
      </c>
      <c r="H1727" s="3" t="str">
        <f ca="1">IFERROR(__xludf.DUMMYFUNCTION("googletranslate(E1727,""en"",""ja"")"),"生物学的標本中のエチルアンフェタミンの測定。")</f>
        <v>生物学的標本中のエチルアンフェタミンの測定。</v>
      </c>
      <c r="I1727" s="3" t="str">
        <f ca="1">IFERROR(__xludf.DUMMYFUNCTION("googletranslate(F1727,""en"",""ja"")"),"エチルアンフェタミンの測定")</f>
        <v>エチルアンフェタミンの測定</v>
      </c>
    </row>
    <row r="1728" spans="1:9" ht="45">
      <c r="A1728" s="3" t="s">
        <v>1255</v>
      </c>
      <c r="B1728" s="3" t="s">
        <v>7261</v>
      </c>
      <c r="C1728" s="3" t="s">
        <v>7262</v>
      </c>
      <c r="D1728" s="3" t="s">
        <v>7263</v>
      </c>
      <c r="E1728" s="3" t="s">
        <v>7264</v>
      </c>
      <c r="F1728" s="3" t="s">
        <v>7265</v>
      </c>
      <c r="G1728" s="3" t="str">
        <f ca="1">IFERROR(__xludf.DUMMYFUNCTION("googletranslate(D1728,""en"",""ja"")"),"筋電図電極の数。 EMG 電極の数")</f>
        <v>筋電図電極の数。 EMG 電極の数</v>
      </c>
      <c r="H1728" s="3" t="str">
        <f ca="1">IFERROR(__xludf.DUMMYFUNCTION("googletranslate(E1728,""en"",""ja"")"),"評価に使用された筋電図電極の数。")</f>
        <v>評価に使用された筋電図電極の数。</v>
      </c>
      <c r="I1728" s="3" t="str">
        <f ca="1">IFERROR(__xludf.DUMMYFUNCTION("googletranslate(F1728,""en"",""ja"")"),"筋電図電極の数")</f>
        <v>筋電図電極の数</v>
      </c>
    </row>
    <row r="1729" spans="1:9" ht="60">
      <c r="A1729" s="3" t="s">
        <v>503</v>
      </c>
      <c r="B1729" s="3" t="s">
        <v>7266</v>
      </c>
      <c r="C1729" s="3" t="s">
        <v>7267</v>
      </c>
      <c r="D1729" s="3" t="s">
        <v>7268</v>
      </c>
      <c r="E1729" s="3" t="s">
        <v>7269</v>
      </c>
      <c r="F1729" s="3" t="s">
        <v>7270</v>
      </c>
      <c r="G1729" s="3" t="str">
        <f ca="1">IFERROR(__xludf.DUMMYFUNCTION("googletranslate(D1729,""en"",""ja"")"),"従業員の仕事;職業;仕事の種類")</f>
        <v>従業員の仕事;職業;仕事の種類</v>
      </c>
      <c r="H1729" s="3" t="str">
        <f ca="1">IFERROR(__xludf.DUMMYFUNCTION("googletranslate(E1729,""en"",""ja"")"),"従業員が雇用主のために実行する仕事を指定するコード。たとえば、会計士、プログラマ アナリスト、患者ケア アソシエイト、スタッフ ナースなどです。")</f>
        <v>従業員が雇用主のために実行する仕事を指定するコード。たとえば、会計士、プログラマ アナリスト、患者ケア アソシエイト、スタッフ ナースなどです。</v>
      </c>
      <c r="I1729" s="3" t="str">
        <f ca="1">IFERROR(__xludf.DUMMYFUNCTION("googletranslate(F1729,""en"",""ja"")"),"職業")</f>
        <v>職業</v>
      </c>
    </row>
    <row r="1730" spans="1:9">
      <c r="A1730" s="3" t="s">
        <v>503</v>
      </c>
      <c r="B1730" s="3" t="s">
        <v>7271</v>
      </c>
      <c r="C1730" s="3" t="s">
        <v>7272</v>
      </c>
      <c r="D1730" s="3" t="s">
        <v>7272</v>
      </c>
      <c r="E1730" s="3" t="s">
        <v>7273</v>
      </c>
      <c r="F1730" s="3" t="s">
        <v>7272</v>
      </c>
      <c r="G1730" s="3" t="str">
        <f ca="1">IFERROR(__xludf.DUMMYFUNCTION("googletranslate(D1730,""en"",""ja"")"),"雇用形態")</f>
        <v>雇用形態</v>
      </c>
      <c r="H1730" s="3" t="str">
        <f ca="1">IFERROR(__xludf.DUMMYFUNCTION("googletranslate(E1730,""en"",""ja"")"),"個人の雇用の状態または条件。")</f>
        <v>個人の雇用の状態または条件。</v>
      </c>
      <c r="I1730" s="3" t="str">
        <f ca="1">IFERROR(__xludf.DUMMYFUNCTION("googletranslate(F1730,""en"",""ja"")"),"雇用形態")</f>
        <v>雇用形態</v>
      </c>
    </row>
    <row r="1731" spans="1:9" ht="30">
      <c r="A1731" s="3" t="s">
        <v>6</v>
      </c>
      <c r="B1731" s="3" t="s">
        <v>7274</v>
      </c>
      <c r="C1731" s="3" t="s">
        <v>7275</v>
      </c>
      <c r="D1731" s="3" t="s">
        <v>7275</v>
      </c>
      <c r="E1731" s="3" t="s">
        <v>7276</v>
      </c>
      <c r="F1731" s="3" t="s">
        <v>7277</v>
      </c>
      <c r="G1731" s="3" t="str">
        <f ca="1">IFERROR(__xludf.DUMMYFUNCTION("googletranslate(D1731,""en"",""ja"")"),"Epith 好中球活性化ペプチド 78")</f>
        <v>Epith 好中球活性化ペプチド 78</v>
      </c>
      <c r="H1731" s="3" t="str">
        <f ca="1">IFERROR(__xludf.DUMMYFUNCTION("googletranslate(E1731,""en"",""ja"")"),"生物学的標本中の上皮好中球活性化ペプチドの測定。")</f>
        <v>生物学的標本中の上皮好中球活性化ペプチドの測定。</v>
      </c>
      <c r="I1731" s="3" t="str">
        <f ca="1">IFERROR(__xludf.DUMMYFUNCTION("googletranslate(F1731,""en"",""ja"")"),"上皮好中球活性化ペプチド 78 の測定")</f>
        <v>上皮好中球活性化ペプチド 78 の測定</v>
      </c>
    </row>
    <row r="1732" spans="1:9" ht="30">
      <c r="A1732" s="3" t="s">
        <v>103</v>
      </c>
      <c r="B1732" s="3" t="s">
        <v>7278</v>
      </c>
      <c r="C1732" s="3" t="s">
        <v>7279</v>
      </c>
      <c r="D1732" s="3" t="s">
        <v>7279</v>
      </c>
      <c r="E1732" s="3" t="s">
        <v>7280</v>
      </c>
      <c r="F1732" s="3" t="s">
        <v>7281</v>
      </c>
      <c r="G1732" s="3" t="str">
        <f ca="1">IFERROR(__xludf.DUMMYFUNCTION("googletranslate(D1732,""en"",""ja"")"),"内皮細胞")</f>
        <v>内皮細胞</v>
      </c>
      <c r="H1732" s="3" t="str">
        <f ca="1">IFERROR(__xludf.DUMMYFUNCTION("googletranslate(E1732,""en"",""ja"")"),"生物学的標本における内皮細胞の測定。")</f>
        <v>生物学的標本における内皮細胞の測定。</v>
      </c>
      <c r="I1732" s="3" t="str">
        <f ca="1">IFERROR(__xludf.DUMMYFUNCTION("googletranslate(F1732,""en"",""ja"")"),"内皮細胞数")</f>
        <v>内皮細胞数</v>
      </c>
    </row>
    <row r="1733" spans="1:9" ht="30">
      <c r="A1733" s="3" t="s">
        <v>6</v>
      </c>
      <c r="B1733" s="3" t="s">
        <v>7282</v>
      </c>
      <c r="C1733" s="3" t="s">
        <v>7283</v>
      </c>
      <c r="D1733" s="3" t="s">
        <v>7284</v>
      </c>
      <c r="E1733" s="3" t="s">
        <v>7285</v>
      </c>
      <c r="F1733" s="3" t="s">
        <v>7286</v>
      </c>
      <c r="G1733" s="3" t="str">
        <f ca="1">IFERROR(__xludf.DUMMYFUNCTION("googletranslate(D1733,""en"",""ja"")"),"コラーゲン XVIII 型アルファ 1 鎖。エンドスタチン")</f>
        <v>コラーゲン XVIII 型アルファ 1 鎖。エンドスタチン</v>
      </c>
      <c r="H1733" s="3" t="str">
        <f ca="1">IFERROR(__xludf.DUMMYFUNCTION("googletranslate(E1733,""en"",""ja"")"),"生物学的標本中のエンドスタチンの測定。")</f>
        <v>生物学的標本中のエンドスタチンの測定。</v>
      </c>
      <c r="I1733" s="3" t="str">
        <f ca="1">IFERROR(__xludf.DUMMYFUNCTION("googletranslate(F1733,""en"",""ja"")"),"エンドスタチンの測定")</f>
        <v>エンドスタチンの測定</v>
      </c>
    </row>
    <row r="1734" spans="1:9">
      <c r="A1734" s="3" t="s">
        <v>6</v>
      </c>
      <c r="B1734" s="3" t="s">
        <v>7287</v>
      </c>
      <c r="C1734" s="3" t="s">
        <v>7288</v>
      </c>
      <c r="D1734" s="3" t="s">
        <v>7288</v>
      </c>
      <c r="E1734" s="3" t="s">
        <v>7289</v>
      </c>
      <c r="F1734" s="3" t="s">
        <v>7290</v>
      </c>
      <c r="G1734" s="3" t="str">
        <f ca="1">IFERROR(__xludf.DUMMYFUNCTION("googletranslate(D1734,""en"",""ja"")"),"エンドセリン-1")</f>
        <v>エンドセリン-1</v>
      </c>
      <c r="H1734" s="3" t="str">
        <f ca="1">IFERROR(__xludf.DUMMYFUNCTION("googletranslate(E1734,""en"",""ja"")"),"生物学的標本中のエンドセリン-1の測定。")</f>
        <v>生物学的標本中のエンドセリン-1の測定。</v>
      </c>
      <c r="I1734" s="3" t="str">
        <f ca="1">IFERROR(__xludf.DUMMYFUNCTION("googletranslate(F1734,""en"",""ja"")"),"エンドセリン-1の測定")</f>
        <v>エンドセリン-1の測定</v>
      </c>
    </row>
    <row r="1735" spans="1:9">
      <c r="A1735" s="3" t="s">
        <v>6</v>
      </c>
      <c r="B1735" s="3" t="s">
        <v>7291</v>
      </c>
      <c r="C1735" s="3" t="s">
        <v>7292</v>
      </c>
      <c r="D1735" s="3" t="s">
        <v>7293</v>
      </c>
      <c r="E1735" s="3" t="s">
        <v>7294</v>
      </c>
      <c r="F1735" s="3" t="s">
        <v>7295</v>
      </c>
      <c r="G1735" s="3" t="str">
        <f ca="1">IFERROR(__xludf.DUMMYFUNCTION("googletranslate(D1735,""en"",""ja"")"),"エンドセリン-3; ET-3")</f>
        <v>エンドセリン-3; ET-3</v>
      </c>
      <c r="H1735" s="3" t="str">
        <f ca="1">IFERROR(__xludf.DUMMYFUNCTION("googletranslate(E1735,""en"",""ja"")"),"生物学的標本中のエンドセリン 3 の測定。")</f>
        <v>生物学的標本中のエンドセリン 3 の測定。</v>
      </c>
      <c r="I1735" s="3" t="str">
        <f ca="1">IFERROR(__xludf.DUMMYFUNCTION("googletranslate(F1735,""en"",""ja"")"),"エンドセリン-3の測定")</f>
        <v>エンドセリン-3の測定</v>
      </c>
    </row>
    <row r="1736" spans="1:9" ht="30">
      <c r="A1736" s="3" t="s">
        <v>185</v>
      </c>
      <c r="B1736" s="3" t="s">
        <v>7296</v>
      </c>
      <c r="C1736" s="3" t="s">
        <v>7297</v>
      </c>
      <c r="D1736" s="3" t="s">
        <v>7297</v>
      </c>
      <c r="E1736" s="3" t="s">
        <v>7298</v>
      </c>
      <c r="F1736" s="3" t="s">
        <v>7297</v>
      </c>
      <c r="G1736" s="3" t="str">
        <f ca="1">IFERROR(__xludf.DUMMYFUNCTION("googletranslate(D1736,""en"",""ja"")"),"エンドポイントイベントインジケーター")</f>
        <v>エンドポイントイベントインジケーター</v>
      </c>
      <c r="H1736" s="3" t="str">
        <f ca="1">IFERROR(__xludf.DUMMYFUNCTION("googletranslate(E1736,""en"",""ja"")"),"イベントが臨床エンドポイントであるための基準を満たしているかどうかに関する指標。")</f>
        <v>イベントが臨床エンドポイントであるための基準を満たしているかどうかに関する指標。</v>
      </c>
      <c r="I1736" s="3" t="str">
        <f ca="1">IFERROR(__xludf.DUMMYFUNCTION("googletranslate(F1736,""en"",""ja"")"),"エンドポイントイベントインジケーター")</f>
        <v>エンドポイントイベントインジケーター</v>
      </c>
    </row>
    <row r="1737" spans="1:9" ht="45">
      <c r="A1737" s="3" t="s">
        <v>142</v>
      </c>
      <c r="B1737" s="3" t="s">
        <v>7299</v>
      </c>
      <c r="C1737" s="3" t="s">
        <v>7300</v>
      </c>
      <c r="D1737" s="3" t="s">
        <v>7301</v>
      </c>
      <c r="E1737" s="3" t="s">
        <v>7302</v>
      </c>
      <c r="F1737" s="3" t="s">
        <v>7303</v>
      </c>
      <c r="G1737" s="3" t="str">
        <f ca="1">IFERROR(__xludf.DUMMYFUNCTION("googletranslate(D1737,""en"",""ja"")"),"次回の月経開始予定日。次の月経開始予定日")</f>
        <v>次回の月経開始予定日。次の月経開始予定日</v>
      </c>
      <c r="H1737" s="3" t="str">
        <f ca="1">IFERROR(__xludf.DUMMYFUNCTION("googletranslate(E1737,""en"",""ja"")"),"次の月経周期の初日のおおよその日付。")</f>
        <v>次の月経周期の初日のおおよその日付。</v>
      </c>
      <c r="I1737" s="3" t="str">
        <f ca="1">IFERROR(__xludf.DUMMYFUNCTION("googletranslate(F1737,""en"",""ja"")"),"次の月経開始予定日")</f>
        <v>次の月経開始予定日</v>
      </c>
    </row>
    <row r="1738" spans="1:9" ht="45">
      <c r="A1738" s="3" t="s">
        <v>6</v>
      </c>
      <c r="B1738" s="3" t="s">
        <v>7304</v>
      </c>
      <c r="C1738" s="3" t="s">
        <v>7305</v>
      </c>
      <c r="D1738" s="3" t="s">
        <v>7306</v>
      </c>
      <c r="E1738" s="3" t="s">
        <v>7307</v>
      </c>
      <c r="F1738" s="3" t="s">
        <v>7308</v>
      </c>
      <c r="G1738" s="3" t="str">
        <f ca="1">IFERROR(__xludf.DUMMYFUNCTION("googletranslate(D1738,""en"",""ja"")"),"Extracell が新たに特定した RAGE Bind Protein; S100 カルシウム結合タンパク質 A12")</f>
        <v>Extracell が新たに特定した RAGE Bind Protein; S100 カルシウム結合タンパク質 A12</v>
      </c>
      <c r="H1738" s="3" t="str">
        <f ca="1">IFERROR(__xludf.DUMMYFUNCTION("googletranslate(E1738,""en"",""ja"")"),"生物学的標本中の細胞外で新たに同定された RAGE (終末糖化産物受容体) 結合タンパク質の測定。")</f>
        <v>生物学的標本中の細胞外で新たに同定された RAGE (終末糖化産物受容体) 結合タンパク質の測定。</v>
      </c>
      <c r="I1738" s="3" t="str">
        <f ca="1">IFERROR(__xludf.DUMMYFUNCTION("googletranslate(F1738,""en"",""ja"")"),"Extracell Newly Ident RAGE バインドタンパク質測定")</f>
        <v>Extracell Newly Ident RAGE バインドタンパク質測定</v>
      </c>
    </row>
    <row r="1739" spans="1:9" ht="30">
      <c r="A1739" s="3" t="s">
        <v>118</v>
      </c>
      <c r="B1739" s="3" t="s">
        <v>7309</v>
      </c>
      <c r="C1739" s="3" t="s">
        <v>7310</v>
      </c>
      <c r="D1739" s="3" t="s">
        <v>7310</v>
      </c>
      <c r="E1739" s="3" t="s">
        <v>7311</v>
      </c>
      <c r="F1739" s="3" t="s">
        <v>7310</v>
      </c>
      <c r="G1739" s="3" t="str">
        <f ca="1">IFERROR(__xludf.DUMMYFUNCTION("googletranslate(D1739,""en"",""ja"")"),"エネルギー消費量")</f>
        <v>エネルギー消費量</v>
      </c>
      <c r="H1739" s="3" t="str">
        <f ca="1">IFERROR(__xludf.DUMMYFUNCTION("googletranslate(E1739,""en"",""ja"")"),"生理学的または身体的機能を実行するために使用されるエネルギー量の測定値。")</f>
        <v>生理学的または身体的機能を実行するために使用されるエネルギー量の測定値。</v>
      </c>
      <c r="I1739" s="3" t="str">
        <f ca="1">IFERROR(__xludf.DUMMYFUNCTION("googletranslate(F1739,""en"",""ja"")"),"エネルギー消費量")</f>
        <v>エネルギー消費量</v>
      </c>
    </row>
    <row r="1740" spans="1:9" ht="45">
      <c r="A1740" s="3" t="s">
        <v>67</v>
      </c>
      <c r="B1740" s="3" t="s">
        <v>7312</v>
      </c>
      <c r="C1740" s="3" t="s">
        <v>7313</v>
      </c>
      <c r="D1740" s="3" t="s">
        <v>7313</v>
      </c>
      <c r="E1740" s="3" t="s">
        <v>7314</v>
      </c>
      <c r="F1740" s="3" t="s">
        <v>7315</v>
      </c>
      <c r="G1740" s="3" t="str">
        <f ca="1">IFERROR(__xludf.DUMMYFUNCTION("googletranslate(D1740,""en"",""ja"")"),"エンテロバクター")</f>
        <v>エンテロバクター</v>
      </c>
      <c r="H1740" s="3" t="str">
        <f ca="1">IFERROR(__xludf.DUMMYFUNCTION("googletranslate(E1740,""en"",""ja"")"),"生物学的標本において、種レベルには割り当てられていないが、エンテロバクター属レベルに割り当てられている生物の測定値。")</f>
        <v>生物学的標本において、種レベルには割り当てられていないが、エンテロバクター属レベルに割り当てられている生物の測定値。</v>
      </c>
      <c r="I1740" s="3" t="str">
        <f ca="1">IFERROR(__xludf.DUMMYFUNCTION("googletranslate(F1740,""en"",""ja"")"),"エンテロバクター測定")</f>
        <v>エンテロバクター測定</v>
      </c>
    </row>
    <row r="1741" spans="1:9" ht="45">
      <c r="A1741" s="3" t="s">
        <v>67</v>
      </c>
      <c r="B1741" s="3" t="s">
        <v>7316</v>
      </c>
      <c r="C1741" s="3" t="s">
        <v>7317</v>
      </c>
      <c r="D1741" s="3" t="s">
        <v>7317</v>
      </c>
      <c r="E1741" s="3" t="s">
        <v>7318</v>
      </c>
      <c r="F1741" s="3" t="s">
        <v>7319</v>
      </c>
      <c r="G1741" s="3" t="str">
        <f ca="1">IFERROR(__xludf.DUMMYFUNCTION("googletranslate(D1741,""en"",""ja"")"),"腸球菌")</f>
        <v>腸球菌</v>
      </c>
      <c r="H1741" s="3" t="str">
        <f ca="1">IFERROR(__xludf.DUMMYFUNCTION("googletranslate(E1741,""en"",""ja"")"),"生物学的標本において、種レベルには割り当てられていないが、エンテロコッカス属レベルに割り当てられている生物の測定値。")</f>
        <v>生物学的標本において、種レベルには割り当てられていないが、エンテロコッカス属レベルに割り当てられている生物の測定値。</v>
      </c>
      <c r="I1741" s="3" t="str">
        <f ca="1">IFERROR(__xludf.DUMMYFUNCTION("googletranslate(F1741,""en"",""ja"")"),"腸球菌の測定")</f>
        <v>腸球菌の測定</v>
      </c>
    </row>
    <row r="1742" spans="1:9" ht="45">
      <c r="A1742" s="3" t="s">
        <v>67</v>
      </c>
      <c r="B1742" s="3" t="s">
        <v>7320</v>
      </c>
      <c r="C1742" s="3" t="s">
        <v>7321</v>
      </c>
      <c r="D1742" s="3" t="s">
        <v>7321</v>
      </c>
      <c r="E1742" s="3" t="s">
        <v>7322</v>
      </c>
      <c r="F1742" s="3" t="s">
        <v>7323</v>
      </c>
      <c r="G1742" s="3" t="str">
        <f ca="1">IFERROR(__xludf.DUMMYFUNCTION("googletranslate(D1742,""en"",""ja"")"),"エンテロウイルス")</f>
        <v>エンテロウイルス</v>
      </c>
      <c r="H1742" s="3" t="str">
        <f ca="1">IFERROR(__xludf.DUMMYFUNCTION("googletranslate(E1742,""en"",""ja"")"),"生物学的標本において、種レベルには割り当てられていないが、エンテロウイルス属レベルに割り当てられている生物の測定値。")</f>
        <v>生物学的標本において、種レベルには割り当てられていないが、エンテロウイルス属レベルに割り当てられている生物の測定値。</v>
      </c>
      <c r="I1742" s="3" t="str">
        <f ca="1">IFERROR(__xludf.DUMMYFUNCTION("googletranslate(F1742,""en"",""ja"")"),"エンテロウイルス測定")</f>
        <v>エンテロウイルス測定</v>
      </c>
    </row>
    <row r="1743" spans="1:9" ht="30">
      <c r="A1743" s="3" t="s">
        <v>67</v>
      </c>
      <c r="B1743" s="3" t="s">
        <v>7324</v>
      </c>
      <c r="C1743" s="3" t="s">
        <v>7325</v>
      </c>
      <c r="D1743" s="3" t="s">
        <v>7325</v>
      </c>
      <c r="E1743" s="3" t="s">
        <v>7326</v>
      </c>
      <c r="F1743" s="3" t="s">
        <v>7327</v>
      </c>
      <c r="G1743" s="3" t="str">
        <f ca="1">IFERROR(__xludf.DUMMYFUNCTION("googletranslate(D1743,""en"",""ja"")"),"エンテロウイルス RNA")</f>
        <v>エンテロウイルス RNA</v>
      </c>
      <c r="H1743" s="3" t="str">
        <f ca="1">IFERROR(__xludf.DUMMYFUNCTION("googletranslate(E1743,""en"",""ja"")"),"生物学的標本中のエンテロウイルス属の任意のメンバーからの RNA の測定。")</f>
        <v>生物学的標本中のエンテロウイルス属の任意のメンバーからの RNA の測定。</v>
      </c>
      <c r="I1743" s="3" t="str">
        <f ca="1">IFERROR(__xludf.DUMMYFUNCTION("googletranslate(F1743,""en"",""ja"")"),"エンテロウイルスRNA測定")</f>
        <v>エンテロウイルスRNA測定</v>
      </c>
    </row>
    <row r="1744" spans="1:9" ht="30">
      <c r="A1744" s="3" t="s">
        <v>67</v>
      </c>
      <c r="B1744" s="3" t="s">
        <v>7328</v>
      </c>
      <c r="C1744" s="3" t="s">
        <v>7329</v>
      </c>
      <c r="D1744" s="3" t="s">
        <v>7329</v>
      </c>
      <c r="E1744" s="3" t="s">
        <v>7330</v>
      </c>
      <c r="F1744" s="3" t="s">
        <v>7331</v>
      </c>
      <c r="G1744" s="3" t="str">
        <f ca="1">IFERROR(__xludf.DUMMYFUNCTION("googletranslate(D1744,""en"",""ja"")"),"大腸菌 O157 抗原")</f>
        <v>大腸菌 O157 抗原</v>
      </c>
      <c r="H1744" s="3" t="str">
        <f ca="1">IFERROR(__xludf.DUMMYFUNCTION("googletranslate(E1744,""en"",""ja"")"),"生物学的標本中の大腸菌 O157 抗原の測定。")</f>
        <v>生物学的標本中の大腸菌 O157 抗原の測定。</v>
      </c>
      <c r="I1744" s="3" t="str">
        <f ca="1">IFERROR(__xludf.DUMMYFUNCTION("googletranslate(F1744,""en"",""ja"")"),"大腸菌O157抗原測定")</f>
        <v>大腸菌O157抗原測定</v>
      </c>
    </row>
    <row r="1745" spans="1:9" ht="30">
      <c r="A1745" s="3" t="s">
        <v>67</v>
      </c>
      <c r="B1745" s="3" t="s">
        <v>7332</v>
      </c>
      <c r="C1745" s="3" t="s">
        <v>7333</v>
      </c>
      <c r="D1745" s="3" t="s">
        <v>7333</v>
      </c>
      <c r="E1745" s="3" t="s">
        <v>7334</v>
      </c>
      <c r="F1745" s="3" t="s">
        <v>7335</v>
      </c>
      <c r="G1745" s="3" t="str">
        <f ca="1">IFERROR(__xludf.DUMMYFUNCTION("googletranslate(D1745,""en"",""ja"")"),"大腸菌O157 DNA")</f>
        <v>大腸菌O157 DNA</v>
      </c>
      <c r="H1745" s="3" t="str">
        <f ca="1">IFERROR(__xludf.DUMMYFUNCTION("googletranslate(E1745,""en"",""ja"")"),"生物学的標本中の大腸菌 O157 DNA の測定。")</f>
        <v>生物学的標本中の大腸菌 O157 DNA の測定。</v>
      </c>
      <c r="I1745" s="3" t="str">
        <f ca="1">IFERROR(__xludf.DUMMYFUNCTION("googletranslate(F1745,""en"",""ja"")"),"大腸菌O157 DNA測定")</f>
        <v>大腸菌O157 DNA測定</v>
      </c>
    </row>
    <row r="1746" spans="1:9" ht="30">
      <c r="A1746" s="3" t="s">
        <v>81</v>
      </c>
      <c r="B1746" s="3" t="s">
        <v>7336</v>
      </c>
      <c r="C1746" s="3" t="s">
        <v>7337</v>
      </c>
      <c r="D1746" s="3" t="s">
        <v>7337</v>
      </c>
      <c r="E1746" s="3" t="s">
        <v>7338</v>
      </c>
      <c r="F1746" s="3" t="s">
        <v>7337</v>
      </c>
      <c r="G1746" s="3" t="str">
        <f ca="1">IFERROR(__xludf.DUMMYFUNCTION("googletranslate(D1746,""en"",""ja"")"),"有効オリフィス面積")</f>
        <v>有効オリフィス面積</v>
      </c>
      <c r="H1746" s="3" t="str">
        <f ca="1">IFERROR(__xludf.DUMMYFUNCTION("googletranslate(E1746,""en"",""ja"")"),"最大開口点における心臓弁の面積の計算された推定値。")</f>
        <v>最大開口点における心臓弁の面積の計算された推定値。</v>
      </c>
      <c r="I1746" s="3" t="str">
        <f ca="1">IFERROR(__xludf.DUMMYFUNCTION("googletranslate(F1746,""en"",""ja"")"),"有効オリフィス面積")</f>
        <v>有効オリフィス面積</v>
      </c>
    </row>
    <row r="1747" spans="1:9" ht="30">
      <c r="A1747" s="3" t="s">
        <v>81</v>
      </c>
      <c r="B1747" s="3" t="s">
        <v>7339</v>
      </c>
      <c r="C1747" s="3" t="s">
        <v>7340</v>
      </c>
      <c r="D1747" s="3" t="s">
        <v>7340</v>
      </c>
      <c r="E1747" s="3" t="s">
        <v>7341</v>
      </c>
      <c r="F1747" s="3" t="s">
        <v>7340</v>
      </c>
      <c r="G1747" s="3" t="str">
        <f ca="1">IFERROR(__xludf.DUMMYFUNCTION("googletranslate(D1747,""en"",""ja"")"),"有効オリフィス面積指数")</f>
        <v>有効オリフィス面積指数</v>
      </c>
      <c r="H1747" s="3" t="str">
        <f ca="1">IFERROR(__xludf.DUMMYFUNCTION("googletranslate(E1747,""en"",""ja"")"),"有効オリフィス面積 (EOA) と本体表面積 (BSA) の比。")</f>
        <v>有効オリフィス面積 (EOA) と本体表面積 (BSA) の比。</v>
      </c>
      <c r="I1747" s="3" t="str">
        <f ca="1">IFERROR(__xludf.DUMMYFUNCTION("googletranslate(F1747,""en"",""ja"")"),"有効オリフィス面積指数")</f>
        <v>有効オリフィス面積指数</v>
      </c>
    </row>
    <row r="1748" spans="1:9" ht="45">
      <c r="A1748" s="3" t="s">
        <v>1255</v>
      </c>
      <c r="B1748" s="3" t="s">
        <v>7342</v>
      </c>
      <c r="C1748" s="3" t="s">
        <v>7343</v>
      </c>
      <c r="D1748" s="3" t="s">
        <v>7344</v>
      </c>
      <c r="E1748" s="3" t="s">
        <v>7345</v>
      </c>
      <c r="F1748" s="3" t="s">
        <v>7346</v>
      </c>
      <c r="G1748" s="3" t="str">
        <f ca="1">IFERROR(__xludf.DUMMYFUNCTION("googletranslate(D1748,""en"",""ja"")"),"眼電図電極の数; EOG電極数")</f>
        <v>眼電図電極の数; EOG電極数</v>
      </c>
      <c r="H1748" s="3" t="str">
        <f ca="1">IFERROR(__xludf.DUMMYFUNCTION("googletranslate(E1748,""en"",""ja"")"),"評価に使用された眼電図電極の数。")</f>
        <v>評価に使用された眼電図電極の数。</v>
      </c>
      <c r="I1748" s="3" t="str">
        <f ca="1">IFERROR(__xludf.DUMMYFUNCTION("googletranslate(F1748,""en"",""ja"")"),"眼電図電極の数")</f>
        <v>眼電図電極の数</v>
      </c>
    </row>
    <row r="1749" spans="1:9">
      <c r="A1749" s="3" t="s">
        <v>103</v>
      </c>
      <c r="B1749" s="3" t="s">
        <v>7347</v>
      </c>
      <c r="C1749" s="3" t="s">
        <v>7348</v>
      </c>
      <c r="D1749" s="3" t="s">
        <v>7348</v>
      </c>
      <c r="E1749" s="3" t="s">
        <v>7349</v>
      </c>
      <c r="F1749" s="3" t="s">
        <v>7350</v>
      </c>
      <c r="G1749" s="3" t="str">
        <f ca="1">IFERROR(__xludf.DUMMYFUNCTION("googletranslate(D1749,""en"",""ja"")"),"好酸球")</f>
        <v>好酸球</v>
      </c>
      <c r="H1749" s="3" t="str">
        <f ca="1">IFERROR(__xludf.DUMMYFUNCTION("googletranslate(E1749,""en"",""ja"")"),"生物学的標本中の好酸球の測定。")</f>
        <v>生物学的標本中の好酸球の測定。</v>
      </c>
      <c r="I1749" s="3" t="str">
        <f ca="1">IFERROR(__xludf.DUMMYFUNCTION("googletranslate(F1749,""en"",""ja"")"),"好酸球数")</f>
        <v>好酸球数</v>
      </c>
    </row>
    <row r="1750" spans="1:9">
      <c r="A1750" s="3" t="s">
        <v>6</v>
      </c>
      <c r="B1750" s="3" t="s">
        <v>7347</v>
      </c>
      <c r="C1750" s="3" t="s">
        <v>7348</v>
      </c>
      <c r="D1750" s="3" t="s">
        <v>7348</v>
      </c>
      <c r="E1750" s="3" t="s">
        <v>7349</v>
      </c>
      <c r="F1750" s="3" t="s">
        <v>7350</v>
      </c>
      <c r="G1750" s="3" t="str">
        <f ca="1">IFERROR(__xludf.DUMMYFUNCTION("googletranslate(D1750,""en"",""ja"")"),"好酸球")</f>
        <v>好酸球</v>
      </c>
      <c r="H1750" s="3" t="str">
        <f ca="1">IFERROR(__xludf.DUMMYFUNCTION("googletranslate(E1750,""en"",""ja"")"),"生物学的標本中の好酸球の測定。")</f>
        <v>生物学的標本中の好酸球の測定。</v>
      </c>
      <c r="I1750" s="3" t="str">
        <f ca="1">IFERROR(__xludf.DUMMYFUNCTION("googletranslate(F1750,""en"",""ja"")"),"好酸球数")</f>
        <v>好酸球数</v>
      </c>
    </row>
    <row r="1751" spans="1:9" ht="30">
      <c r="A1751" s="3" t="s">
        <v>6</v>
      </c>
      <c r="B1751" s="3" t="s">
        <v>7351</v>
      </c>
      <c r="C1751" s="3" t="s">
        <v>7352</v>
      </c>
      <c r="D1751" s="3" t="s">
        <v>7352</v>
      </c>
      <c r="E1751" s="3" t="s">
        <v>7353</v>
      </c>
      <c r="F1751" s="3" t="s">
        <v>7354</v>
      </c>
      <c r="G1751" s="3" t="str">
        <f ca="1">IFERROR(__xludf.DUMMYFUNCTION("googletranslate(D1751,""en"",""ja"")"),"好酸球バンドの形態")</f>
        <v>好酸球バンドの形態</v>
      </c>
      <c r="H1751" s="3" t="str">
        <f ca="1">IFERROR(__xludf.DUMMYFUNCTION("googletranslate(E1751,""en"",""ja"")"),"生物学的標本中のバンド状の好酸球の測定。")</f>
        <v>生物学的標本中のバンド状の好酸球の測定。</v>
      </c>
      <c r="I1751" s="3" t="str">
        <f ca="1">IFERROR(__xludf.DUMMYFUNCTION("googletranslate(F1751,""en"",""ja"")"),"好酸球バンドフォーム数")</f>
        <v>好酸球バンドフォーム数</v>
      </c>
    </row>
    <row r="1752" spans="1:9" ht="45">
      <c r="A1752" s="3" t="s">
        <v>6</v>
      </c>
      <c r="B1752" s="3" t="s">
        <v>7355</v>
      </c>
      <c r="C1752" s="3" t="s">
        <v>7356</v>
      </c>
      <c r="D1752" s="3" t="s">
        <v>7356</v>
      </c>
      <c r="E1752" s="3" t="s">
        <v>7357</v>
      </c>
      <c r="F1752" s="3" t="s">
        <v>7358</v>
      </c>
      <c r="G1752" s="3" t="str">
        <f ca="1">IFERROR(__xludf.DUMMYFUNCTION("googletranslate(D1752,""en"",""ja"")"),"好酸球バンド形態/白血球")</f>
        <v>好酸球バンド形態/白血球</v>
      </c>
      <c r="H1752" s="3" t="str">
        <f ca="1">IFERROR(__xludf.DUMMYFUNCTION("googletranslate(E1752,""en"",""ja"")"),"生物学的標本における白血球に対するバンド状の好酸球の相対測定値 (比率またはパーセンテージ)。")</f>
        <v>生物学的標本における白血球に対するバンド状の好酸球の相対測定値 (比率またはパーセンテージ)。</v>
      </c>
      <c r="I1752" s="3" t="str">
        <f ca="1">IFERROR(__xludf.DUMMYFUNCTION("googletranslate(F1752,""en"",""ja"")"),"好酸球バンドの形態と白血球の比率")</f>
        <v>好酸球バンドの形態と白血球の比率</v>
      </c>
    </row>
    <row r="1753" spans="1:9" ht="45">
      <c r="A1753" s="3" t="s">
        <v>6</v>
      </c>
      <c r="B1753" s="3" t="s">
        <v>7359</v>
      </c>
      <c r="C1753" s="3" t="s">
        <v>7360</v>
      </c>
      <c r="D1753" s="3" t="s">
        <v>7360</v>
      </c>
      <c r="E1753" s="3" t="s">
        <v>7361</v>
      </c>
      <c r="F1753" s="3" t="s">
        <v>7362</v>
      </c>
      <c r="G1753" s="3" t="str">
        <f ca="1">IFERROR(__xludf.DUMMYFUNCTION("googletranslate(D1753,""en"",""ja"")"),"好酸球/全細胞数")</f>
        <v>好酸球/全細胞数</v>
      </c>
      <c r="H1753" s="3" t="str">
        <f ca="1">IFERROR(__xludf.DUMMYFUNCTION("googletranslate(E1753,""en"",""ja"")"),"生物学的標本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753" s="3" t="str">
        <f ca="1">IFERROR(__xludf.DUMMYFUNCTION("googletranslate(F1753,""en"",""ja"")"),"好酸球対総細胞比の測定")</f>
        <v>好酸球対総細胞比の測定</v>
      </c>
    </row>
    <row r="1754" spans="1:9" ht="45">
      <c r="A1754" s="3" t="s">
        <v>103</v>
      </c>
      <c r="B1754" s="3" t="s">
        <v>7359</v>
      </c>
      <c r="C1754" s="3" t="s">
        <v>7360</v>
      </c>
      <c r="D1754" s="3" t="s">
        <v>7360</v>
      </c>
      <c r="E1754" s="3" t="s">
        <v>7361</v>
      </c>
      <c r="F1754" s="3" t="s">
        <v>7362</v>
      </c>
      <c r="G1754" s="3" t="str">
        <f ca="1">IFERROR(__xludf.DUMMYFUNCTION("googletranslate(D1754,""en"",""ja"")"),"好酸球/全細胞数")</f>
        <v>好酸球/全細胞数</v>
      </c>
      <c r="H1754" s="3" t="str">
        <f ca="1">IFERROR(__xludf.DUMMYFUNCTION("googletranslate(E1754,""en"",""ja"")"),"生物学的標本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754" s="3" t="str">
        <f ca="1">IFERROR(__xludf.DUMMYFUNCTION("googletranslate(F1754,""en"",""ja"")"),"好酸球対総細胞比の測定")</f>
        <v>好酸球対総細胞比の測定</v>
      </c>
    </row>
    <row r="1755" spans="1:9" ht="30">
      <c r="A1755" s="3" t="s">
        <v>6</v>
      </c>
      <c r="B1755" s="3" t="s">
        <v>7363</v>
      </c>
      <c r="C1755" s="3" t="s">
        <v>7364</v>
      </c>
      <c r="D1755" s="3" t="s">
        <v>7364</v>
      </c>
      <c r="E1755" s="3" t="s">
        <v>7365</v>
      </c>
      <c r="F1755" s="3" t="s">
        <v>7366</v>
      </c>
      <c r="G1755" s="3" t="str">
        <f ca="1">IFERROR(__xludf.DUMMYFUNCTION("googletranslate(D1755,""en"",""ja"")"),"未熟好酸球")</f>
        <v>未熟好酸球</v>
      </c>
      <c r="H1755" s="3" t="str">
        <f ca="1">IFERROR(__xludf.DUMMYFUNCTION("googletranslate(E1755,""en"",""ja"")"),"生物学的標本中の未熟好酸球の測定。")</f>
        <v>生物学的標本中の未熟好酸球の測定。</v>
      </c>
      <c r="I1755" s="3" t="str">
        <f ca="1">IFERROR(__xludf.DUMMYFUNCTION("googletranslate(F1755,""en"",""ja"")"),"未成熟好酸球数")</f>
        <v>未成熟好酸球数</v>
      </c>
    </row>
    <row r="1756" spans="1:9" ht="30">
      <c r="A1756" s="3" t="s">
        <v>6</v>
      </c>
      <c r="B1756" s="3" t="s">
        <v>7367</v>
      </c>
      <c r="C1756" s="3" t="s">
        <v>7368</v>
      </c>
      <c r="D1756" s="3" t="s">
        <v>7368</v>
      </c>
      <c r="E1756" s="3" t="s">
        <v>7369</v>
      </c>
      <c r="F1756" s="3" t="s">
        <v>7370</v>
      </c>
      <c r="G1756" s="3" t="str">
        <f ca="1">IFERROR(__xludf.DUMMYFUNCTION("googletranslate(D1756,""en"",""ja"")"),"未熟好酸球/白血球")</f>
        <v>未熟好酸球/白血球</v>
      </c>
      <c r="H1756" s="3" t="str">
        <f ca="1">IFERROR(__xludf.DUMMYFUNCTION("googletranslate(E1756,""en"",""ja"")"),"生物学的標本中の全白血球に対する未熟好酸球の相対測定値 (比率またはパーセンテージ)。")</f>
        <v>生物学的標本中の全白血球に対する未熟好酸球の相対測定値 (比率またはパーセンテージ)。</v>
      </c>
      <c r="I1756" s="3" t="str">
        <f ca="1">IFERROR(__xludf.DUMMYFUNCTION("googletranslate(F1756,""en"",""ja"")"),"未熟好酸球対白血球比の測定")</f>
        <v>未熟好酸球対白血球比の測定</v>
      </c>
    </row>
    <row r="1757" spans="1:9" ht="30">
      <c r="A1757" s="3" t="s">
        <v>103</v>
      </c>
      <c r="B1757" s="3" t="s">
        <v>7371</v>
      </c>
      <c r="C1757" s="3" t="s">
        <v>7372</v>
      </c>
      <c r="D1757" s="3" t="s">
        <v>7372</v>
      </c>
      <c r="E1757" s="3" t="s">
        <v>7373</v>
      </c>
      <c r="F1757" s="3" t="s">
        <v>7374</v>
      </c>
      <c r="G1757" s="3" t="str">
        <f ca="1">IFERROR(__xludf.DUMMYFUNCTION("googletranslate(D1757,""en"",""ja"")"),"好酸球/白血球")</f>
        <v>好酸球/白血球</v>
      </c>
      <c r="H1757" s="3" t="str">
        <f ca="1">IFERROR(__xludf.DUMMYFUNCTION("googletranslate(E1757,""en"",""ja"")"),"生物学的標本における白血球に対する好酸球の相対的な測定値 (比率またはパーセンテージ)。")</f>
        <v>生物学的標本における白血球に対する好酸球の相対的な測定値 (比率またはパーセンテージ)。</v>
      </c>
      <c r="I1757" s="3" t="str">
        <f ca="1">IFERROR(__xludf.DUMMYFUNCTION("googletranslate(F1757,""en"",""ja"")"),"好酸球と白血球の比率")</f>
        <v>好酸球と白血球の比率</v>
      </c>
    </row>
    <row r="1758" spans="1:9" ht="30">
      <c r="A1758" s="3" t="s">
        <v>6</v>
      </c>
      <c r="B1758" s="3" t="s">
        <v>7371</v>
      </c>
      <c r="C1758" s="3" t="s">
        <v>7372</v>
      </c>
      <c r="D1758" s="3" t="s">
        <v>7372</v>
      </c>
      <c r="E1758" s="3" t="s">
        <v>7373</v>
      </c>
      <c r="F1758" s="3" t="s">
        <v>7374</v>
      </c>
      <c r="G1758" s="3" t="str">
        <f ca="1">IFERROR(__xludf.DUMMYFUNCTION("googletranslate(D1758,""en"",""ja"")"),"好酸球/白血球")</f>
        <v>好酸球/白血球</v>
      </c>
      <c r="H1758" s="3" t="str">
        <f ca="1">IFERROR(__xludf.DUMMYFUNCTION("googletranslate(E1758,""en"",""ja"")"),"生物学的標本における白血球に対する好酸球の相対的な測定値 (比率またはパーセンテージ)。")</f>
        <v>生物学的標本における白血球に対する好酸球の相対的な測定値 (比率またはパーセンテージ)。</v>
      </c>
      <c r="I1758" s="3" t="str">
        <f ca="1">IFERROR(__xludf.DUMMYFUNCTION("googletranslate(F1758,""en"",""ja"")"),"好酸球と白血球の比率")</f>
        <v>好酸球と白血球の比率</v>
      </c>
    </row>
    <row r="1759" spans="1:9" ht="30">
      <c r="A1759" s="3" t="s">
        <v>6</v>
      </c>
      <c r="B1759" s="3" t="s">
        <v>7375</v>
      </c>
      <c r="C1759" s="3" t="s">
        <v>7376</v>
      </c>
      <c r="D1759" s="3" t="s">
        <v>7376</v>
      </c>
      <c r="E1759" s="3" t="s">
        <v>7377</v>
      </c>
      <c r="F1759" s="3" t="s">
        <v>7378</v>
      </c>
      <c r="G1759" s="3" t="str">
        <f ca="1">IFERROR(__xludf.DUMMYFUNCTION("googletranslate(D1759,""en"",""ja"")"),"好酸球性メタ骨髄球")</f>
        <v>好酸球性メタ骨髄球</v>
      </c>
      <c r="H1759" s="3" t="str">
        <f ca="1">IFERROR(__xludf.DUMMYFUNCTION("googletranslate(E1759,""en"",""ja"")"),"生物学的標本中の好酸性後骨髄球の測定。")</f>
        <v>生物学的標本中の好酸性後骨髄球の測定。</v>
      </c>
      <c r="I1759" s="3" t="str">
        <f ca="1">IFERROR(__xludf.DUMMYFUNCTION("googletranslate(F1759,""en"",""ja"")"),"好酸球性メタ骨髄球数")</f>
        <v>好酸球性メタ骨髄球数</v>
      </c>
    </row>
    <row r="1760" spans="1:9" ht="30">
      <c r="A1760" s="3" t="s">
        <v>6</v>
      </c>
      <c r="B1760" s="3" t="s">
        <v>7379</v>
      </c>
      <c r="C1760" s="3" t="s">
        <v>7380</v>
      </c>
      <c r="D1760" s="3" t="s">
        <v>7380</v>
      </c>
      <c r="E1760" s="3" t="s">
        <v>7381</v>
      </c>
      <c r="F1760" s="3" t="s">
        <v>7382</v>
      </c>
      <c r="G1760" s="3" t="str">
        <f ca="1">IFERROR(__xludf.DUMMYFUNCTION("googletranslate(D1760,""en"",""ja"")"),"好酸球性骨髄球")</f>
        <v>好酸球性骨髄球</v>
      </c>
      <c r="H1760" s="3" t="str">
        <f ca="1">IFERROR(__xludf.DUMMYFUNCTION("googletranslate(E1760,""en"",""ja"")"),"生物学的標本中の好酸球性骨髄球の測定。")</f>
        <v>生物学的標本中の好酸球性骨髄球の測定。</v>
      </c>
      <c r="I1760" s="3" t="str">
        <f ca="1">IFERROR(__xludf.DUMMYFUNCTION("googletranslate(F1760,""en"",""ja"")"),"好酸球性骨髄球数")</f>
        <v>好酸球性骨髄球数</v>
      </c>
    </row>
    <row r="1761" spans="1:9" ht="45">
      <c r="A1761" s="3" t="s">
        <v>6</v>
      </c>
      <c r="B1761" s="3" t="s">
        <v>7383</v>
      </c>
      <c r="C1761" s="3" t="s">
        <v>7384</v>
      </c>
      <c r="D1761" s="3" t="s">
        <v>7384</v>
      </c>
      <c r="E1761" s="3" t="s">
        <v>7385</v>
      </c>
      <c r="F1761" s="3" t="s">
        <v>7386</v>
      </c>
      <c r="G1761" s="3" t="str">
        <f ca="1">IFERROR(__xludf.DUMMYFUNCTION("googletranslate(D1761,""en"",""ja"")"),"好酸球性骨髄球/リンパ球")</f>
        <v>好酸球性骨髄球/リンパ球</v>
      </c>
      <c r="H1761" s="3" t="str">
        <f ca="1">IFERROR(__xludf.DUMMYFUNCTION("googletranslate(E1761,""en"",""ja"")"),"生物学的標本（骨髄標本など）中のリンパ球に対する好酸球性骨髄球の相対測定値（比率またはパーセンテージ）。")</f>
        <v>生物学的標本（骨髄標本など）中のリンパ球に対する好酸球性骨髄球の相対測定値（比率またはパーセンテージ）。</v>
      </c>
      <c r="I1761" s="3" t="str">
        <f ca="1">IFERROR(__xludf.DUMMYFUNCTION("googletranslate(F1761,""en"",""ja"")"),"好酸球性骨髄球とリンパ球の比率の測定")</f>
        <v>好酸球性骨髄球とリンパ球の比率の測定</v>
      </c>
    </row>
    <row r="1762" spans="1:9" ht="45">
      <c r="A1762" s="3" t="s">
        <v>6</v>
      </c>
      <c r="B1762" s="3" t="s">
        <v>7387</v>
      </c>
      <c r="C1762" s="3" t="s">
        <v>7388</v>
      </c>
      <c r="D1762" s="3" t="s">
        <v>7388</v>
      </c>
      <c r="E1762" s="3" t="s">
        <v>7389</v>
      </c>
      <c r="F1762" s="3" t="s">
        <v>7390</v>
      </c>
      <c r="G1762" s="3" t="str">
        <f ca="1">IFERROR(__xludf.DUMMYFUNCTION("googletranslate(D1762,""en"",""ja"")"),"好酸球/非扁平上皮細胞")</f>
        <v>好酸球/非扁平上皮細胞</v>
      </c>
      <c r="H1762" s="3" t="str">
        <f ca="1">IFERROR(__xludf.DUMMYFUNCTION("googletranslate(E1762,""en"",""ja"")"),"生物学的標本における非扁平上皮細胞に対する好酸球の相対的な測定値 (比率またはパーセンテージ)。")</f>
        <v>生物学的標本における非扁平上皮細胞に対する好酸球の相対的な測定値 (比率またはパーセンテージ)。</v>
      </c>
      <c r="I1762" s="3" t="str">
        <f ca="1">IFERROR(__xludf.DUMMYFUNCTION("googletranslate(F1762,""en"",""ja"")"),"好酸球と非扁平上皮細胞の比率の測定")</f>
        <v>好酸球と非扁平上皮細胞の比率の測定</v>
      </c>
    </row>
    <row r="1763" spans="1:9" ht="30">
      <c r="A1763" s="3" t="s">
        <v>103</v>
      </c>
      <c r="B1763" s="3" t="s">
        <v>7391</v>
      </c>
      <c r="C1763" s="3" t="s">
        <v>7392</v>
      </c>
      <c r="D1763" s="3" t="s">
        <v>7392</v>
      </c>
      <c r="E1763" s="3" t="s">
        <v>7393</v>
      </c>
      <c r="F1763" s="3" t="s">
        <v>7394</v>
      </c>
      <c r="G1763" s="3" t="str">
        <f ca="1">IFERROR(__xludf.DUMMYFUNCTION("googletranslate(D1763,""en"",""ja"")"),"好酸球/有核細胞")</f>
        <v>好酸球/有核細胞</v>
      </c>
      <c r="H1763" s="3" t="str">
        <f ca="1">IFERROR(__xludf.DUMMYFUNCTION("googletranslate(E1763,""en"",""ja"")"),"生物学的標本における有核細胞に対する好酸球の相対的な測定値 (比率またはパーセンテージ)。")</f>
        <v>生物学的標本における有核細胞に対する好酸球の相対的な測定値 (比率またはパーセンテージ)。</v>
      </c>
      <c r="I1763" s="3" t="str">
        <f ca="1">IFERROR(__xludf.DUMMYFUNCTION("googletranslate(F1763,""en"",""ja"")"),"好酸球と有核細胞の比率の測定")</f>
        <v>好酸球と有核細胞の比率の測定</v>
      </c>
    </row>
    <row r="1764" spans="1:9" ht="30">
      <c r="A1764" s="3" t="s">
        <v>6</v>
      </c>
      <c r="B1764" s="3" t="s">
        <v>7395</v>
      </c>
      <c r="C1764" s="3" t="s">
        <v>7396</v>
      </c>
      <c r="D1764" s="3" t="s">
        <v>7396</v>
      </c>
      <c r="E1764" s="3" t="s">
        <v>7397</v>
      </c>
      <c r="F1764" s="3" t="s">
        <v>7398</v>
      </c>
      <c r="G1764" s="3" t="str">
        <f ca="1">IFERROR(__xludf.DUMMYFUNCTION("googletranslate(D1764,""en"",""ja"")"),"偽好酸球")</f>
        <v>偽好酸球</v>
      </c>
      <c r="H1764" s="3" t="str">
        <f ca="1">IFERROR(__xludf.DUMMYFUNCTION("googletranslate(E1764,""en"",""ja"")"),"生物学的標本中の偽好酸球の測定。")</f>
        <v>生物学的標本中の偽好酸球の測定。</v>
      </c>
      <c r="I1764" s="3" t="str">
        <f ca="1">IFERROR(__xludf.DUMMYFUNCTION("googletranslate(F1764,""en"",""ja"")"),"偽好酸球数")</f>
        <v>偽好酸球数</v>
      </c>
    </row>
    <row r="1765" spans="1:9" ht="30">
      <c r="A1765" s="3" t="s">
        <v>6</v>
      </c>
      <c r="B1765" s="3" t="s">
        <v>7399</v>
      </c>
      <c r="C1765" s="3" t="s">
        <v>7400</v>
      </c>
      <c r="D1765" s="3" t="s">
        <v>7400</v>
      </c>
      <c r="E1765" s="3" t="s">
        <v>7401</v>
      </c>
      <c r="F1765" s="3" t="s">
        <v>7402</v>
      </c>
      <c r="G1765" s="3" t="str">
        <f ca="1">IFERROR(__xludf.DUMMYFUNCTION("googletranslate(D1765,""en"",""ja"")"),"偽好酸球/白血球")</f>
        <v>偽好酸球/白血球</v>
      </c>
      <c r="H1765" s="3" t="str">
        <f ca="1">IFERROR(__xludf.DUMMYFUNCTION("googletranslate(E1765,""en"",""ja"")"),"生物学的標本における白血球に対する偽好酸球の相対測定値 (比率またはパーセンテージ)。")</f>
        <v>生物学的標本における白血球に対する偽好酸球の相対測定値 (比率またはパーセンテージ)。</v>
      </c>
      <c r="I1765" s="3" t="str">
        <f ca="1">IFERROR(__xludf.DUMMYFUNCTION("googletranslate(F1765,""en"",""ja"")"),"偽好酸球と白血球の比率の測定")</f>
        <v>偽好酸球と白血球の比率の測定</v>
      </c>
    </row>
    <row r="1766" spans="1:9" ht="30">
      <c r="A1766" s="3" t="s">
        <v>6</v>
      </c>
      <c r="B1766" s="3" t="s">
        <v>7403</v>
      </c>
      <c r="C1766" s="3" t="s">
        <v>7404</v>
      </c>
      <c r="D1766" s="3" t="s">
        <v>7404</v>
      </c>
      <c r="E1766" s="3" t="s">
        <v>7405</v>
      </c>
      <c r="F1766" s="3" t="s">
        <v>7406</v>
      </c>
      <c r="G1766" s="3" t="str">
        <f ca="1">IFERROR(__xludf.DUMMYFUNCTION("googletranslate(D1766,""en"",""ja"")"),"好酸球、セグメント化")</f>
        <v>好酸球、セグメント化</v>
      </c>
      <c r="H1766" s="3" t="str">
        <f ca="1">IFERROR(__xludf.DUMMYFUNCTION("googletranslate(E1766,""en"",""ja"")"),"生物学的標本のセグメント化された好酸球の測定。")</f>
        <v>生物学的標本のセグメント化された好酸球の測定。</v>
      </c>
      <c r="I1766" s="3" t="str">
        <f ca="1">IFERROR(__xludf.DUMMYFUNCTION("googletranslate(F1766,""en"",""ja"")"),"セグメント化された好酸球数")</f>
        <v>セグメント化された好酸球数</v>
      </c>
    </row>
    <row r="1767" spans="1:9" ht="30">
      <c r="A1767" s="3" t="s">
        <v>6</v>
      </c>
      <c r="B1767" s="3" t="s">
        <v>7407</v>
      </c>
      <c r="C1767" s="3" t="s">
        <v>7408</v>
      </c>
      <c r="D1767" s="3" t="s">
        <v>7409</v>
      </c>
      <c r="E1767" s="3" t="s">
        <v>7410</v>
      </c>
      <c r="F1767" s="3" t="s">
        <v>7411</v>
      </c>
      <c r="G1767" s="3" t="str">
        <f ca="1">IFERROR(__xludf.DUMMYFUNCTION("googletranslate(D1767,""en"",""ja"")"),"ケモカインリガンド 11;エオタキシン-1")</f>
        <v>ケモカインリガンド 11;エオタキシン-1</v>
      </c>
      <c r="H1767" s="3" t="str">
        <f ca="1">IFERROR(__xludf.DUMMYFUNCTION("googletranslate(E1767,""en"",""ja"")"),"生物学的標本中のエオタキシン-1の測定。")</f>
        <v>生物学的標本中のエオタキシン-1の測定。</v>
      </c>
      <c r="I1767" s="3" t="str">
        <f ca="1">IFERROR(__xludf.DUMMYFUNCTION("googletranslate(F1767,""en"",""ja"")"),"エオタキシン-1の測定")</f>
        <v>エオタキシン-1の測定</v>
      </c>
    </row>
    <row r="1768" spans="1:9" ht="30">
      <c r="A1768" s="3" t="s">
        <v>6</v>
      </c>
      <c r="B1768" s="3" t="s">
        <v>7412</v>
      </c>
      <c r="C1768" s="3" t="s">
        <v>7413</v>
      </c>
      <c r="D1768" s="3" t="s">
        <v>7414</v>
      </c>
      <c r="E1768" s="3" t="s">
        <v>7415</v>
      </c>
      <c r="F1768" s="3" t="s">
        <v>7416</v>
      </c>
      <c r="G1768" s="3" t="str">
        <f ca="1">IFERROR(__xludf.DUMMYFUNCTION("googletranslate(D1768,""en"",""ja"")"),"ケモカインリガンド 24;エオタキシン-2")</f>
        <v>ケモカインリガンド 24;エオタキシン-2</v>
      </c>
      <c r="H1768" s="3" t="str">
        <f ca="1">IFERROR(__xludf.DUMMYFUNCTION("googletranslate(E1768,""en"",""ja"")"),"生物学的標本中のエオタキシン-2の測定。")</f>
        <v>生物学的標本中のエオタキシン-2の測定。</v>
      </c>
      <c r="I1768" s="3" t="str">
        <f ca="1">IFERROR(__xludf.DUMMYFUNCTION("googletranslate(F1768,""en"",""ja"")"),"エオタキシン-2の測定")</f>
        <v>エオタキシン-2の測定</v>
      </c>
    </row>
    <row r="1769" spans="1:9" ht="45">
      <c r="A1769" s="3" t="s">
        <v>6</v>
      </c>
      <c r="B1769" s="3" t="s">
        <v>7417</v>
      </c>
      <c r="C1769" s="3" t="s">
        <v>7418</v>
      </c>
      <c r="D1769" s="3" t="s">
        <v>7419</v>
      </c>
      <c r="E1769" s="3" t="s">
        <v>7420</v>
      </c>
      <c r="F1769" s="3" t="s">
        <v>7421</v>
      </c>
      <c r="G1769" s="3" t="str">
        <f ca="1">IFERROR(__xludf.DUMMYFUNCTION("googletranslate(D1769,""en"",""ja"")"),"CCL26;ケモカイン (C-C モチーフ) リガンド 26;ケモカインリガンド 26;エオタキシン-3")</f>
        <v>CCL26;ケモカイン (C-C モチーフ) リガンド 26;ケモカインリガンド 26;エオタキシン-3</v>
      </c>
      <c r="H1769" s="3" t="str">
        <f ca="1">IFERROR(__xludf.DUMMYFUNCTION("googletranslate(E1769,""en"",""ja"")"),"生物学的標本中のエオタキシン-3の測定。")</f>
        <v>生物学的標本中のエオタキシン-3の測定。</v>
      </c>
      <c r="I1769" s="3" t="str">
        <f ca="1">IFERROR(__xludf.DUMMYFUNCTION("googletranslate(F1769,""en"",""ja"")"),"エオタキシン-3の測定")</f>
        <v>エオタキシン-3の測定</v>
      </c>
    </row>
    <row r="1770" spans="1:9">
      <c r="A1770" s="3" t="s">
        <v>6</v>
      </c>
      <c r="B1770" s="3" t="s">
        <v>7422</v>
      </c>
      <c r="C1770" s="3" t="s">
        <v>7423</v>
      </c>
      <c r="D1770" s="3" t="s">
        <v>7423</v>
      </c>
      <c r="E1770" s="3" t="s">
        <v>7424</v>
      </c>
      <c r="F1770" s="3" t="s">
        <v>7425</v>
      </c>
      <c r="G1770" s="3" t="str">
        <f ca="1">IFERROR(__xludf.DUMMYFUNCTION("googletranslate(D1770,""en"",""ja"")"),"エフェドリン")</f>
        <v>エフェドリン</v>
      </c>
      <c r="H1770" s="3" t="str">
        <f ca="1">IFERROR(__xludf.DUMMYFUNCTION("googletranslate(E1770,""en"",""ja"")"),"生物学的標本中のエフェドリンの測定。")</f>
        <v>生物学的標本中のエフェドリンの測定。</v>
      </c>
      <c r="I1770" s="3" t="str">
        <f ca="1">IFERROR(__xludf.DUMMYFUNCTION("googletranslate(F1770,""en"",""ja"")"),"エフェドリンの測定")</f>
        <v>エフェドリンの測定</v>
      </c>
    </row>
    <row r="1771" spans="1:9" ht="30">
      <c r="A1771" s="3" t="s">
        <v>103</v>
      </c>
      <c r="B1771" s="3" t="s">
        <v>7426</v>
      </c>
      <c r="C1771" s="3" t="s">
        <v>7427</v>
      </c>
      <c r="D1771" s="3" t="s">
        <v>7427</v>
      </c>
      <c r="E1771" s="3" t="s">
        <v>7428</v>
      </c>
      <c r="F1771" s="3" t="s">
        <v>7429</v>
      </c>
      <c r="G1771" s="3" t="str">
        <f ca="1">IFERROR(__xludf.DUMMYFUNCTION("googletranslate(D1771,""en"",""ja"")"),"上皮細胞")</f>
        <v>上皮細胞</v>
      </c>
      <c r="H1771" s="3" t="str">
        <f ca="1">IFERROR(__xludf.DUMMYFUNCTION("googletranslate(E1771,""en"",""ja"")"),"生物学的標本の上皮細胞の測定。")</f>
        <v>生物学的標本の上皮細胞の測定。</v>
      </c>
      <c r="I1771" s="3" t="str">
        <f ca="1">IFERROR(__xludf.DUMMYFUNCTION("googletranslate(F1771,""en"",""ja"")"),"上皮細胞数")</f>
        <v>上皮細胞数</v>
      </c>
    </row>
    <row r="1772" spans="1:9" ht="30">
      <c r="A1772" s="3" t="s">
        <v>6</v>
      </c>
      <c r="B1772" s="3" t="s">
        <v>7426</v>
      </c>
      <c r="C1772" s="3" t="s">
        <v>7427</v>
      </c>
      <c r="D1772" s="3" t="s">
        <v>7427</v>
      </c>
      <c r="E1772" s="3" t="s">
        <v>7428</v>
      </c>
      <c r="F1772" s="3" t="s">
        <v>7429</v>
      </c>
      <c r="G1772" s="3" t="str">
        <f ca="1">IFERROR(__xludf.DUMMYFUNCTION("googletranslate(D1772,""en"",""ja"")"),"上皮細胞")</f>
        <v>上皮細胞</v>
      </c>
      <c r="H1772" s="3" t="str">
        <f ca="1">IFERROR(__xludf.DUMMYFUNCTION("googletranslate(E1772,""en"",""ja"")"),"生物学的標本の上皮細胞の測定。")</f>
        <v>生物学的標本の上皮細胞の測定。</v>
      </c>
      <c r="I1772" s="3" t="str">
        <f ca="1">IFERROR(__xludf.DUMMYFUNCTION("googletranslate(F1772,""en"",""ja"")"),"上皮細胞数")</f>
        <v>上皮細胞数</v>
      </c>
    </row>
    <row r="1773" spans="1:9" ht="30">
      <c r="A1773" s="3" t="s">
        <v>103</v>
      </c>
      <c r="B1773" s="3" t="s">
        <v>7430</v>
      </c>
      <c r="C1773" s="3" t="s">
        <v>7431</v>
      </c>
      <c r="D1773" s="3" t="s">
        <v>7431</v>
      </c>
      <c r="E1773" s="3" t="s">
        <v>7432</v>
      </c>
      <c r="F1773" s="3" t="s">
        <v>7433</v>
      </c>
      <c r="G1773" s="3" t="str">
        <f ca="1">IFERROR(__xludf.DUMMYFUNCTION("googletranslate(D1773,""en"",""ja"")"),"上皮細胞/全細胞")</f>
        <v>上皮細胞/全細胞</v>
      </c>
      <c r="H1773" s="3" t="str">
        <f ca="1">IFERROR(__xludf.DUMMYFUNCTION("googletranslate(E1773,""en"",""ja"")"),"生物学的標本中の全細胞に対する上皮細胞の相対的な測定値 (比率またはパーセンテージ)。")</f>
        <v>生物学的標本中の全細胞に対する上皮細胞の相対的な測定値 (比率またはパーセンテージ)。</v>
      </c>
      <c r="I1773" s="3" t="str">
        <f ca="1">IFERROR(__xludf.DUMMYFUNCTION("googletranslate(F1773,""en"",""ja"")"),"上皮細胞と全細胞の比率の測定")</f>
        <v>上皮細胞と全細胞の比率の測定</v>
      </c>
    </row>
    <row r="1774" spans="1:9" ht="30">
      <c r="A1774" s="3" t="s">
        <v>6</v>
      </c>
      <c r="B1774" s="3" t="s">
        <v>7430</v>
      </c>
      <c r="C1774" s="3" t="s">
        <v>7431</v>
      </c>
      <c r="D1774" s="3" t="s">
        <v>7431</v>
      </c>
      <c r="E1774" s="3" t="s">
        <v>7432</v>
      </c>
      <c r="F1774" s="3" t="s">
        <v>7433</v>
      </c>
      <c r="G1774" s="3" t="str">
        <f ca="1">IFERROR(__xludf.DUMMYFUNCTION("googletranslate(D1774,""en"",""ja"")"),"上皮細胞/全細胞")</f>
        <v>上皮細胞/全細胞</v>
      </c>
      <c r="H1774" s="3" t="str">
        <f ca="1">IFERROR(__xludf.DUMMYFUNCTION("googletranslate(E1774,""en"",""ja"")"),"生物学的標本中の全細胞に対する上皮細胞の相対的な測定値 (比率またはパーセンテージ)。")</f>
        <v>生物学的標本中の全細胞に対する上皮細胞の相対的な測定値 (比率またはパーセンテージ)。</v>
      </c>
      <c r="I1774" s="3" t="str">
        <f ca="1">IFERROR(__xludf.DUMMYFUNCTION("googletranslate(F1774,""en"",""ja"")"),"上皮細胞と全細胞の比率の測定")</f>
        <v>上皮細胞と全細胞の比率の測定</v>
      </c>
    </row>
    <row r="1775" spans="1:9" ht="30">
      <c r="A1775" s="3" t="s">
        <v>6</v>
      </c>
      <c r="B1775" s="3" t="s">
        <v>7434</v>
      </c>
      <c r="C1775" s="3" t="s">
        <v>7435</v>
      </c>
      <c r="D1775" s="3" t="s">
        <v>7435</v>
      </c>
      <c r="E1775" s="3" t="s">
        <v>7436</v>
      </c>
      <c r="F1775" s="3" t="s">
        <v>7437</v>
      </c>
      <c r="G1775" s="3" t="str">
        <f ca="1">IFERROR(__xludf.DUMMYFUNCTION("googletranslate(D1775,""en"",""ja"")"),"上皮細胞塊")</f>
        <v>上皮細胞塊</v>
      </c>
      <c r="H1775" s="3" t="str">
        <f ca="1">IFERROR(__xludf.DUMMYFUNCTION("googletranslate(E1775,""en"",""ja"")"),"生物学的標本における上皮細胞の凝集塊の測定。")</f>
        <v>生物学的標本における上皮細胞の凝集塊の測定。</v>
      </c>
      <c r="I1775" s="3" t="str">
        <f ca="1">IFERROR(__xludf.DUMMYFUNCTION("googletranslate(F1775,""en"",""ja"")"),"上皮細胞凝集塊の測定")</f>
        <v>上皮細胞凝集塊の測定</v>
      </c>
    </row>
    <row r="1776" spans="1:9" ht="30">
      <c r="A1776" s="3" t="s">
        <v>6</v>
      </c>
      <c r="B1776" s="3" t="s">
        <v>7438</v>
      </c>
      <c r="C1776" s="3" t="s">
        <v>7439</v>
      </c>
      <c r="D1776" s="3" t="s">
        <v>7440</v>
      </c>
      <c r="E1776" s="3" t="s">
        <v>7441</v>
      </c>
      <c r="F1776" s="3" t="s">
        <v>7442</v>
      </c>
      <c r="G1776" s="3" t="str">
        <f ca="1">IFERROR(__xludf.DUMMYFUNCTION("googletranslate(D1776,""en"",""ja"")"),"アドレナリン;エピネフリン")</f>
        <v>アドレナリン;エピネフリン</v>
      </c>
      <c r="H1776" s="3" t="str">
        <f ca="1">IFERROR(__xludf.DUMMYFUNCTION("googletranslate(E1776,""en"",""ja"")"),"生物学的標本中のエピネフリン ホルモンの測定。")</f>
        <v>生物学的標本中のエピネフリン ホルモンの測定。</v>
      </c>
      <c r="I1776" s="3" t="str">
        <f ca="1">IFERROR(__xludf.DUMMYFUNCTION("googletranslate(F1776,""en"",""ja"")"),"エピネフリン測定")</f>
        <v>エピネフリン測定</v>
      </c>
    </row>
    <row r="1777" spans="1:9" ht="45">
      <c r="A1777" s="3" t="s">
        <v>6</v>
      </c>
      <c r="B1777" s="3" t="s">
        <v>7443</v>
      </c>
      <c r="C1777" s="3" t="s">
        <v>7444</v>
      </c>
      <c r="D1777" s="3" t="s">
        <v>7444</v>
      </c>
      <c r="E1777" s="3" t="s">
        <v>7445</v>
      </c>
      <c r="F1777" s="3" t="s">
        <v>7444</v>
      </c>
      <c r="G1777" s="3" t="str">
        <f ca="1">IFERROR(__xludf.DUMMYFUNCTION("googletranslate(D1777,""en"",""ja"")"),"エピネフリン排泄率")</f>
        <v>エピネフリン排泄率</v>
      </c>
      <c r="H1777" s="3" t="str">
        <f ca="1">IFERROR(__xludf.DUMMYFUNCTION("googletranslate(E1777,""en"",""ja"")"),"規定の時間 (例: 1 時間) にわたって生物学的標本中に排泄されるエピネフリンの量の測定。")</f>
        <v>規定の時間 (例: 1 時間) にわたって生物学的標本中に排泄されるエピネフリンの量の測定。</v>
      </c>
      <c r="I1777" s="3" t="str">
        <f ca="1">IFERROR(__xludf.DUMMYFUNCTION("googletranslate(F1777,""en"",""ja"")"),"エピネフリン排泄率")</f>
        <v>エピネフリン排泄率</v>
      </c>
    </row>
    <row r="1778" spans="1:9" ht="30">
      <c r="A1778" s="3" t="s">
        <v>6</v>
      </c>
      <c r="B1778" s="3" t="s">
        <v>7446</v>
      </c>
      <c r="C1778" s="3" t="s">
        <v>7447</v>
      </c>
      <c r="D1778" s="3" t="s">
        <v>7447</v>
      </c>
      <c r="E1778" s="3" t="s">
        <v>7448</v>
      </c>
      <c r="F1778" s="3" t="s">
        <v>7449</v>
      </c>
      <c r="G1778" s="3" t="str">
        <f ca="1">IFERROR(__xludf.DUMMYFUNCTION("googletranslate(D1778,""en"",""ja"")"),"非扁平上皮細胞")</f>
        <v>非扁平上皮細胞</v>
      </c>
      <c r="H1778" s="3" t="str">
        <f ca="1">IFERROR(__xludf.DUMMYFUNCTION("googletranslate(E1778,""en"",""ja"")"),"生物学的標本中の非扁平上皮細胞の測定。")</f>
        <v>生物学的標本中の非扁平上皮細胞の測定。</v>
      </c>
      <c r="I1778" s="3" t="str">
        <f ca="1">IFERROR(__xludf.DUMMYFUNCTION("googletranslate(F1778,""en"",""ja"")"),"非扁平上皮細胞数")</f>
        <v>非扁平上皮細胞数</v>
      </c>
    </row>
    <row r="1779" spans="1:9" ht="45">
      <c r="A1779" s="3" t="s">
        <v>6</v>
      </c>
      <c r="B1779" s="3" t="s">
        <v>7450</v>
      </c>
      <c r="C1779" s="3" t="s">
        <v>7451</v>
      </c>
      <c r="D1779" s="3" t="s">
        <v>7451</v>
      </c>
      <c r="E1779" s="3" t="s">
        <v>7452</v>
      </c>
      <c r="F1779" s="3" t="s">
        <v>7453</v>
      </c>
      <c r="G1779" s="3" t="str">
        <f ca="1">IFERROR(__xludf.DUMMYFUNCTION("googletranslate(D1779,""en"",""ja"")"),"エピセル/非扁平エピセル")</f>
        <v>エピセル/非扁平エピセル</v>
      </c>
      <c r="H1779" s="3" t="str">
        <f ca="1">IFERROR(__xludf.DUMMYFUNCTION("googletranslate(E1779,""en"",""ja"")"),"生物学的標本における非扁平上皮細胞に対する上皮細胞の相対的な測定値 (比率またはパーセンテージ)。")</f>
        <v>生物学的標本における非扁平上皮細胞に対する上皮細胞の相対的な測定値 (比率またはパーセンテージ)。</v>
      </c>
      <c r="I1779" s="3" t="str">
        <f ca="1">IFERROR(__xludf.DUMMYFUNCTION("googletranslate(F1779,""en"",""ja"")"),"上皮細胞と非扁平上皮細胞の比率の測定")</f>
        <v>上皮細胞と非扁平上皮細胞の比率の測定</v>
      </c>
    </row>
    <row r="1780" spans="1:9" ht="30">
      <c r="A1780" s="3" t="s">
        <v>6</v>
      </c>
      <c r="B1780" s="3" t="s">
        <v>7454</v>
      </c>
      <c r="C1780" s="3" t="s">
        <v>7455</v>
      </c>
      <c r="D1780" s="3" t="s">
        <v>7455</v>
      </c>
      <c r="E1780" s="3" t="s">
        <v>7456</v>
      </c>
      <c r="F1780" s="3" t="s">
        <v>7457</v>
      </c>
      <c r="G1780" s="3" t="str">
        <f ca="1">IFERROR(__xludf.DUMMYFUNCTION("googletranslate(D1780,""en"",""ja"")"),"腎上皮細胞")</f>
        <v>腎上皮細胞</v>
      </c>
      <c r="H1780" s="3" t="str">
        <f ca="1">IFERROR(__xludf.DUMMYFUNCTION("googletranslate(E1780,""en"",""ja"")"),"生物学的標本中の腎上皮細胞の測定。")</f>
        <v>生物学的標本中の腎上皮細胞の測定。</v>
      </c>
      <c r="I1780" s="3" t="str">
        <f ca="1">IFERROR(__xludf.DUMMYFUNCTION("googletranslate(F1780,""en"",""ja"")"),"腎上皮細胞の測定")</f>
        <v>腎上皮細胞の測定</v>
      </c>
    </row>
    <row r="1781" spans="1:9" ht="30">
      <c r="A1781" s="3" t="s">
        <v>6</v>
      </c>
      <c r="B1781" s="3" t="s">
        <v>7458</v>
      </c>
      <c r="C1781" s="3" t="s">
        <v>7459</v>
      </c>
      <c r="D1781" s="3" t="s">
        <v>7459</v>
      </c>
      <c r="E1781" s="3" t="s">
        <v>7460</v>
      </c>
      <c r="F1781" s="3" t="s">
        <v>7461</v>
      </c>
      <c r="G1781" s="3" t="str">
        <f ca="1">IFERROR(__xludf.DUMMYFUNCTION("googletranslate(D1781,""en"",""ja"")"),"円形上皮細胞")</f>
        <v>円形上皮細胞</v>
      </c>
      <c r="H1781" s="3" t="str">
        <f ca="1">IFERROR(__xludf.DUMMYFUNCTION("googletranslate(E1781,""en"",""ja"")"),"生物学的標本に存在する円形上皮細胞の測定。")</f>
        <v>生物学的標本に存在する円形上皮細胞の測定。</v>
      </c>
      <c r="I1781" s="3" t="str">
        <f ca="1">IFERROR(__xludf.DUMMYFUNCTION("googletranslate(F1781,""en"",""ja"")"),"円形上皮細胞数")</f>
        <v>円形上皮細胞数</v>
      </c>
    </row>
    <row r="1782" spans="1:9" ht="45">
      <c r="A1782" s="3" t="s">
        <v>6</v>
      </c>
      <c r="B1782" s="3" t="s">
        <v>7462</v>
      </c>
      <c r="C1782" s="3" t="s">
        <v>7463</v>
      </c>
      <c r="D1782" s="3" t="s">
        <v>7464</v>
      </c>
      <c r="E1782" s="3" t="s">
        <v>7465</v>
      </c>
      <c r="F1782" s="3" t="s">
        <v>7466</v>
      </c>
      <c r="G1782" s="3" t="str">
        <f ca="1">IFERROR(__xludf.DUMMYFUNCTION("googletranslate(D1782,""en"",""ja"")"),"扁平上皮細胞/全細胞;扁平上皮細胞/全細胞")</f>
        <v>扁平上皮細胞/全細胞;扁平上皮細胞/全細胞</v>
      </c>
      <c r="H1782" s="3" t="str">
        <f ca="1">IFERROR(__xludf.DUMMYFUNCTION("googletranslate(E1782,""en"",""ja"")"),"生物学的標本の全細胞に対する扁平上皮細胞の相対的な測定値 (比率またはパーセンテージ)。")</f>
        <v>生物学的標本の全細胞に対する扁平上皮細胞の相対的な測定値 (比率またはパーセンテージ)。</v>
      </c>
      <c r="I1782" s="3" t="str">
        <f ca="1">IFERROR(__xludf.DUMMYFUNCTION("googletranslate(F1782,""en"",""ja"")"),"扁平上皮細胞と全細胞の比率の測定")</f>
        <v>扁平上皮細胞と全細胞の比率の測定</v>
      </c>
    </row>
    <row r="1783" spans="1:9" ht="30">
      <c r="A1783" s="3" t="s">
        <v>6</v>
      </c>
      <c r="B1783" s="3" t="s">
        <v>7467</v>
      </c>
      <c r="C1783" s="3" t="s">
        <v>7468</v>
      </c>
      <c r="D1783" s="3" t="s">
        <v>7469</v>
      </c>
      <c r="E1783" s="3" t="s">
        <v>7470</v>
      </c>
      <c r="F1783" s="3" t="s">
        <v>7471</v>
      </c>
      <c r="G1783" s="3" t="str">
        <f ca="1">IFERROR(__xludf.DUMMYFUNCTION("googletranslate(D1783,""en"",""ja"")"),"扁平上皮細胞;扁平上皮細胞")</f>
        <v>扁平上皮細胞;扁平上皮細胞</v>
      </c>
      <c r="H1783" s="3" t="str">
        <f ca="1">IFERROR(__xludf.DUMMYFUNCTION("googletranslate(E1783,""en"",""ja"")"),"生物学的標本に存在する扁平上皮細胞の測定。")</f>
        <v>生物学的標本に存在する扁平上皮細胞の測定。</v>
      </c>
      <c r="I1783" s="3" t="str">
        <f ca="1">IFERROR(__xludf.DUMMYFUNCTION("googletranslate(F1783,""en"",""ja"")"),"扁平上皮細胞数")</f>
        <v>扁平上皮細胞数</v>
      </c>
    </row>
    <row r="1784" spans="1:9" ht="30">
      <c r="A1784" s="3" t="s">
        <v>6</v>
      </c>
      <c r="B1784" s="3" t="s">
        <v>7472</v>
      </c>
      <c r="C1784" s="3" t="s">
        <v>7473</v>
      </c>
      <c r="D1784" s="3" t="s">
        <v>7473</v>
      </c>
      <c r="E1784" s="3" t="s">
        <v>7474</v>
      </c>
      <c r="F1784" s="3" t="s">
        <v>7475</v>
      </c>
      <c r="G1784" s="3" t="str">
        <f ca="1">IFERROR(__xludf.DUMMYFUNCTION("googletranslate(D1784,""en"",""ja"")"),"扁平移行上皮細胞")</f>
        <v>扁平移行上皮細胞</v>
      </c>
      <c r="H1784" s="3" t="str">
        <f ca="1">IFERROR(__xludf.DUMMYFUNCTION("googletranslate(E1784,""en"",""ja"")"),"生物学的標本に存在する扁平移行上皮細胞の測定。")</f>
        <v>生物学的標本に存在する扁平移行上皮細胞の測定。</v>
      </c>
      <c r="I1784" s="3" t="str">
        <f ca="1">IFERROR(__xludf.DUMMYFUNCTION("googletranslate(F1784,""en"",""ja"")"),"扁平移行上皮細胞数")</f>
        <v>扁平移行上皮細胞数</v>
      </c>
    </row>
    <row r="1785" spans="1:9" ht="30">
      <c r="A1785" s="3" t="s">
        <v>6</v>
      </c>
      <c r="B1785" s="3" t="s">
        <v>7476</v>
      </c>
      <c r="C1785" s="3" t="s">
        <v>7477</v>
      </c>
      <c r="D1785" s="3" t="s">
        <v>7477</v>
      </c>
      <c r="E1785" s="3" t="s">
        <v>7478</v>
      </c>
      <c r="F1785" s="3" t="s">
        <v>7479</v>
      </c>
      <c r="G1785" s="3" t="str">
        <f ca="1">IFERROR(__xludf.DUMMYFUNCTION("googletranslate(D1785,""en"",""ja"")"),"移行上皮細胞")</f>
        <v>移行上皮細胞</v>
      </c>
      <c r="H1785" s="3" t="str">
        <f ca="1">IFERROR(__xludf.DUMMYFUNCTION("googletranslate(E1785,""en"",""ja"")"),"生物学的標本に存在する移行上皮細胞の測定。")</f>
        <v>生物学的標本に存在する移行上皮細胞の測定。</v>
      </c>
      <c r="I1785" s="3" t="str">
        <f ca="1">IFERROR(__xludf.DUMMYFUNCTION("googletranslate(F1785,""en"",""ja"")"),"移行上皮細胞の測定")</f>
        <v>移行上皮細胞の測定</v>
      </c>
    </row>
    <row r="1786" spans="1:9" ht="30">
      <c r="A1786" s="3" t="s">
        <v>6</v>
      </c>
      <c r="B1786" s="3" t="s">
        <v>7480</v>
      </c>
      <c r="C1786" s="3" t="s">
        <v>7481</v>
      </c>
      <c r="D1786" s="3" t="s">
        <v>7482</v>
      </c>
      <c r="E1786" s="3" t="s">
        <v>7483</v>
      </c>
      <c r="F1786" s="3" t="s">
        <v>7484</v>
      </c>
      <c r="G1786" s="3" t="str">
        <f ca="1">IFERROR(__xludf.DUMMYFUNCTION("googletranslate(D1786,""en"",""ja"")"),"腎尿細管上皮細胞;尿細管上皮細胞")</f>
        <v>腎尿細管上皮細胞;尿細管上皮細胞</v>
      </c>
      <c r="H1786" s="3" t="str">
        <f ca="1">IFERROR(__xludf.DUMMYFUNCTION("googletranslate(E1786,""en"",""ja"")"),"生物学的標本中に存在する尿細管上皮細胞の測定。")</f>
        <v>生物学的標本中に存在する尿細管上皮細胞の測定。</v>
      </c>
      <c r="I1786" s="3" t="str">
        <f ca="1">IFERROR(__xludf.DUMMYFUNCTION("googletranslate(F1786,""en"",""ja"")"),"尿細管上皮細胞数")</f>
        <v>尿細管上皮細胞数</v>
      </c>
    </row>
    <row r="1787" spans="1:9" ht="30">
      <c r="A1787" s="3" t="s">
        <v>185</v>
      </c>
      <c r="B1787" s="3" t="s">
        <v>7485</v>
      </c>
      <c r="C1787" s="3" t="s">
        <v>7486</v>
      </c>
      <c r="D1787" s="3" t="s">
        <v>7486</v>
      </c>
      <c r="E1787" s="3" t="s">
        <v>7487</v>
      </c>
      <c r="F1787" s="3" t="s">
        <v>7486</v>
      </c>
      <c r="G1787" s="3" t="str">
        <f ca="1">IFERROR(__xludf.DUMMYFUNCTION("googletranslate(D1787,""en"",""ja"")"),"軽度のエピソードの数")</f>
        <v>軽度のエピソードの数</v>
      </c>
      <c r="H1787" s="3" t="str">
        <f ca="1">IFERROR(__xludf.DUMMYFUNCTION("googletranslate(E1787,""en"",""ja"")"),"軽度に分類されるイベントが発生した回数。")</f>
        <v>軽度に分類されるイベントが発生した回数。</v>
      </c>
      <c r="I1787" s="3" t="str">
        <f ca="1">IFERROR(__xludf.DUMMYFUNCTION("googletranslate(F1787,""en"",""ja"")"),"軽度のエピソードの数")</f>
        <v>軽度のエピソードの数</v>
      </c>
    </row>
    <row r="1788" spans="1:9" ht="30">
      <c r="A1788" s="3" t="s">
        <v>185</v>
      </c>
      <c r="B1788" s="3" t="s">
        <v>7488</v>
      </c>
      <c r="C1788" s="3" t="s">
        <v>7489</v>
      </c>
      <c r="D1788" s="3" t="s">
        <v>7489</v>
      </c>
      <c r="E1788" s="3" t="s">
        <v>7490</v>
      </c>
      <c r="F1788" s="3" t="s">
        <v>7489</v>
      </c>
      <c r="G1788" s="3" t="str">
        <f ca="1">IFERROR(__xludf.DUMMYFUNCTION("googletranslate(D1788,""en"",""ja"")"),"中程度のエピソード数")</f>
        <v>中程度のエピソード数</v>
      </c>
      <c r="H1788" s="3" t="str">
        <f ca="1">IFERROR(__xludf.DUMMYFUNCTION("googletranslate(E1788,""en"",""ja"")"),"中程度に分類されるイベントが発生した回数。")</f>
        <v>中程度に分類されるイベントが発生した回数。</v>
      </c>
      <c r="I1788" s="3" t="str">
        <f ca="1">IFERROR(__xludf.DUMMYFUNCTION("googletranslate(F1788,""en"",""ja"")"),"中程度のエピソード数")</f>
        <v>中程度のエピソード数</v>
      </c>
    </row>
    <row r="1789" spans="1:9" ht="30">
      <c r="A1789" s="3" t="s">
        <v>6</v>
      </c>
      <c r="B1789" s="3" t="s">
        <v>7491</v>
      </c>
      <c r="C1789" s="3" t="s">
        <v>7492</v>
      </c>
      <c r="D1789" s="3" t="s">
        <v>7493</v>
      </c>
      <c r="E1789" s="3" t="s">
        <v>7494</v>
      </c>
      <c r="F1789" s="3" t="s">
        <v>7495</v>
      </c>
      <c r="G1789" s="3" t="str">
        <f ca="1">IFERROR(__xludf.DUMMYFUNCTION("googletranslate(D1789,""en"",""ja"")"),"エリスロポエチン;ヘマトポエチン")</f>
        <v>エリスロポエチン;ヘマトポエチン</v>
      </c>
      <c r="H1789" s="3" t="str">
        <f ca="1">IFERROR(__xludf.DUMMYFUNCTION("googletranslate(E1789,""en"",""ja"")"),"生物学的標本中のエリスロポエチン ホルモンの測定。")</f>
        <v>生物学的標本中のエリスロポエチン ホルモンの測定。</v>
      </c>
      <c r="I1789" s="3" t="str">
        <f ca="1">IFERROR(__xludf.DUMMYFUNCTION("googletranslate(F1789,""en"",""ja"")"),"エリスロポエチンの測定")</f>
        <v>エリスロポエチンの測定</v>
      </c>
    </row>
    <row r="1790" spans="1:9" ht="30">
      <c r="A1790" s="3" t="s">
        <v>185</v>
      </c>
      <c r="B1790" s="3" t="s">
        <v>7496</v>
      </c>
      <c r="C1790" s="3" t="s">
        <v>7497</v>
      </c>
      <c r="D1790" s="3" t="s">
        <v>7497</v>
      </c>
      <c r="E1790" s="3" t="s">
        <v>7498</v>
      </c>
      <c r="F1790" s="3" t="s">
        <v>7497</v>
      </c>
      <c r="G1790" s="3" t="str">
        <f ca="1">IFERROR(__xludf.DUMMYFUNCTION("googletranslate(D1790,""en"",""ja"")"),"話数")</f>
        <v>話数</v>
      </c>
      <c r="H1790" s="3" t="str">
        <f ca="1">IFERROR(__xludf.DUMMYFUNCTION("googletranslate(E1790,""en"",""ja"")"),"条件に対して発生したエピソードの合計数。")</f>
        <v>条件に対して発生したエピソードの合計数。</v>
      </c>
      <c r="I1790" s="3" t="str">
        <f ca="1">IFERROR(__xludf.DUMMYFUNCTION("googletranslate(F1790,""en"",""ja"")"),"話数")</f>
        <v>話数</v>
      </c>
    </row>
    <row r="1791" spans="1:9" ht="30">
      <c r="A1791" s="3" t="s">
        <v>185</v>
      </c>
      <c r="B1791" s="3" t="s">
        <v>7499</v>
      </c>
      <c r="C1791" s="3" t="s">
        <v>7500</v>
      </c>
      <c r="D1791" s="3" t="s">
        <v>7500</v>
      </c>
      <c r="E1791" s="3" t="s">
        <v>7501</v>
      </c>
      <c r="F1791" s="3" t="s">
        <v>7500</v>
      </c>
      <c r="G1791" s="3" t="str">
        <f ca="1">IFERROR(__xludf.DUMMYFUNCTION("googletranslate(D1791,""en"",""ja"")"),"重篤なエピソードの数")</f>
        <v>重篤なエピソードの数</v>
      </c>
      <c r="H1791" s="3" t="str">
        <f ca="1">IFERROR(__xludf.DUMMYFUNCTION("googletranslate(E1791,""en"",""ja"")"),"重大として分類されるイベントが発生した回数。")</f>
        <v>重大として分類されるイベントが発生した回数。</v>
      </c>
      <c r="I1791" s="3" t="str">
        <f ca="1">IFERROR(__xludf.DUMMYFUNCTION("googletranslate(F1791,""en"",""ja"")"),"重篤なエピソードの数")</f>
        <v>重篤なエピソードの数</v>
      </c>
    </row>
    <row r="1792" spans="1:9" ht="30">
      <c r="A1792" s="3" t="s">
        <v>6</v>
      </c>
      <c r="B1792" s="3" t="s">
        <v>7502</v>
      </c>
      <c r="C1792" s="3" t="s">
        <v>7503</v>
      </c>
      <c r="D1792" s="3" t="s">
        <v>7504</v>
      </c>
      <c r="E1792" s="3" t="s">
        <v>7505</v>
      </c>
      <c r="F1792" s="3" t="s">
        <v>7506</v>
      </c>
      <c r="G1792" s="3" t="str">
        <f ca="1">IFERROR(__xludf.DUMMYFUNCTION("googletranslate(D1792,""en"",""ja"")"),"BRESI1;上皮間質相互作用タンパク質 1")</f>
        <v>BRESI1;上皮間質相互作用タンパク質 1</v>
      </c>
      <c r="H1792" s="3" t="str">
        <f ca="1">IFERROR(__xludf.DUMMYFUNCTION("googletranslate(E1792,""en"",""ja"")"),"生物学的標本における上皮間質相互作用タンパク質 1 の測定。")</f>
        <v>生物学的標本における上皮間質相互作用タンパク質 1 の測定。</v>
      </c>
      <c r="I1792" s="3" t="str">
        <f ca="1">IFERROR(__xludf.DUMMYFUNCTION("googletranslate(F1792,""en"",""ja"")"),"上皮間質相互作用 1 の測定")</f>
        <v>上皮間質相互作用 1 の測定</v>
      </c>
    </row>
    <row r="1793" spans="1:9">
      <c r="A1793" s="3" t="s">
        <v>6</v>
      </c>
      <c r="B1793" s="3" t="s">
        <v>7507</v>
      </c>
      <c r="C1793" s="3" t="s">
        <v>7508</v>
      </c>
      <c r="D1793" s="3" t="s">
        <v>7508</v>
      </c>
      <c r="E1793" s="3" t="s">
        <v>7509</v>
      </c>
      <c r="F1793" s="3" t="s">
        <v>7510</v>
      </c>
      <c r="G1793" s="3" t="str">
        <f ca="1">IFERROR(__xludf.DUMMYFUNCTION("googletranslate(D1793,""en"",""ja"")"),"赤血球系細胞")</f>
        <v>赤血球系細胞</v>
      </c>
      <c r="H1793" s="3" t="str">
        <f ca="1">IFERROR(__xludf.DUMMYFUNCTION("googletranslate(E1793,""en"",""ja"")"),"生物学的標本中の赤血球系細胞の測定。")</f>
        <v>生物学的標本中の赤血球系細胞の測定。</v>
      </c>
      <c r="I1793" s="3" t="str">
        <f ca="1">IFERROR(__xludf.DUMMYFUNCTION("googletranslate(F1793,""en"",""ja"")"),"赤血球細胞数")</f>
        <v>赤血球細胞数</v>
      </c>
    </row>
    <row r="1794" spans="1:9" ht="45">
      <c r="A1794" s="3" t="s">
        <v>6</v>
      </c>
      <c r="B1794" s="3" t="s">
        <v>7511</v>
      </c>
      <c r="C1794" s="3" t="s">
        <v>7512</v>
      </c>
      <c r="D1794" s="3" t="s">
        <v>7512</v>
      </c>
      <c r="E1794" s="3" t="s">
        <v>7513</v>
      </c>
      <c r="F1794" s="3" t="s">
        <v>7514</v>
      </c>
      <c r="G1794" s="3" t="str">
        <f ca="1">IFERROR(__xludf.DUMMYFUNCTION("googletranslate(D1794,""en"",""ja"")"),"赤血球系細胞/総細胞数")</f>
        <v>赤血球系細胞/総細胞数</v>
      </c>
      <c r="H1794" s="3" t="str">
        <f ca="1">IFERROR(__xludf.DUMMYFUNCTION("googletranslate(E1794,""en"",""ja"")"),"生物学的標本の全細胞（全有核細胞 + 赤血球 + 網赤血球）に対する赤血球系細胞の相対測定値（比率またはパーセンテージ）。")</f>
        <v>生物学的標本の全細胞（全有核細胞 + 赤血球 + 網赤血球）に対する赤血球系細胞の相対測定値（比率またはパーセンテージ）。</v>
      </c>
      <c r="I1794" s="3" t="str">
        <f ca="1">IFERROR(__xludf.DUMMYFUNCTION("googletranslate(F1794,""en"",""ja"")"),"赤血球細胞対全細胞の比率の測定")</f>
        <v>赤血球細胞対全細胞の比率の測定</v>
      </c>
    </row>
    <row r="1795" spans="1:9" ht="45">
      <c r="A1795" s="3" t="s">
        <v>6</v>
      </c>
      <c r="B1795" s="3" t="s">
        <v>7515</v>
      </c>
      <c r="C1795" s="3" t="s">
        <v>7516</v>
      </c>
      <c r="D1795" s="3" t="s">
        <v>7516</v>
      </c>
      <c r="E1795" s="3" t="s">
        <v>7517</v>
      </c>
      <c r="F1795" s="3" t="s">
        <v>7516</v>
      </c>
      <c r="G1795" s="3" t="str">
        <f ca="1">IFERROR(__xludf.DUMMYFUNCTION("googletranslate(D1795,""en"",""ja"")"),"赤血球成熟指数")</f>
        <v>赤血球成熟指数</v>
      </c>
      <c r="H1795" s="3" t="str">
        <f ca="1">IFERROR(__xludf.DUMMYFUNCTION("googletranslate(E1795,""en"",""ja"")"),"生物学的標本における赤血球増殖期細胞（プール）の合計に対する赤血球成熟期細胞（プール）の合計の相対測定値（比）。")</f>
        <v>生物学的標本における赤血球増殖期細胞（プール）の合計に対する赤血球成熟期細胞（プール）の合計の相対測定値（比）。</v>
      </c>
      <c r="I1795" s="3" t="str">
        <f ca="1">IFERROR(__xludf.DUMMYFUNCTION("googletranslate(F1795,""en"",""ja"")"),"赤血球成熟指数")</f>
        <v>赤血球成熟指数</v>
      </c>
    </row>
    <row r="1796" spans="1:9" ht="45">
      <c r="A1796" s="3" t="s">
        <v>6</v>
      </c>
      <c r="B1796" s="3" t="s">
        <v>7518</v>
      </c>
      <c r="C1796" s="3" t="s">
        <v>7519</v>
      </c>
      <c r="D1796" s="3" t="s">
        <v>7519</v>
      </c>
      <c r="E1796" s="3" t="s">
        <v>7520</v>
      </c>
      <c r="F1796" s="3" t="s">
        <v>7521</v>
      </c>
      <c r="G1796" s="3" t="str">
        <f ca="1">IFERROR(__xludf.DUMMYFUNCTION("googletranslate(D1796,""en"",""ja"")"),"赤血球成熟プール")</f>
        <v>赤血球成熟プール</v>
      </c>
      <c r="H1796" s="3" t="str">
        <f ca="1">IFERROR(__xludf.DUMMYFUNCTION("googletranslate(E1796,""en"",""ja"")"),"生物学的標本中の赤血球成熟期の細胞（多色赤赤血球、正色素赤青赤血球、金属赤赤血球）の測定。")</f>
        <v>生物学的標本中の赤血球成熟期の細胞（多色赤赤血球、正色素赤青赤血球、金属赤赤血球）の測定。</v>
      </c>
      <c r="I1796" s="3" t="str">
        <f ca="1">IFERROR(__xludf.DUMMYFUNCTION("googletranslate(F1796,""en"",""ja"")"),"赤血球成熟プール数")</f>
        <v>赤血球成熟プール数</v>
      </c>
    </row>
    <row r="1797" spans="1:9" ht="45">
      <c r="A1797" s="3" t="s">
        <v>6</v>
      </c>
      <c r="B1797" s="3" t="s">
        <v>7522</v>
      </c>
      <c r="C1797" s="3" t="s">
        <v>7523</v>
      </c>
      <c r="D1797" s="3" t="s">
        <v>7523</v>
      </c>
      <c r="E1797" s="3" t="s">
        <v>7524</v>
      </c>
      <c r="F1797" s="3" t="s">
        <v>7525</v>
      </c>
      <c r="G1797" s="3" t="str">
        <f ca="1">IFERROR(__xludf.DUMMYFUNCTION("googletranslate(D1797,""en"",""ja"")"),"赤血球細胞/有核細胞")</f>
        <v>赤血球細胞/有核細胞</v>
      </c>
      <c r="H1797" s="3" t="str">
        <f ca="1">IFERROR(__xludf.DUMMYFUNCTION("googletranslate(E1797,""en"",""ja"")"),"生物学的標本中の全有核細胞に対する赤血球系細胞の相対的な測定値 (比率またはパーセンテージ)。")</f>
        <v>生物学的標本中の全有核細胞に対する赤血球系細胞の相対的な測定値 (比率またはパーセンテージ)。</v>
      </c>
      <c r="I1797" s="3" t="str">
        <f ca="1">IFERROR(__xludf.DUMMYFUNCTION("googletranslate(F1797,""en"",""ja"")"),"赤血球細胞と有核細胞の比率の測定")</f>
        <v>赤血球細胞と有核細胞の比率の測定</v>
      </c>
    </row>
    <row r="1798" spans="1:9" ht="45">
      <c r="A1798" s="3" t="s">
        <v>6</v>
      </c>
      <c r="B1798" s="3" t="s">
        <v>7526</v>
      </c>
      <c r="C1798" s="3" t="s">
        <v>7527</v>
      </c>
      <c r="D1798" s="3" t="s">
        <v>7527</v>
      </c>
      <c r="E1798" s="3" t="s">
        <v>7528</v>
      </c>
      <c r="F1798" s="3" t="s">
        <v>7527</v>
      </c>
      <c r="G1798" s="3" t="str">
        <f ca="1">IFERROR(__xludf.DUMMYFUNCTION("googletranslate(D1798,""en"",""ja"")"),"赤血球増殖指数")</f>
        <v>赤血球増殖指数</v>
      </c>
      <c r="H1798" s="3" t="str">
        <f ca="1">IFERROR(__xludf.DUMMYFUNCTION("googletranslate(E1798,""en"",""ja"")"),"生物学的標本における赤血球増殖期細胞（プール）の合計と赤血球成熟期細胞（プール）の合計の相対測定値（比）。")</f>
        <v>生物学的標本における赤血球増殖期細胞（プール）の合計と赤血球成熟期細胞（プール）の合計の相対測定値（比）。</v>
      </c>
      <c r="I1798" s="3" t="str">
        <f ca="1">IFERROR(__xludf.DUMMYFUNCTION("googletranslate(F1798,""en"",""ja"")"),"赤血球増殖指数")</f>
        <v>赤血球増殖指数</v>
      </c>
    </row>
    <row r="1799" spans="1:9" ht="45">
      <c r="A1799" s="3" t="s">
        <v>6</v>
      </c>
      <c r="B1799" s="3" t="s">
        <v>7529</v>
      </c>
      <c r="C1799" s="3" t="s">
        <v>7530</v>
      </c>
      <c r="D1799" s="3" t="s">
        <v>7530</v>
      </c>
      <c r="E1799" s="3" t="s">
        <v>7531</v>
      </c>
      <c r="F1799" s="3" t="s">
        <v>7532</v>
      </c>
      <c r="G1799" s="3" t="str">
        <f ca="1">IFERROR(__xludf.DUMMYFUNCTION("googletranslate(D1799,""en"",""ja"")"),"赤血球増殖プール")</f>
        <v>赤血球増殖プール</v>
      </c>
      <c r="H1799" s="3" t="str">
        <f ca="1">IFERROR(__xludf.DUMMYFUNCTION("googletranslate(E1799,""en"",""ja"")"),"生物学的標本中の赤血球増殖期細胞 (赤芽細胞、前赤血球、および好塩基球赤血球) の測定。")</f>
        <v>生物学的標本中の赤血球増殖期細胞 (赤芽細胞、前赤血球、および好塩基球赤血球) の測定。</v>
      </c>
      <c r="I1799" s="3" t="str">
        <f ca="1">IFERROR(__xludf.DUMMYFUNCTION("googletranslate(F1799,""en"",""ja"")"),"赤血球増殖プール数")</f>
        <v>赤血球増殖プール数</v>
      </c>
    </row>
    <row r="1800" spans="1:9">
      <c r="A1800" s="3" t="s">
        <v>6</v>
      </c>
      <c r="B1800" s="3" t="s">
        <v>7533</v>
      </c>
      <c r="C1800" s="3" t="s">
        <v>7534</v>
      </c>
      <c r="D1800" s="3" t="s">
        <v>7535</v>
      </c>
      <c r="E1800" s="3" t="s">
        <v>7536</v>
      </c>
      <c r="F1800" s="3" t="s">
        <v>7537</v>
      </c>
      <c r="G1800" s="3" t="str">
        <f ca="1">IFERROR(__xludf.DUMMYFUNCTION("googletranslate(D1800,""en"",""ja"")"),"エピレグリン; EPR")</f>
        <v>エピレグリン; EPR</v>
      </c>
      <c r="H1800" s="3" t="str">
        <f ca="1">IFERROR(__xludf.DUMMYFUNCTION("googletranslate(E1800,""en"",""ja"")"),"生物学的標本中のエピレグリンの測定。")</f>
        <v>生物学的標本中のエピレグリンの測定。</v>
      </c>
      <c r="I1800" s="3" t="str">
        <f ca="1">IFERROR(__xludf.DUMMYFUNCTION("googletranslate(F1800,""en"",""ja"")"),"エピレグリンの測定")</f>
        <v>エピレグリンの測定</v>
      </c>
    </row>
    <row r="1801" spans="1:9" ht="30">
      <c r="A1801" s="3" t="s">
        <v>6</v>
      </c>
      <c r="B1801" s="3" t="s">
        <v>7538</v>
      </c>
      <c r="C1801" s="3" t="s">
        <v>7539</v>
      </c>
      <c r="D1801" s="3" t="s">
        <v>7539</v>
      </c>
      <c r="E1801" s="3" t="s">
        <v>7540</v>
      </c>
      <c r="F1801" s="3" t="s">
        <v>7541</v>
      </c>
      <c r="G1801" s="3" t="str">
        <f ca="1">IFERROR(__xludf.DUMMYFUNCTION("googletranslate(D1801,""en"",""ja"")"),"エリスロフェロン")</f>
        <v>エリスロフェロン</v>
      </c>
      <c r="H1801" s="3" t="str">
        <f ca="1">IFERROR(__xludf.DUMMYFUNCTION("googletranslate(E1801,""en"",""ja"")"),"生物学的標本中のエリスロフェロンの測定。")</f>
        <v>生物学的標本中のエリスロフェロンの測定。</v>
      </c>
      <c r="I1801" s="3" t="str">
        <f ca="1">IFERROR(__xludf.DUMMYFUNCTION("googletranslate(F1801,""en"",""ja"")"),"エリスロフェロンの測定")</f>
        <v>エリスロフェロンの測定</v>
      </c>
    </row>
    <row r="1802" spans="1:9" ht="30">
      <c r="A1802" s="3" t="s">
        <v>81</v>
      </c>
      <c r="B1802" s="3" t="s">
        <v>7542</v>
      </c>
      <c r="C1802" s="3" t="s">
        <v>7543</v>
      </c>
      <c r="D1802" s="3" t="s">
        <v>7543</v>
      </c>
      <c r="E1802" s="3" t="s">
        <v>7544</v>
      </c>
      <c r="F1802" s="3" t="s">
        <v>7543</v>
      </c>
      <c r="G1802" s="3" t="str">
        <f ca="1">IFERROR(__xludf.DUMMYFUNCTION("googletranslate(D1802,""en"",""ja"")"),"偏心逆流ジェットインジケーター")</f>
        <v>偏心逆流ジェットインジケーター</v>
      </c>
      <c r="H1802" s="3" t="str">
        <f ca="1">IFERROR(__xludf.DUMMYFUNCTION("googletranslate(E1802,""en"",""ja"")"),"偏心した逆流ジェットの方向が存在するかどうかを示します。")</f>
        <v>偏心した逆流ジェットの方向が存在するかどうかを示します。</v>
      </c>
      <c r="I1802" s="3" t="str">
        <f ca="1">IFERROR(__xludf.DUMMYFUNCTION("googletranslate(F1802,""en"",""ja"")"),"偏心逆流ジェットインジケーター")</f>
        <v>偏心逆流ジェットインジケーター</v>
      </c>
    </row>
    <row r="1803" spans="1:9" ht="45">
      <c r="A1803" s="3" t="s">
        <v>142</v>
      </c>
      <c r="B1803" s="3" t="s">
        <v>7545</v>
      </c>
      <c r="C1803" s="3" t="s">
        <v>7546</v>
      </c>
      <c r="D1803" s="3" t="s">
        <v>7546</v>
      </c>
      <c r="E1803" s="3" t="s">
        <v>7547</v>
      </c>
      <c r="F1803" s="3" t="s">
        <v>7546</v>
      </c>
      <c r="G1803" s="3" t="str">
        <f ca="1">IFERROR(__xludf.DUMMYFUNCTION("googletranslate(D1803,""en"",""ja"")"),"早期出生数")</f>
        <v>早期出生数</v>
      </c>
      <c r="H1803" s="3" t="str">
        <f ca="1">IFERROR(__xludf.DUMMYFUNCTION("googletranslate(E1803,""en"",""ja"")"),"新生児の在胎期間が 37 週 0 日から 38 週 6 日までの出産イベントの合計数の測定値。")</f>
        <v>新生児の在胎期間が 37 週 0 日から 38 週 6 日までの出産イベントの合計数の測定値。</v>
      </c>
      <c r="I1803" s="3" t="str">
        <f ca="1">IFERROR(__xludf.DUMMYFUNCTION("googletranslate(F1803,""en"",""ja"")"),"早期出生数")</f>
        <v>早期出生数</v>
      </c>
    </row>
    <row r="1804" spans="1:9" ht="30">
      <c r="A1804" s="3" t="s">
        <v>6</v>
      </c>
      <c r="B1804" s="3" t="s">
        <v>7548</v>
      </c>
      <c r="C1804" s="3" t="s">
        <v>7549</v>
      </c>
      <c r="D1804" s="3" t="s">
        <v>7550</v>
      </c>
      <c r="E1804" s="3" t="s">
        <v>7551</v>
      </c>
      <c r="F1804" s="3" t="s">
        <v>7552</v>
      </c>
      <c r="G1804" s="3" t="str">
        <f ca="1">IFERROR(__xludf.DUMMYFUNCTION("googletranslate(D1804,""en"",""ja"")"),"赤血球前駆細胞;赤血球前駆体")</f>
        <v>赤血球前駆細胞;赤血球前駆体</v>
      </c>
      <c r="H1804" s="3" t="str">
        <f ca="1">IFERROR(__xludf.DUMMYFUNCTION("googletranslate(E1804,""en"",""ja"")"),"生物学的標本中の赤血球前駆体の測定。")</f>
        <v>生物学的標本中の赤血球前駆体の測定。</v>
      </c>
      <c r="I1804" s="3" t="str">
        <f ca="1">IFERROR(__xludf.DUMMYFUNCTION("googletranslate(F1804,""en"",""ja"")"),"赤血球前駆細胞数")</f>
        <v>赤血球前駆細胞数</v>
      </c>
    </row>
    <row r="1805" spans="1:9" ht="45">
      <c r="A1805" s="3" t="s">
        <v>6</v>
      </c>
      <c r="B1805" s="3" t="s">
        <v>7553</v>
      </c>
      <c r="C1805" s="3" t="s">
        <v>7554</v>
      </c>
      <c r="D1805" s="3" t="s">
        <v>7555</v>
      </c>
      <c r="E1805" s="3" t="s">
        <v>7556</v>
      </c>
      <c r="F1805" s="3" t="s">
        <v>7557</v>
      </c>
      <c r="G1805" s="3" t="str">
        <f ca="1">IFERROR(__xludf.DUMMYFUNCTION("googletranslate(D1805,""en"",""ja"")"),"赤血球前駆細胞/全細胞;赤血球前駆細胞/全細胞")</f>
        <v>赤血球前駆細胞/全細胞;赤血球前駆細胞/全細胞</v>
      </c>
      <c r="H1805" s="3" t="str">
        <f ca="1">IFERROR(__xludf.DUMMYFUNCTION("googletranslate(E1805,""en"",""ja"")"),"生物学的標本の全細胞に対する赤血球前駆体の相対的な測定値 (比率またはパーセンテージ)。")</f>
        <v>生物学的標本の全細胞に対する赤血球前駆体の相対的な測定値 (比率またはパーセンテージ)。</v>
      </c>
      <c r="I1805" s="3" t="str">
        <f ca="1">IFERROR(__xludf.DUMMYFUNCTION("googletranslate(F1805,""en"",""ja"")"),"赤血球前駆細胞と全細胞の比率の測定")</f>
        <v>赤血球前駆細胞と全細胞の比率の測定</v>
      </c>
    </row>
    <row r="1806" spans="1:9" ht="30">
      <c r="A1806" s="3" t="s">
        <v>490</v>
      </c>
      <c r="B1806" s="3" t="s">
        <v>7558</v>
      </c>
      <c r="C1806" s="3" t="s">
        <v>7559</v>
      </c>
      <c r="D1806" s="3" t="s">
        <v>7559</v>
      </c>
      <c r="E1806" s="3" t="s">
        <v>7560</v>
      </c>
      <c r="F1806" s="3" t="s">
        <v>7559</v>
      </c>
      <c r="G1806" s="3" t="str">
        <f ca="1">IFERROR(__xludf.DUMMYFUNCTION("googletranslate(D1806,""en"",""ja"")"),"予備呼気量")</f>
        <v>予備呼気量</v>
      </c>
      <c r="H1806" s="3" t="str">
        <f ca="1">IFERROR(__xludf.DUMMYFUNCTION("googletranslate(E1806,""en"",""ja"")"),"被験者が一回の呼気後に肺から吐き出せる空気の最大量。")</f>
        <v>被験者が一回の呼気後に肺から吐き出せる空気の最大量。</v>
      </c>
      <c r="I1806" s="3" t="str">
        <f ca="1">IFERROR(__xludf.DUMMYFUNCTION("googletranslate(F1806,""en"",""ja"")"),"予備呼気量")</f>
        <v>予備呼気量</v>
      </c>
    </row>
    <row r="1807" spans="1:9" ht="45">
      <c r="A1807" s="3" t="s">
        <v>490</v>
      </c>
      <c r="B1807" s="3" t="s">
        <v>7561</v>
      </c>
      <c r="C1807" s="3" t="s">
        <v>7562</v>
      </c>
      <c r="D1807" s="3" t="s">
        <v>7562</v>
      </c>
      <c r="E1807" s="3" t="s">
        <v>7563</v>
      </c>
      <c r="F1807" s="3" t="s">
        <v>7564</v>
      </c>
      <c r="G1807" s="3" t="str">
        <f ca="1">IFERROR(__xludf.DUMMYFUNCTION("googletranslate(D1807,""en"",""ja"")"),"予測ERVのパーセント")</f>
        <v>予測ERVのパーセント</v>
      </c>
      <c r="H1807" s="3" t="str">
        <f ca="1">IFERROR(__xludf.DUMMYFUNCTION("googletranslate(E1807,""en"",""ja"")"),"予測された正常値の割合として、被験者が一回の呼気後に肺から吐き出すことができる空気の最大量。")</f>
        <v>予測された正常値の割合として、被験者が一回の呼気後に肺から吐き出すことができる空気の最大量。</v>
      </c>
      <c r="I1807" s="3" t="str">
        <f ca="1">IFERROR(__xludf.DUMMYFUNCTION("googletranslate(F1807,""en"",""ja"")"),"予測呼気予備量のパーセント")</f>
        <v>予測呼気予備量のパーセント</v>
      </c>
    </row>
    <row r="1808" spans="1:9" ht="30">
      <c r="A1808" s="3" t="s">
        <v>142</v>
      </c>
      <c r="B1808" s="3" t="s">
        <v>7565</v>
      </c>
      <c r="C1808" s="3" t="s">
        <v>7566</v>
      </c>
      <c r="D1808" s="3" t="s">
        <v>7567</v>
      </c>
      <c r="E1808" s="3" t="s">
        <v>7568</v>
      </c>
      <c r="F1808" s="3" t="s">
        <v>7566</v>
      </c>
      <c r="G1808" s="3" t="str">
        <f ca="1">IFERROR(__xludf.DUMMYFUNCTION("googletranslate(D1808,""en"",""ja"")"),"紅斑インジケーター;赤みインジケーター")</f>
        <v>紅斑インジケーター;赤みインジケーター</v>
      </c>
      <c r="H1808" s="3" t="str">
        <f ca="1">IFERROR(__xludf.DUMMYFUNCTION("googletranslate(E1808,""en"",""ja"")"),"紅斑が存在するかどうかの指標。")</f>
        <v>紅斑が存在するかどうかの指標。</v>
      </c>
      <c r="I1808" s="3" t="str">
        <f ca="1">IFERROR(__xludf.DUMMYFUNCTION("googletranslate(F1808,""en"",""ja"")"),"紅斑インジケーター")</f>
        <v>紅斑インジケーター</v>
      </c>
    </row>
    <row r="1809" spans="1:9">
      <c r="A1809" s="3" t="s">
        <v>6</v>
      </c>
      <c r="B1809" s="3" t="s">
        <v>7569</v>
      </c>
      <c r="C1809" s="3" t="s">
        <v>7570</v>
      </c>
      <c r="D1809" s="3" t="s">
        <v>7570</v>
      </c>
      <c r="E1809" s="3" t="s">
        <v>7571</v>
      </c>
      <c r="F1809" s="3" t="s">
        <v>7572</v>
      </c>
      <c r="G1809" s="3" t="str">
        <f ca="1">IFERROR(__xludf.DUMMYFUNCTION("googletranslate(D1809,""en"",""ja"")"),"エスシタロプラム")</f>
        <v>エスシタロプラム</v>
      </c>
      <c r="H1809" s="3" t="str">
        <f ca="1">IFERROR(__xludf.DUMMYFUNCTION("googletranslate(E1809,""en"",""ja"")"),"生物学的標本中のエスシタロプラムの測定。")</f>
        <v>生物学的標本中のエスシタロプラムの測定。</v>
      </c>
      <c r="I1809" s="3" t="str">
        <f ca="1">IFERROR(__xludf.DUMMYFUNCTION("googletranslate(F1809,""en"",""ja"")"),"エスシタロプラムの測定")</f>
        <v>エスシタロプラムの測定</v>
      </c>
    </row>
    <row r="1810" spans="1:9">
      <c r="A1810" s="3" t="s">
        <v>6</v>
      </c>
      <c r="B1810" s="3" t="s">
        <v>7573</v>
      </c>
      <c r="C1810" s="3" t="s">
        <v>7574</v>
      </c>
      <c r="D1810" s="3" t="s">
        <v>7574</v>
      </c>
      <c r="E1810" s="3" t="s">
        <v>7575</v>
      </c>
      <c r="F1810" s="3" t="s">
        <v>7576</v>
      </c>
      <c r="G1810" s="3" t="str">
        <f ca="1">IFERROR(__xludf.DUMMYFUNCTION("googletranslate(D1810,""en"",""ja"")"),"E-セレクチン")</f>
        <v>E-セレクチン</v>
      </c>
      <c r="H1810" s="3" t="str">
        <f ca="1">IFERROR(__xludf.DUMMYFUNCTION("googletranslate(E1810,""en"",""ja"")"),"生物学的標本中の総 E-セレクチンの測定。")</f>
        <v>生物学的標本中の総 E-セレクチンの測定。</v>
      </c>
      <c r="I1810" s="3" t="str">
        <f ca="1">IFERROR(__xludf.DUMMYFUNCTION("googletranslate(F1810,""en"",""ja"")"),"E-セレクチンの測定")</f>
        <v>E-セレクチンの測定</v>
      </c>
    </row>
    <row r="1811" spans="1:9" ht="30">
      <c r="A1811" s="3" t="s">
        <v>6</v>
      </c>
      <c r="B1811" s="3" t="s">
        <v>7577</v>
      </c>
      <c r="C1811" s="3" t="s">
        <v>7578</v>
      </c>
      <c r="D1811" s="3" t="s">
        <v>7579</v>
      </c>
      <c r="E1811" s="3" t="s">
        <v>7580</v>
      </c>
      <c r="F1811" s="3" t="s">
        <v>7581</v>
      </c>
      <c r="G1811" s="3" t="str">
        <f ca="1">IFERROR(__xludf.DUMMYFUNCTION("googletranslate(D1811,""en"",""ja"")"),"sE-セレクチン;可溶性 E-セレクチン")</f>
        <v>sE-セレクチン;可溶性 E-セレクチン</v>
      </c>
      <c r="H1811" s="3" t="str">
        <f ca="1">IFERROR(__xludf.DUMMYFUNCTION("googletranslate(E1811,""en"",""ja"")"),"生物学的検体中の可溶性 E-セレクチンの測定。")</f>
        <v>生物学的検体中の可溶性 E-セレクチンの測定。</v>
      </c>
      <c r="I1811" s="3" t="str">
        <f ca="1">IFERROR(__xludf.DUMMYFUNCTION("googletranslate(F1811,""en"",""ja"")"),"可溶性E-セレクチンの測定")</f>
        <v>可溶性E-セレクチンの測定</v>
      </c>
    </row>
    <row r="1812" spans="1:9" ht="45">
      <c r="A1812" s="3" t="s">
        <v>6</v>
      </c>
      <c r="B1812" s="3" t="s">
        <v>7582</v>
      </c>
      <c r="C1812" s="3" t="s">
        <v>7583</v>
      </c>
      <c r="D1812" s="3" t="s">
        <v>7584</v>
      </c>
      <c r="E1812" s="3" t="s">
        <v>7585</v>
      </c>
      <c r="F1812" s="3" t="s">
        <v>7586</v>
      </c>
      <c r="G1812" s="3" t="str">
        <f ca="1">IFERROR(__xludf.DUMMYFUNCTION("googletranslate(D1812,""en"",""ja"")"),"ビエルナッキ反応;赤血球沈降速度")</f>
        <v>ビエルナッキ反応;赤血球沈降速度</v>
      </c>
      <c r="H1812" s="3" t="str">
        <f ca="1">IFERROR(__xludf.DUMMYFUNCTION("googletranslate(E1812,""en"",""ja"")"),"指定された時間単位 (例: 1 時間) にわたって、凝固していない血液内に赤血球が沈降する距離 (例: ミリメートル)。")</f>
        <v>指定された時間単位 (例: 1 時間) にわたって、凝固していない血液内に赤血球が沈降する距離 (例: ミリメートル)。</v>
      </c>
      <c r="I1812" s="3" t="str">
        <f ca="1">IFERROR(__xludf.DUMMYFUNCTION("googletranslate(F1812,""en"",""ja"")"),"赤血球沈降速度測定")</f>
        <v>赤血球沈降速度測定</v>
      </c>
    </row>
    <row r="1813" spans="1:9">
      <c r="A1813" s="3" t="s">
        <v>6</v>
      </c>
      <c r="B1813" s="3" t="s">
        <v>7587</v>
      </c>
      <c r="C1813" s="3" t="s">
        <v>7588</v>
      </c>
      <c r="D1813" s="3" t="s">
        <v>7588</v>
      </c>
      <c r="E1813" s="3" t="s">
        <v>7589</v>
      </c>
      <c r="F1813" s="3" t="s">
        <v>7590</v>
      </c>
      <c r="G1813" s="3" t="str">
        <f ca="1">IFERROR(__xludf.DUMMYFUNCTION("googletranslate(D1813,""en"",""ja"")"),"エスタゾラム")</f>
        <v>エスタゾラム</v>
      </c>
      <c r="H1813" s="3" t="str">
        <f ca="1">IFERROR(__xludf.DUMMYFUNCTION("googletranslate(E1813,""en"",""ja"")"),"生物学的標本中のエスタゾラムの測定。")</f>
        <v>生物学的標本中のエスタゾラムの測定。</v>
      </c>
      <c r="I1813" s="3" t="str">
        <f ca="1">IFERROR(__xludf.DUMMYFUNCTION("googletranslate(F1813,""en"",""ja"")"),"エスタゾラムの測定")</f>
        <v>エスタゾラムの測定</v>
      </c>
    </row>
    <row r="1814" spans="1:9" ht="30">
      <c r="A1814" s="3" t="s">
        <v>6</v>
      </c>
      <c r="B1814" s="3" t="s">
        <v>7591</v>
      </c>
      <c r="C1814" s="3" t="s">
        <v>7592</v>
      </c>
      <c r="D1814" s="3" t="s">
        <v>7592</v>
      </c>
      <c r="E1814" s="3" t="s">
        <v>7593</v>
      </c>
      <c r="F1814" s="3" t="s">
        <v>7594</v>
      </c>
      <c r="G1814" s="3" t="str">
        <f ca="1">IFERROR(__xludf.DUMMYFUNCTION("googletranslate(D1814,""en"",""ja"")"),"エストラジオール、無料")</f>
        <v>エストラジオール、無料</v>
      </c>
      <c r="H1814" s="3" t="str">
        <f ca="1">IFERROR(__xludf.DUMMYFUNCTION("googletranslate(E1814,""en"",""ja"")"),"生物学的標本中の結合していないエストラジオールの測定。")</f>
        <v>生物学的標本中の結合していないエストラジオールの測定。</v>
      </c>
      <c r="I1814" s="3" t="str">
        <f ca="1">IFERROR(__xludf.DUMMYFUNCTION("googletranslate(F1814,""en"",""ja"")"),"無料エストラジオール測定")</f>
        <v>無料エストラジオール測定</v>
      </c>
    </row>
    <row r="1815" spans="1:9" ht="45">
      <c r="A1815" s="3" t="s">
        <v>6</v>
      </c>
      <c r="B1815" s="3" t="s">
        <v>7595</v>
      </c>
      <c r="C1815" s="3" t="s">
        <v>7596</v>
      </c>
      <c r="D1815" s="3" t="s">
        <v>7596</v>
      </c>
      <c r="E1815" s="3" t="s">
        <v>7597</v>
      </c>
      <c r="F1815" s="3" t="s">
        <v>7598</v>
      </c>
      <c r="G1815" s="3" t="str">
        <f ca="1">IFERROR(__xludf.DUMMYFUNCTION("googletranslate(D1815,""en"",""ja"")"),"エストラジオール、フリー/エストラジオール")</f>
        <v>エストラジオール、フリー/エストラジオール</v>
      </c>
      <c r="H1815" s="3" t="str">
        <f ca="1">IFERROR(__xludf.DUMMYFUNCTION("googletranslate(E1815,""en"",""ja"")"),"生物学的標本中の総エストラジオールに対する未結合エストラジオールの相対測定値 (比率またはパーセンテージ)。")</f>
        <v>生物学的標本中の総エストラジオールに対する未結合エストラジオールの相対測定値 (比率またはパーセンテージ)。</v>
      </c>
      <c r="I1815" s="3" t="str">
        <f ca="1">IFERROR(__xludf.DUMMYFUNCTION("googletranslate(F1815,""en"",""ja"")"),"遊離エストラジオール対エストラジオール比の測定")</f>
        <v>遊離エストラジオール対エストラジオール比の測定</v>
      </c>
    </row>
    <row r="1816" spans="1:9" ht="30">
      <c r="A1816" s="3" t="s">
        <v>6</v>
      </c>
      <c r="B1816" s="3" t="s">
        <v>7599</v>
      </c>
      <c r="C1816" s="3" t="s">
        <v>7600</v>
      </c>
      <c r="D1816" s="3" t="s">
        <v>7601</v>
      </c>
      <c r="E1816" s="3" t="s">
        <v>7602</v>
      </c>
      <c r="F1816" s="3" t="s">
        <v>7603</v>
      </c>
      <c r="G1816" s="3" t="str">
        <f ca="1">IFERROR(__xludf.DUMMYFUNCTION("googletranslate(D1816,""en"",""ja"")"),"ER; ESR;エストロゲン受容体;エストロゲン受容体")</f>
        <v>ER; ESR;エストロゲン受容体;エストロゲン受容体</v>
      </c>
      <c r="H1816" s="3" t="str">
        <f ca="1">IFERROR(__xludf.DUMMYFUNCTION("googletranslate(E1816,""en"",""ja"")"),"生物学的標本中のエストロゲン受容体タンパク質の測定。")</f>
        <v>生物学的標本中のエストロゲン受容体タンパク質の測定。</v>
      </c>
      <c r="I1816" s="3" t="str">
        <f ca="1">IFERROR(__xludf.DUMMYFUNCTION("googletranslate(F1816,""en"",""ja"")"),"エストロゲン受容体の測定")</f>
        <v>エストロゲン受容体の測定</v>
      </c>
    </row>
    <row r="1817" spans="1:9" ht="30">
      <c r="A1817" s="3" t="s">
        <v>6</v>
      </c>
      <c r="B1817" s="3" t="s">
        <v>7604</v>
      </c>
      <c r="C1817" s="3" t="s">
        <v>7605</v>
      </c>
      <c r="D1817" s="3" t="s">
        <v>7606</v>
      </c>
      <c r="E1817" s="3" t="s">
        <v>7607</v>
      </c>
      <c r="F1817" s="3" t="s">
        <v>7608</v>
      </c>
      <c r="G1817" s="3" t="str">
        <f ca="1">IFERROR(__xludf.DUMMYFUNCTION("googletranslate(D1817,""en"",""ja"")"),"エストラジオール;エストラジオール")</f>
        <v>エストラジオール;エストラジオール</v>
      </c>
      <c r="H1817" s="3" t="str">
        <f ca="1">IFERROR(__xludf.DUMMYFUNCTION("googletranslate(E1817,""en"",""ja"")"),"生物学的標本中のエストラジオールの測定。")</f>
        <v>生物学的標本中のエストラジオールの測定。</v>
      </c>
      <c r="I1817" s="3" t="str">
        <f ca="1">IFERROR(__xludf.DUMMYFUNCTION("googletranslate(F1817,""en"",""ja"")"),"エストラジオール測定")</f>
        <v>エストラジオール測定</v>
      </c>
    </row>
    <row r="1818" spans="1:9" ht="30">
      <c r="A1818" s="3" t="s">
        <v>6</v>
      </c>
      <c r="B1818" s="3" t="s">
        <v>7609</v>
      </c>
      <c r="C1818" s="3" t="s">
        <v>7610</v>
      </c>
      <c r="D1818" s="3" t="s">
        <v>7611</v>
      </c>
      <c r="E1818" s="3" t="s">
        <v>7612</v>
      </c>
      <c r="F1818" s="3" t="s">
        <v>7613</v>
      </c>
      <c r="G1818" s="3" t="str">
        <f ca="1">IFERROR(__xludf.DUMMYFUNCTION("googletranslate(D1818,""en"",""ja"")"),"エストリオール;エストリオール")</f>
        <v>エストリオール;エストリオール</v>
      </c>
      <c r="H1818" s="3" t="str">
        <f ca="1">IFERROR(__xludf.DUMMYFUNCTION("googletranslate(E1818,""en"",""ja"")"),"生物学的標本中のエストリオール ホルモンの測定。")</f>
        <v>生物学的標本中のエストリオール ホルモンの測定。</v>
      </c>
      <c r="I1818" s="3" t="str">
        <f ca="1">IFERROR(__xludf.DUMMYFUNCTION("googletranslate(F1818,""en"",""ja"")"),"エストリオール測定")</f>
        <v>エストリオール測定</v>
      </c>
    </row>
    <row r="1819" spans="1:9" ht="30">
      <c r="A1819" s="3" t="s">
        <v>6</v>
      </c>
      <c r="B1819" s="3" t="s">
        <v>7614</v>
      </c>
      <c r="C1819" s="3" t="s">
        <v>7615</v>
      </c>
      <c r="D1819" s="3" t="s">
        <v>7616</v>
      </c>
      <c r="E1819" s="3" t="s">
        <v>7617</v>
      </c>
      <c r="F1819" s="3" t="s">
        <v>7618</v>
      </c>
      <c r="G1819" s="3" t="str">
        <f ca="1">IFERROR(__xludf.DUMMYFUNCTION("googletranslate(D1819,""en"",""ja"")"),"エストリオール、無料。非共役エストリオール")</f>
        <v>エストリオール、無料。非共役エストリオール</v>
      </c>
      <c r="H1819" s="3" t="str">
        <f ca="1">IFERROR(__xludf.DUMMYFUNCTION("googletranslate(E1819,""en"",""ja"")"),"生物学的標本中の遊離エストリオールの測定。")</f>
        <v>生物学的標本中の遊離エストリオールの測定。</v>
      </c>
      <c r="I1819" s="3" t="str">
        <f ca="1">IFERROR(__xludf.DUMMYFUNCTION("googletranslate(F1819,""en"",""ja"")"),"無料エストリオール測定")</f>
        <v>無料エストリオール測定</v>
      </c>
    </row>
    <row r="1820" spans="1:9" ht="30">
      <c r="A1820" s="3" t="s">
        <v>6</v>
      </c>
      <c r="B1820" s="3" t="s">
        <v>7619</v>
      </c>
      <c r="C1820" s="3" t="s">
        <v>7620</v>
      </c>
      <c r="D1820" s="3" t="s">
        <v>7621</v>
      </c>
      <c r="E1820" s="3" t="s">
        <v>7622</v>
      </c>
      <c r="F1820" s="3" t="s">
        <v>7623</v>
      </c>
      <c r="G1820" s="3" t="str">
        <f ca="1">IFERROR(__xludf.DUMMYFUNCTION("googletranslate(D1820,""en"",""ja"")"),"エストロゲン;エストロゲン")</f>
        <v>エストロゲン;エストロゲン</v>
      </c>
      <c r="H1820" s="3" t="str">
        <f ca="1">IFERROR(__xludf.DUMMYFUNCTION("googletranslate(E1820,""en"",""ja"")"),"生物学的標本中のエストロゲン ホルモンの測定。")</f>
        <v>生物学的標本中のエストロゲン ホルモンの測定。</v>
      </c>
      <c r="I1820" s="3" t="str">
        <f ca="1">IFERROR(__xludf.DUMMYFUNCTION("googletranslate(F1820,""en"",""ja"")"),"エストロゲンの測定")</f>
        <v>エストロゲンの測定</v>
      </c>
    </row>
    <row r="1821" spans="1:9" ht="30">
      <c r="A1821" s="3" t="s">
        <v>6</v>
      </c>
      <c r="B1821" s="3" t="s">
        <v>7624</v>
      </c>
      <c r="C1821" s="3" t="s">
        <v>7625</v>
      </c>
      <c r="D1821" s="3" t="s">
        <v>7626</v>
      </c>
      <c r="E1821" s="3" t="s">
        <v>7627</v>
      </c>
      <c r="F1821" s="3" t="s">
        <v>7628</v>
      </c>
      <c r="G1821" s="3" t="str">
        <f ca="1">IFERROR(__xludf.DUMMYFUNCTION("googletranslate(D1821,""en"",""ja"")"),"エストロン;エストロン")</f>
        <v>エストロン;エストロン</v>
      </c>
      <c r="H1821" s="3" t="str">
        <f ca="1">IFERROR(__xludf.DUMMYFUNCTION("googletranslate(E1821,""en"",""ja"")"),"生物学的標本中のエストロン ホルモンの測定。")</f>
        <v>生物学的標本中のエストロン ホルモンの測定。</v>
      </c>
      <c r="I1821" s="3" t="str">
        <f ca="1">IFERROR(__xludf.DUMMYFUNCTION("googletranslate(F1821,""en"",""ja"")"),"エストロン測定")</f>
        <v>エストロン測定</v>
      </c>
    </row>
    <row r="1822" spans="1:9" ht="30">
      <c r="A1822" s="3" t="s">
        <v>185</v>
      </c>
      <c r="B1822" s="3" t="s">
        <v>7629</v>
      </c>
      <c r="C1822" s="3" t="s">
        <v>7630</v>
      </c>
      <c r="D1822" s="3" t="s">
        <v>7631</v>
      </c>
      <c r="E1822" s="3" t="s">
        <v>7632</v>
      </c>
      <c r="F1822" s="3" t="s">
        <v>7630</v>
      </c>
      <c r="G1822" s="3" t="str">
        <f ca="1">IFERROR(__xludf.DUMMYFUNCTION("googletranslate(D1822,""en"",""ja"")"),"実体の推定重量;推定体重")</f>
        <v>実体の推定重量;推定体重</v>
      </c>
      <c r="H1822" s="3" t="str">
        <f ca="1">IFERROR(__xludf.DUMMYFUNCTION("googletranslate(E1822,""en"",""ja"")"),"エンティティの重量のおおよその決定。")</f>
        <v>エンティティの重量のおおよその決定。</v>
      </c>
      <c r="I1822" s="3" t="str">
        <f ca="1">IFERROR(__xludf.DUMMYFUNCTION("googletranslate(F1822,""en"",""ja"")"),"推定体重")</f>
        <v>推定体重</v>
      </c>
    </row>
    <row r="1823" spans="1:9" ht="30">
      <c r="A1823" s="3" t="s">
        <v>81</v>
      </c>
      <c r="B1823" s="3" t="s">
        <v>7633</v>
      </c>
      <c r="C1823" s="3" t="s">
        <v>7634</v>
      </c>
      <c r="D1823" s="3" t="s">
        <v>7635</v>
      </c>
      <c r="E1823" s="3" t="s">
        <v>7636</v>
      </c>
      <c r="F1823" s="3" t="s">
        <v>7634</v>
      </c>
      <c r="G1823" s="3" t="str">
        <f ca="1">IFERROR(__xludf.DUMMYFUNCTION("googletranslate(D1823,""en"",""ja"")"),"収縮期末期血液量。収縮終期容積")</f>
        <v>収縮期末期血液量。収縮終期容積</v>
      </c>
      <c r="H1823" s="3" t="str">
        <f ca="1">IFERROR(__xludf.DUMMYFUNCTION("googletranslate(E1823,""en"",""ja"")"),"収縮末期の心室または心房に残っている血液の量。")</f>
        <v>収縮末期の心室または心房に残っている血液の量。</v>
      </c>
      <c r="I1823" s="3" t="str">
        <f ca="1">IFERROR(__xludf.DUMMYFUNCTION("googletranslate(F1823,""en"",""ja"")"),"収縮終期容積")</f>
        <v>収縮終期容積</v>
      </c>
    </row>
    <row r="1824" spans="1:9" ht="30">
      <c r="A1824" s="3" t="s">
        <v>6</v>
      </c>
      <c r="B1824" s="3" t="s">
        <v>7637</v>
      </c>
      <c r="C1824" s="3" t="s">
        <v>7638</v>
      </c>
      <c r="D1824" s="3" t="s">
        <v>7638</v>
      </c>
      <c r="E1824" s="3" t="s">
        <v>7639</v>
      </c>
      <c r="F1824" s="3" t="s">
        <v>7640</v>
      </c>
      <c r="G1824" s="3" t="str">
        <f ca="1">IFERROR(__xludf.DUMMYFUNCTION("googletranslate(D1824,""en"",""ja"")"),"エチルグルクロニド")</f>
        <v>エチルグルクロニド</v>
      </c>
      <c r="H1824" s="3" t="str">
        <f ca="1">IFERROR(__xludf.DUMMYFUNCTION("googletranslate(E1824,""en"",""ja"")"),"生物学的標本中のエチルグルクロニドの測定。")</f>
        <v>生物学的標本中のエチルグルクロニドの測定。</v>
      </c>
      <c r="I1824" s="3" t="str">
        <f ca="1">IFERROR(__xludf.DUMMYFUNCTION("googletranslate(F1824,""en"",""ja"")"),"グルクロン酸エチルの測定")</f>
        <v>グルクロン酸エチルの測定</v>
      </c>
    </row>
    <row r="1825" spans="1:9" ht="30">
      <c r="A1825" s="3" t="s">
        <v>6</v>
      </c>
      <c r="B1825" s="3" t="s">
        <v>7641</v>
      </c>
      <c r="C1825" s="3" t="s">
        <v>7642</v>
      </c>
      <c r="D1825" s="3" t="s">
        <v>7642</v>
      </c>
      <c r="E1825" s="3" t="s">
        <v>7643</v>
      </c>
      <c r="F1825" s="3" t="s">
        <v>7644</v>
      </c>
      <c r="G1825" s="3" t="str">
        <f ca="1">IFERROR(__xludf.DUMMYFUNCTION("googletranslate(D1825,""en"",""ja"")"),"エチルグルクロニド硫酸エチル")</f>
        <v>エチルグルクロニド硫酸エチル</v>
      </c>
      <c r="H1825" s="3" t="str">
        <f ca="1">IFERROR(__xludf.DUMMYFUNCTION("googletranslate(E1825,""en"",""ja"")"),"生物学的標本中のエチルグルクロニドおよび/またはエチル硫酸の測定。")</f>
        <v>生物学的標本中のエチルグルクロニドおよび/またはエチル硫酸の測定。</v>
      </c>
      <c r="I1825" s="3" t="str">
        <f ca="1">IFERROR(__xludf.DUMMYFUNCTION("googletranslate(F1825,""en"",""ja"")"),"グルクロン酸エチルおよび硫酸エチルの測定")</f>
        <v>グルクロン酸エチルおよび硫酸エチルの測定</v>
      </c>
    </row>
    <row r="1826" spans="1:9">
      <c r="A1826" s="3" t="s">
        <v>51</v>
      </c>
      <c r="B1826" s="3" t="s">
        <v>7645</v>
      </c>
      <c r="C1826" s="3" t="s">
        <v>7646</v>
      </c>
      <c r="D1826" s="3" t="s">
        <v>7647</v>
      </c>
      <c r="E1826" s="3" t="s">
        <v>7648</v>
      </c>
      <c r="F1826" s="3" t="s">
        <v>7649</v>
      </c>
      <c r="G1826" s="3" t="str">
        <f ca="1">IFERROR(__xludf.DUMMYFUNCTION("googletranslate(D1826,""en"",""ja"")"),"酢酸エチル;エチル酢酸")</f>
        <v>酢酸エチル;エチル酢酸</v>
      </c>
      <c r="H1826" s="3" t="str">
        <f ca="1">IFERROR(__xludf.DUMMYFUNCTION("googletranslate(E1826,""en"",""ja"")"),"試料中の酢酸エチルの測定。")</f>
        <v>試料中の酢酸エチルの測定。</v>
      </c>
      <c r="I1826" s="3" t="str">
        <f ca="1">IFERROR(__xludf.DUMMYFUNCTION("googletranslate(F1826,""en"",""ja"")"),"酢酸エチルの測定")</f>
        <v>酢酸エチルの測定</v>
      </c>
    </row>
    <row r="1827" spans="1:9" ht="30">
      <c r="A1827" s="3" t="s">
        <v>6</v>
      </c>
      <c r="B1827" s="3" t="s">
        <v>7650</v>
      </c>
      <c r="C1827" s="3" t="s">
        <v>7651</v>
      </c>
      <c r="D1827" s="3" t="s">
        <v>7652</v>
      </c>
      <c r="E1827" s="3" t="s">
        <v>7653</v>
      </c>
      <c r="F1827" s="3" t="s">
        <v>7654</v>
      </c>
      <c r="G1827" s="3" t="str">
        <f ca="1">IFERROR(__xludf.DUMMYFUNCTION("googletranslate(D1827,""en"",""ja"")"),"アルコール;エタノール")</f>
        <v>アルコール;エタノール</v>
      </c>
      <c r="H1827" s="3" t="str">
        <f ca="1">IFERROR(__xludf.DUMMYFUNCTION("googletranslate(E1827,""en"",""ja"")"),"生物学的標本中に存在するエタノールの測定。")</f>
        <v>生物学的標本中に存在するエタノールの測定。</v>
      </c>
      <c r="I1827" s="3" t="str">
        <f ca="1">IFERROR(__xludf.DUMMYFUNCTION("googletranslate(F1827,""en"",""ja"")"),"エタノール測定")</f>
        <v>エタノール測定</v>
      </c>
    </row>
    <row r="1828" spans="1:9">
      <c r="A1828" s="3" t="s">
        <v>51</v>
      </c>
      <c r="B1828" s="3" t="s">
        <v>7655</v>
      </c>
      <c r="C1828" s="3" t="s">
        <v>7656</v>
      </c>
      <c r="D1828" s="3" t="s">
        <v>7656</v>
      </c>
      <c r="E1828" s="3" t="s">
        <v>7657</v>
      </c>
      <c r="F1828" s="3" t="s">
        <v>7658</v>
      </c>
      <c r="G1828" s="3" t="str">
        <f ca="1">IFERROR(__xludf.DUMMYFUNCTION("googletranslate(D1828,""en"",""ja"")"),"エチルベンゼン")</f>
        <v>エチルベンゼン</v>
      </c>
      <c r="H1828" s="3" t="str">
        <f ca="1">IFERROR(__xludf.DUMMYFUNCTION("googletranslate(E1828,""en"",""ja"")"),"試料中のエチルベンゼンの測定。")</f>
        <v>試料中のエチルベンゼンの測定。</v>
      </c>
      <c r="I1828" s="3" t="str">
        <f ca="1">IFERROR(__xludf.DUMMYFUNCTION("googletranslate(F1828,""en"",""ja"")"),"エチルベンゼンの測定")</f>
        <v>エチルベンゼンの測定</v>
      </c>
    </row>
    <row r="1829" spans="1:9">
      <c r="A1829" s="3" t="s">
        <v>51</v>
      </c>
      <c r="B1829" s="3" t="s">
        <v>7659</v>
      </c>
      <c r="C1829" s="3" t="s">
        <v>7660</v>
      </c>
      <c r="D1829" s="3" t="s">
        <v>7661</v>
      </c>
      <c r="E1829" s="3" t="s">
        <v>7662</v>
      </c>
      <c r="F1829" s="3" t="s">
        <v>7663</v>
      </c>
      <c r="G1829" s="3" t="str">
        <f ca="1">IFERROR(__xludf.DUMMYFUNCTION("googletranslate(D1829,""en"",""ja"")"),"カルバミン酸エチル;ウレタン")</f>
        <v>カルバミン酸エチル;ウレタン</v>
      </c>
      <c r="H1829" s="3" t="str">
        <f ca="1">IFERROR(__xludf.DUMMYFUNCTION("googletranslate(E1829,""en"",""ja"")"),"試料中のカルバミン酸エチルの測定。")</f>
        <v>試料中のカルバミン酸エチルの測定。</v>
      </c>
      <c r="I1829" s="3" t="str">
        <f ca="1">IFERROR(__xludf.DUMMYFUNCTION("googletranslate(F1829,""en"",""ja"")"),"カルバミン酸エチルの測定")</f>
        <v>カルバミン酸エチルの測定</v>
      </c>
    </row>
    <row r="1830" spans="1:9">
      <c r="A1830" s="3" t="s">
        <v>6</v>
      </c>
      <c r="B1830" s="3" t="s">
        <v>7664</v>
      </c>
      <c r="C1830" s="3" t="s">
        <v>7665</v>
      </c>
      <c r="D1830" s="3" t="s">
        <v>7665</v>
      </c>
      <c r="E1830" s="3" t="s">
        <v>7666</v>
      </c>
      <c r="F1830" s="3" t="s">
        <v>7667</v>
      </c>
      <c r="G1830" s="3" t="str">
        <f ca="1">IFERROR(__xludf.DUMMYFUNCTION("googletranslate(D1830,""en"",""ja"")"),"エトクロルビノール")</f>
        <v>エトクロルビノール</v>
      </c>
      <c r="H1830" s="3" t="str">
        <f ca="1">IFERROR(__xludf.DUMMYFUNCTION("googletranslate(E1830,""en"",""ja"")"),"生物学的標本中のエトクロルビノールの測定。")</f>
        <v>生物学的標本中のエトクロルビノールの測定。</v>
      </c>
      <c r="I1830" s="3" t="str">
        <f ca="1">IFERROR(__xludf.DUMMYFUNCTION("googletranslate(F1830,""en"",""ja"")"),"エトクロルビノールの測定")</f>
        <v>エトクロルビノールの測定</v>
      </c>
    </row>
    <row r="1831" spans="1:9">
      <c r="A1831" s="3" t="s">
        <v>6</v>
      </c>
      <c r="B1831" s="3" t="s">
        <v>7668</v>
      </c>
      <c r="C1831" s="3" t="s">
        <v>7669</v>
      </c>
      <c r="D1831" s="3" t="s">
        <v>7669</v>
      </c>
      <c r="E1831" s="3" t="s">
        <v>7670</v>
      </c>
      <c r="F1831" s="3" t="s">
        <v>7671</v>
      </c>
      <c r="G1831" s="3" t="str">
        <f ca="1">IFERROR(__xludf.DUMMYFUNCTION("googletranslate(D1831,""en"",""ja"")"),"エチルエストレノール")</f>
        <v>エチルエストレノール</v>
      </c>
      <c r="H1831" s="3" t="str">
        <f ca="1">IFERROR(__xludf.DUMMYFUNCTION("googletranslate(E1831,""en"",""ja"")"),"生物学的標本中のエチルエストレノールの測定。")</f>
        <v>生物学的標本中のエチルエストレノールの測定。</v>
      </c>
      <c r="I1831" s="3" t="str">
        <f ca="1">IFERROR(__xludf.DUMMYFUNCTION("googletranslate(F1831,""en"",""ja"")"),"エチルエストレノールの測定")</f>
        <v>エチルエストレノールの測定</v>
      </c>
    </row>
    <row r="1832" spans="1:9" ht="30">
      <c r="A1832" s="3" t="s">
        <v>51</v>
      </c>
      <c r="B1832" s="3" t="s">
        <v>7672</v>
      </c>
      <c r="C1832" s="3" t="s">
        <v>7673</v>
      </c>
      <c r="D1832" s="3" t="s">
        <v>7674</v>
      </c>
      <c r="E1832" s="3" t="s">
        <v>7675</v>
      </c>
      <c r="F1832" s="3" t="s">
        <v>7676</v>
      </c>
      <c r="G1832" s="3" t="str">
        <f ca="1">IFERROR(__xludf.DUMMYFUNCTION("googletranslate(D1832,""en"",""ja"")"),"エタン-1,2-ジオール;エチレングリコール")</f>
        <v>エタン-1,2-ジオール;エチレングリコール</v>
      </c>
      <c r="H1832" s="3" t="str">
        <f ca="1">IFERROR(__xludf.DUMMYFUNCTION("googletranslate(E1832,""en"",""ja"")"),"試料中のエチレングリコールの測定。")</f>
        <v>試料中のエチレングリコールの測定。</v>
      </c>
      <c r="I1832" s="3" t="str">
        <f ca="1">IFERROR(__xludf.DUMMYFUNCTION("googletranslate(F1832,""en"",""ja"")"),"エチレングリコールの測定")</f>
        <v>エチレングリコールの測定</v>
      </c>
    </row>
    <row r="1833" spans="1:9">
      <c r="A1833" s="3" t="s">
        <v>6</v>
      </c>
      <c r="B1833" s="3" t="s">
        <v>7677</v>
      </c>
      <c r="C1833" s="3" t="s">
        <v>7678</v>
      </c>
      <c r="D1833" s="3" t="s">
        <v>7678</v>
      </c>
      <c r="E1833" s="3" t="s">
        <v>7679</v>
      </c>
      <c r="F1833" s="3" t="s">
        <v>7680</v>
      </c>
      <c r="G1833" s="3" t="str">
        <f ca="1">IFERROR(__xludf.DUMMYFUNCTION("googletranslate(D1833,""en"",""ja"")"),"エチナメイト")</f>
        <v>エチナメイト</v>
      </c>
      <c r="H1833" s="3" t="str">
        <f ca="1">IFERROR(__xludf.DUMMYFUNCTION("googletranslate(E1833,""en"",""ja"")"),"生物学的標本中のエチナム酸の測定。")</f>
        <v>生物学的標本中のエチナム酸の測定。</v>
      </c>
      <c r="I1833" s="3" t="str">
        <f ca="1">IFERROR(__xludf.DUMMYFUNCTION("googletranslate(F1833,""en"",""ja"")"),"エチナメートの測定")</f>
        <v>エチナメートの測定</v>
      </c>
    </row>
    <row r="1834" spans="1:9">
      <c r="A1834" s="3" t="s">
        <v>51</v>
      </c>
      <c r="B1834" s="3" t="s">
        <v>7681</v>
      </c>
      <c r="C1834" s="3" t="s">
        <v>7682</v>
      </c>
      <c r="D1834" s="3" t="s">
        <v>7682</v>
      </c>
      <c r="E1834" s="3" t="s">
        <v>7683</v>
      </c>
      <c r="F1834" s="3" t="s">
        <v>7684</v>
      </c>
      <c r="G1834" s="3" t="str">
        <f ca="1">IFERROR(__xludf.DUMMYFUNCTION("googletranslate(D1834,""en"",""ja"")"),"エチレンオキサイド")</f>
        <v>エチレンオキサイド</v>
      </c>
      <c r="H1834" s="3" t="str">
        <f ca="1">IFERROR(__xludf.DUMMYFUNCTION("googletranslate(E1834,""en"",""ja"")"),"試料中のエチレンオキシドの測定。")</f>
        <v>試料中のエチレンオキシドの測定。</v>
      </c>
      <c r="I1834" s="3" t="str">
        <f ca="1">IFERROR(__xludf.DUMMYFUNCTION("googletranslate(F1834,""en"",""ja"")"),"エチレンオキシドの測定")</f>
        <v>エチレンオキシドの測定</v>
      </c>
    </row>
    <row r="1835" spans="1:9" ht="45">
      <c r="A1835" s="3" t="s">
        <v>6</v>
      </c>
      <c r="B1835" s="3" t="s">
        <v>7685</v>
      </c>
      <c r="C1835" s="3" t="s">
        <v>7686</v>
      </c>
      <c r="D1835" s="3" t="s">
        <v>7686</v>
      </c>
      <c r="E1835" s="3" t="s">
        <v>7687</v>
      </c>
      <c r="F1835" s="3" t="s">
        <v>7688</v>
      </c>
      <c r="G1835" s="3" t="str">
        <f ca="1">IFERROR(__xludf.DUMMYFUNCTION("googletranslate(D1835,""en"",""ja"")"),"内因性トロンビンの可能性")</f>
        <v>内因性トロンビンの可能性</v>
      </c>
      <c r="H1835" s="3" t="str">
        <f ca="1">IFERROR(__xludf.DUMMYFUNCTION("googletranslate(E1835,""en"",""ja"")"),"血漿または血液サンプル中の基質の存在下で生成されるトロンビンの総濃度の測定値。")</f>
        <v>血漿または血液サンプル中の基質の存在下で生成されるトロンビンの総濃度の測定値。</v>
      </c>
      <c r="I1835" s="3" t="str">
        <f ca="1">IFERROR(__xludf.DUMMYFUNCTION("googletranslate(F1835,""en"",""ja"")"),"内因性トロンビン電位の測定")</f>
        <v>内因性トロンビン電位の測定</v>
      </c>
    </row>
    <row r="1836" spans="1:9" ht="45">
      <c r="A1836" s="3" t="s">
        <v>6</v>
      </c>
      <c r="B1836" s="3" t="s">
        <v>7689</v>
      </c>
      <c r="C1836" s="3" t="s">
        <v>7690</v>
      </c>
      <c r="D1836" s="3" t="s">
        <v>7691</v>
      </c>
      <c r="E1836" s="3" t="s">
        <v>7692</v>
      </c>
      <c r="F1836" s="3" t="s">
        <v>7693</v>
      </c>
      <c r="G1836" s="3" t="str">
        <f ca="1">IFERROR(__xludf.DUMMYFUNCTION("googletranslate(D1836,""en"",""ja"")"),"内因性トロンビンの潜在的な曲線下の領域。 ETP 曲線下の面積")</f>
        <v>内因性トロンビンの潜在的な曲線下の領域。 ETP 曲線下の面積</v>
      </c>
      <c r="H1836" s="3" t="str">
        <f ca="1">IFERROR(__xludf.DUMMYFUNCTION("googletranslate(E1836,""en"",""ja"")"),"トロンビン生成曲線の下の面積の測定値。")</f>
        <v>トロンビン生成曲線の下の面積の測定値。</v>
      </c>
      <c r="I1836" s="3" t="str">
        <f ca="1">IFERROR(__xludf.DUMMYFUNCTION("googletranslate(F1836,""en"",""ja"")"),"内因性トロンビンの潜在的な曲線下面積の測定")</f>
        <v>内因性トロンビンの潜在的な曲線下面積の測定</v>
      </c>
    </row>
    <row r="1837" spans="1:9" ht="45">
      <c r="A1837" s="3" t="s">
        <v>6</v>
      </c>
      <c r="B1837" s="3" t="s">
        <v>7694</v>
      </c>
      <c r="C1837" s="3" t="s">
        <v>7695</v>
      </c>
      <c r="D1837" s="3" t="s">
        <v>7696</v>
      </c>
      <c r="E1837" s="3" t="s">
        <v>7697</v>
      </c>
      <c r="F1837" s="3" t="s">
        <v>7698</v>
      </c>
      <c r="G1837" s="3" t="str">
        <f ca="1">IFERROR(__xludf.DUMMYFUNCTION("googletranslate(D1837,""en"",""ja"")"),"内因性トロンビンの潜在的な遅延時間。 ETP ラグタイム")</f>
        <v>内因性トロンビンの潜在的な遅延時間。 ETP ラグタイム</v>
      </c>
      <c r="H1837" s="3" t="str">
        <f ca="1">IFERROR(__xludf.DUMMYFUNCTION("googletranslate(E1837,""en"",""ja"")"),"トロンビン生成検査を開始してから、所定量のトロンビンが生成されるまでの時間を測定するもの。")</f>
        <v>トロンビン生成検査を開始してから、所定量のトロンビンが生成されるまでの時間を測定するもの。</v>
      </c>
      <c r="I1837" s="3" t="str">
        <f ca="1">IFERROR(__xludf.DUMMYFUNCTION("googletranslate(F1837,""en"",""ja"")"),"内因性トロンビンの潜在的な遅延時間の測定")</f>
        <v>内因性トロンビンの潜在的な遅延時間の測定</v>
      </c>
    </row>
    <row r="1838" spans="1:9" ht="45">
      <c r="A1838" s="3" t="s">
        <v>6</v>
      </c>
      <c r="B1838" s="3" t="s">
        <v>7699</v>
      </c>
      <c r="C1838" s="3" t="s">
        <v>7700</v>
      </c>
      <c r="D1838" s="3" t="s">
        <v>7701</v>
      </c>
      <c r="E1838" s="3" t="s">
        <v>7702</v>
      </c>
      <c r="F1838" s="3" t="s">
        <v>7703</v>
      </c>
      <c r="G1838" s="3" t="str">
        <f ca="1">IFERROR(__xludf.DUMMYFUNCTION("googletranslate(D1838,""en"",""ja"")"),"内因性トロンビンの潜在的な遅延時間の相対値。 ETP ラグタイム相対")</f>
        <v>内因性トロンビンの潜在的な遅延時間の相対値。 ETP ラグタイム相対</v>
      </c>
      <c r="H1838" s="3" t="str">
        <f ca="1">IFERROR(__xludf.DUMMYFUNCTION("googletranslate(E1838,""en"",""ja"")"),"トロンビン生成試験の開始から所定量のトロンビンが生成されるまでの時間の相対測定値（比率またはパーセンテージ）。")</f>
        <v>トロンビン生成試験の開始から所定量のトロンビンが生成されるまでの時間の相対測定値（比率またはパーセンテージ）。</v>
      </c>
      <c r="I1838" s="3" t="str">
        <f ca="1">IFERROR(__xludf.DUMMYFUNCTION("googletranslate(F1838,""en"",""ja"")"),"内因性トロンビンの潜在的な遅延時間の相対測定")</f>
        <v>内因性トロンビンの潜在的な遅延時間の相対測定</v>
      </c>
    </row>
    <row r="1839" spans="1:9" ht="30">
      <c r="A1839" s="3" t="s">
        <v>6</v>
      </c>
      <c r="B1839" s="3" t="s">
        <v>7704</v>
      </c>
      <c r="C1839" s="3" t="s">
        <v>7705</v>
      </c>
      <c r="D1839" s="3" t="s">
        <v>7706</v>
      </c>
      <c r="E1839" s="3" t="s">
        <v>7707</v>
      </c>
      <c r="F1839" s="3" t="s">
        <v>7708</v>
      </c>
      <c r="G1839" s="3" t="str">
        <f ca="1">IFERROR(__xludf.DUMMYFUNCTION("googletranslate(D1839,""en"",""ja"")"),"内因性トロンビンの潜在的なピーク高さ。 ETP ピーク高さ")</f>
        <v>内因性トロンビンの潜在的なピーク高さ。 ETP ピーク高さ</v>
      </c>
      <c r="H1839" s="3" t="str">
        <f ca="1">IFERROR(__xludf.DUMMYFUNCTION("googletranslate(E1839,""en"",""ja"")"),"トロンビン生成試験中に生成されるトロンビンの最大濃度の測定値。")</f>
        <v>トロンビン生成試験中に生成されるトロンビンの最大濃度の測定値。</v>
      </c>
      <c r="I1839" s="3" t="str">
        <f ca="1">IFERROR(__xludf.DUMMYFUNCTION("googletranslate(F1839,""en"",""ja"")"),"内因性トロンビン電位のピーク高さの測定")</f>
        <v>内因性トロンビン電位のピーク高さの測定</v>
      </c>
    </row>
    <row r="1840" spans="1:9" ht="45">
      <c r="A1840" s="3" t="s">
        <v>6</v>
      </c>
      <c r="B1840" s="3" t="s">
        <v>7709</v>
      </c>
      <c r="C1840" s="3" t="s">
        <v>7710</v>
      </c>
      <c r="D1840" s="3" t="s">
        <v>7711</v>
      </c>
      <c r="E1840" s="3" t="s">
        <v>7712</v>
      </c>
      <c r="F1840" s="3" t="s">
        <v>7713</v>
      </c>
      <c r="G1840" s="3" t="str">
        <f ca="1">IFERROR(__xludf.DUMMYFUNCTION("googletranslate(D1840,""en"",""ja"")"),"内因性トロンビンの潜在的なピーク高さの相対値。 ETP ピーク高さの相対値")</f>
        <v>内因性トロンビンの潜在的なピーク高さの相対値。 ETP ピーク高さの相対値</v>
      </c>
      <c r="H1840" s="3" t="str">
        <f ca="1">IFERROR(__xludf.DUMMYFUNCTION("googletranslate(E1840,""en"",""ja"")"),"トロンビン生成試験中に生成されたトロンビンの最大濃度の相対値 (比率またはパーセンテージ)。")</f>
        <v>トロンビン生成試験中に生成されたトロンビンの最大濃度の相対値 (比率またはパーセンテージ)。</v>
      </c>
      <c r="I1840" s="3" t="str">
        <f ca="1">IFERROR(__xludf.DUMMYFUNCTION("googletranslate(F1840,""en"",""ja"")"),"内因性トロンビン電位のピーク高さの相対測定")</f>
        <v>内因性トロンビン電位のピーク高さの相対測定</v>
      </c>
    </row>
    <row r="1841" spans="1:9" ht="45">
      <c r="A1841" s="3" t="s">
        <v>6</v>
      </c>
      <c r="B1841" s="3" t="s">
        <v>7714</v>
      </c>
      <c r="C1841" s="3" t="s">
        <v>7715</v>
      </c>
      <c r="D1841" s="3" t="s">
        <v>7716</v>
      </c>
      <c r="E1841" s="3" t="s">
        <v>7717</v>
      </c>
      <c r="F1841" s="3" t="s">
        <v>7718</v>
      </c>
      <c r="G1841" s="3" t="str">
        <f ca="1">IFERROR(__xludf.DUMMYFUNCTION("googletranslate(D1841,""en"",""ja"")"),"内因性トロンビンの潜在能力がピークに達するまでの時間。 ETP ピークまでの時間")</f>
        <v>内因性トロンビンの潜在能力がピークに達するまでの時間。 ETP ピークまでの時間</v>
      </c>
      <c r="H1841" s="3" t="str">
        <f ca="1">IFERROR(__xludf.DUMMYFUNCTION("googletranslate(E1841,""en"",""ja"")"),"トロンビンの最大濃度が生成されるまでにかかる時間の測定値。")</f>
        <v>トロンビンの最大濃度が生成されるまでにかかる時間の測定値。</v>
      </c>
      <c r="I1841" s="3" t="str">
        <f ca="1">IFERROR(__xludf.DUMMYFUNCTION("googletranslate(F1841,""en"",""ja"")"),"内因性トロンビン電位のピークまでの時間の測定")</f>
        <v>内因性トロンビン電位のピークまでの時間の測定</v>
      </c>
    </row>
    <row r="1842" spans="1:9" ht="45">
      <c r="A1842" s="3" t="s">
        <v>6</v>
      </c>
      <c r="B1842" s="3" t="s">
        <v>7719</v>
      </c>
      <c r="C1842" s="3" t="s">
        <v>7720</v>
      </c>
      <c r="D1842" s="3" t="s">
        <v>7721</v>
      </c>
      <c r="E1842" s="3" t="s">
        <v>7722</v>
      </c>
      <c r="F1842" s="3" t="s">
        <v>7723</v>
      </c>
      <c r="G1842" s="3" t="str">
        <f ca="1">IFERROR(__xludf.DUMMYFUNCTION("googletranslate(D1842,""en"",""ja"")"),"内因性トロンビンの潜在力のピークまでの時間の相対値。 ETP ピークまでの相対時間")</f>
        <v>内因性トロンビンの潜在力のピークまでの時間の相対値。 ETP ピークまでの相対時間</v>
      </c>
      <c r="H1842" s="3" t="str">
        <f ca="1">IFERROR(__xludf.DUMMYFUNCTION("googletranslate(E1842,""en"",""ja"")"),"トロンビンの最大濃度が生成されるまでにかかる時間の相対 (比率またはパーセンテージ) 測定値。")</f>
        <v>トロンビンの最大濃度が生成されるまでにかかる時間の相対 (比率またはパーセンテージ) 測定値。</v>
      </c>
      <c r="I1842" s="3" t="str">
        <f ca="1">IFERROR(__xludf.DUMMYFUNCTION("googletranslate(F1842,""en"",""ja"")"),"内因性トロンビン潜在力のピークまでの時間の相対測定")</f>
        <v>内因性トロンビン潜在力のピークまでの時間の相対測定</v>
      </c>
    </row>
    <row r="1843" spans="1:9">
      <c r="A1843" s="3" t="s">
        <v>6</v>
      </c>
      <c r="B1843" s="3" t="s">
        <v>7724</v>
      </c>
      <c r="C1843" s="3" t="s">
        <v>7725</v>
      </c>
      <c r="D1843" s="3" t="s">
        <v>7725</v>
      </c>
      <c r="E1843" s="3" t="s">
        <v>7726</v>
      </c>
      <c r="F1843" s="3" t="s">
        <v>7727</v>
      </c>
      <c r="G1843" s="3" t="str">
        <f ca="1">IFERROR(__xludf.DUMMYFUNCTION("googletranslate(D1843,""en"",""ja"")"),"硫酸エチル")</f>
        <v>硫酸エチル</v>
      </c>
      <c r="H1843" s="3" t="str">
        <f ca="1">IFERROR(__xludf.DUMMYFUNCTION("googletranslate(E1843,""en"",""ja"")"),"生物学的標本中の硫酸エチルの測定。")</f>
        <v>生物学的標本中の硫酸エチルの測定。</v>
      </c>
      <c r="I1843" s="3" t="str">
        <f ca="1">IFERROR(__xludf.DUMMYFUNCTION("googletranslate(F1843,""en"",""ja"")"),"硫酸エチルの測定")</f>
        <v>硫酸エチルの測定</v>
      </c>
    </row>
    <row r="1844" spans="1:9" ht="45">
      <c r="A1844" s="3" t="s">
        <v>6</v>
      </c>
      <c r="B1844" s="3" t="s">
        <v>7728</v>
      </c>
      <c r="C1844" s="3" t="s">
        <v>7729</v>
      </c>
      <c r="D1844" s="3" t="s">
        <v>7730</v>
      </c>
      <c r="E1844" s="3" t="s">
        <v>7731</v>
      </c>
      <c r="F1844" s="3" t="s">
        <v>7732</v>
      </c>
      <c r="G1844" s="3" t="str">
        <f ca="1">IFERROR(__xludf.DUMMYFUNCTION("googletranslate(D1844,""en"",""ja"")"),"エピマー化ウルソデオキシコール酸;エピマー化ウルソデオキシコール酸")</f>
        <v>エピマー化ウルソデオキシコール酸;エピマー化ウルソデオキシコール酸</v>
      </c>
      <c r="H1844" s="3" t="str">
        <f ca="1">IFERROR(__xludf.DUMMYFUNCTION("googletranslate(E1844,""en"",""ja"")"),"生物学的標本中のエピマー化ウルソデオキシコール酸の測定。")</f>
        <v>生物学的標本中のエピマー化ウルソデオキシコール酸の測定。</v>
      </c>
      <c r="I1844" s="3" t="str">
        <f ca="1">IFERROR(__xludf.DUMMYFUNCTION("googletranslate(F1844,""en"",""ja"")"),"エピマー化ウルソデオキシコール酸の測定")</f>
        <v>エピマー化ウルソデオキシコール酸の測定</v>
      </c>
    </row>
    <row r="1845" spans="1:9" ht="45">
      <c r="A1845" s="3" t="s">
        <v>490</v>
      </c>
      <c r="B1845" s="3" t="s">
        <v>7733</v>
      </c>
      <c r="C1845" s="3" t="s">
        <v>7734</v>
      </c>
      <c r="D1845" s="3" t="s">
        <v>7735</v>
      </c>
      <c r="E1845" s="3" t="s">
        <v>7736</v>
      </c>
      <c r="F1845" s="3" t="s">
        <v>7737</v>
      </c>
      <c r="G1845" s="3" t="str">
        <f ca="1">IFERROR(__xludf.DUMMYFUNCTION("googletranslate(D1845,""en"",""ja"")"),"努力呼気量（0.05 S/FVC） FVC で 0.05 秒の努力呼気量")</f>
        <v>努力呼気量（0.05 S/FVC） FVC で 0.05 秒の努力呼気量</v>
      </c>
      <c r="H1845" s="3" t="str">
        <f ca="1">IFERROR(__xludf.DUMMYFUNCTION("googletranslate(E1845,""en"",""ja"")"),"最大吸入後の最初の0.05秒間に強制的に吐き出されるガスの量と努力肺活量の比。")</f>
        <v>最大吸入後の最初の0.05秒間に強制的に吐き出されるガスの量と努力肺活量の比。</v>
      </c>
      <c r="I1845" s="3" t="str">
        <f ca="1">IFERROR(__xludf.DUMMYFUNCTION("googletranslate(F1845,""en"",""ja"")"),"0.05秒間の努力呼気量とFVC比の測定")</f>
        <v>0.05秒間の努力呼気量とFVC比の測定</v>
      </c>
    </row>
    <row r="1846" spans="1:9" ht="45">
      <c r="A1846" s="3" t="s">
        <v>490</v>
      </c>
      <c r="B1846" s="3" t="s">
        <v>7738</v>
      </c>
      <c r="C1846" s="3" t="s">
        <v>7739</v>
      </c>
      <c r="D1846" s="3" t="s">
        <v>7740</v>
      </c>
      <c r="E1846" s="3" t="s">
        <v>7741</v>
      </c>
      <c r="F1846" s="3" t="s">
        <v>7742</v>
      </c>
      <c r="G1846" s="3" t="str">
        <f ca="1">IFERROR(__xludf.DUMMYFUNCTION("googletranslate(D1846,""en"",""ja"")"),"努力呼気量（0.1 S/FVC） FVC による 0.1 秒の努力呼気量")</f>
        <v>努力呼気量（0.1 S/FVC） FVC による 0.1 秒の努力呼気量</v>
      </c>
      <c r="H1846" s="3" t="str">
        <f ca="1">IFERROR(__xludf.DUMMYFUNCTION("googletranslate(E1846,""en"",""ja"")"),"努力肺活量に対する、最大限に吸入した後の最初の 0.1 秒間に強制的に吐き出されるガスの量の比率。")</f>
        <v>努力肺活量に対する、最大限に吸入した後の最初の 0.1 秒間に強制的に吐き出されるガスの量の比率。</v>
      </c>
      <c r="I1846" s="3" t="str">
        <f ca="1">IFERROR(__xludf.DUMMYFUNCTION("googletranslate(F1846,""en"",""ja"")"),"0.1秒間の努力呼気量とFVC比の測定")</f>
        <v>0.1秒間の努力呼気量とFVC比の測定</v>
      </c>
    </row>
    <row r="1847" spans="1:9" ht="45">
      <c r="A1847" s="3" t="s">
        <v>490</v>
      </c>
      <c r="B1847" s="3" t="s">
        <v>7743</v>
      </c>
      <c r="C1847" s="3" t="s">
        <v>7744</v>
      </c>
      <c r="D1847" s="3" t="s">
        <v>7745</v>
      </c>
      <c r="E1847" s="3" t="s">
        <v>7746</v>
      </c>
      <c r="F1847" s="3" t="s">
        <v>7747</v>
      </c>
      <c r="G1847" s="3" t="str">
        <f ca="1">IFERROR(__xludf.DUMMYFUNCTION("googletranslate(D1847,""en"",""ja"")"),"努力呼気量（0.2 S/FVC） FVC で 0.2 秒の努力呼気量")</f>
        <v>努力呼気量（0.2 S/FVC） FVC で 0.2 秒の努力呼気量</v>
      </c>
      <c r="H1847" s="3" t="str">
        <f ca="1">IFERROR(__xludf.DUMMYFUNCTION("googletranslate(E1847,""en"",""ja"")"),"最大限に吸入した後の最初の 0.2 秒間に強制的に吐き出されるガスの量と努力肺活量の比。")</f>
        <v>最大限に吸入した後の最初の 0.2 秒間に強制的に吐き出されるガスの量と努力肺活量の比。</v>
      </c>
      <c r="I1847" s="3" t="str">
        <f ca="1">IFERROR(__xludf.DUMMYFUNCTION("googletranslate(F1847,""en"",""ja"")"),"0.2秒間の努力呼気量とFVC比の測定")</f>
        <v>0.2秒間の努力呼気量とFVC比の測定</v>
      </c>
    </row>
    <row r="1848" spans="1:9" ht="30">
      <c r="A1848" s="3" t="s">
        <v>490</v>
      </c>
      <c r="B1848" s="3" t="s">
        <v>7748</v>
      </c>
      <c r="C1848" s="3" t="s">
        <v>7749</v>
      </c>
      <c r="D1848" s="3" t="s">
        <v>7749</v>
      </c>
      <c r="E1848" s="3" t="s">
        <v>7750</v>
      </c>
      <c r="F1848" s="3" t="s">
        <v>7749</v>
      </c>
      <c r="G1848" s="3" t="str">
        <f ca="1">IFERROR(__xludf.DUMMYFUNCTION("googletranslate(D1848,""en"",""ja"")"),"呼気肺活量")</f>
        <v>呼気肺活量</v>
      </c>
      <c r="H1848" s="3" t="str">
        <f ca="1">IFERROR(__xludf.DUMMYFUNCTION("googletranslate(E1848,""en"",""ja"")"),"個人が最大吸入点から吐き出すことができる空気の最大量。")</f>
        <v>個人が最大吸入点から吐き出すことができる空気の最大量。</v>
      </c>
      <c r="I1848" s="3" t="str">
        <f ca="1">IFERROR(__xludf.DUMMYFUNCTION("googletranslate(F1848,""en"",""ja"")"),"呼気肺活量")</f>
        <v>呼気肺活量</v>
      </c>
    </row>
    <row r="1849" spans="1:9" ht="45">
      <c r="A1849" s="3" t="s">
        <v>490</v>
      </c>
      <c r="B1849" s="3" t="s">
        <v>7751</v>
      </c>
      <c r="C1849" s="3" t="s">
        <v>7752</v>
      </c>
      <c r="D1849" s="3" t="s">
        <v>7752</v>
      </c>
      <c r="E1849" s="3" t="s">
        <v>7753</v>
      </c>
      <c r="F1849" s="3" t="s">
        <v>7754</v>
      </c>
      <c r="G1849" s="3" t="str">
        <f ca="1">IFERROR(__xludf.DUMMYFUNCTION("googletranslate(D1849,""en"",""ja"")"),"予測された EVC の割合")</f>
        <v>予測された EVC の割合</v>
      </c>
      <c r="H1849" s="3" t="str">
        <f ca="1">IFERROR(__xludf.DUMMYFUNCTION("googletranslate(E1849,""en"",""ja"")"),"個人が最大吸気点から吐き出すことができる空気の最大量を、予測された正常値のパーセンテージで表したものです。")</f>
        <v>個人が最大吸気点から吐き出すことができる空気の最大量を、予測された正常値のパーセンテージで表したものです。</v>
      </c>
      <c r="I1849" s="3" t="str">
        <f ca="1">IFERROR(__xludf.DUMMYFUNCTION("googletranslate(F1849,""en"",""ja"")"),"予測呼気肺活量のパーセント")</f>
        <v>予測呼気肺活量のパーセント</v>
      </c>
    </row>
    <row r="1850" spans="1:9" ht="30">
      <c r="A1850" s="3" t="s">
        <v>185</v>
      </c>
      <c r="B1850" s="3" t="s">
        <v>7755</v>
      </c>
      <c r="C1850" s="3" t="s">
        <v>7756</v>
      </c>
      <c r="D1850" s="3" t="s">
        <v>7756</v>
      </c>
      <c r="E1850" s="3" t="s">
        <v>7757</v>
      </c>
      <c r="F1850" s="3" t="s">
        <v>7758</v>
      </c>
      <c r="G1850" s="3" t="str">
        <f ca="1">IFERROR(__xludf.DUMMYFUNCTION("googletranslate(D1850,""en"",""ja"")"),"イベントの頻度")</f>
        <v>イベントの頻度</v>
      </c>
      <c r="H1850" s="3" t="str">
        <f ca="1">IFERROR(__xludf.DUMMYFUNCTION("googletranslate(E1850,""en"",""ja"")"),"指定された期間内にイベントが発生した回数。")</f>
        <v>指定された期間内にイベントが発生した回数。</v>
      </c>
      <c r="I1850" s="3" t="str">
        <f ca="1">IFERROR(__xludf.DUMMYFUNCTION("googletranslate(F1850,""en"",""ja"")"),"時間周波数")</f>
        <v>時間周波数</v>
      </c>
    </row>
    <row r="1851" spans="1:9">
      <c r="A1851" s="3" t="s">
        <v>185</v>
      </c>
      <c r="B1851" s="3" t="s">
        <v>7759</v>
      </c>
      <c r="C1851" s="3" t="s">
        <v>7760</v>
      </c>
      <c r="D1851" s="3" t="s">
        <v>7760</v>
      </c>
      <c r="E1851" s="3" t="s">
        <v>7761</v>
      </c>
      <c r="F1851" s="3" t="s">
        <v>7760</v>
      </c>
      <c r="G1851" s="3" t="str">
        <f ca="1">IFERROR(__xludf.DUMMYFUNCTION("googletranslate(D1851,""en"",""ja"")"),"イベント数")</f>
        <v>イベント数</v>
      </c>
      <c r="H1851" s="3" t="str">
        <f ca="1">IFERROR(__xludf.DUMMYFUNCTION("googletranslate(E1851,""en"",""ja"")"),"発生したイベントの総数。")</f>
        <v>発生したイベントの総数。</v>
      </c>
      <c r="I1851" s="3" t="str">
        <f ca="1">IFERROR(__xludf.DUMMYFUNCTION("googletranslate(F1851,""en"",""ja"")"),"イベント数")</f>
        <v>イベント数</v>
      </c>
    </row>
    <row r="1852" spans="1:9" ht="45">
      <c r="A1852" s="3" t="s">
        <v>185</v>
      </c>
      <c r="B1852" s="3" t="s">
        <v>7762</v>
      </c>
      <c r="C1852" s="3" t="s">
        <v>7763</v>
      </c>
      <c r="D1852" s="3" t="s">
        <v>7764</v>
      </c>
      <c r="E1852" s="3" t="s">
        <v>7765</v>
      </c>
      <c r="F1852" s="3" t="s">
        <v>7766</v>
      </c>
      <c r="G1852" s="3" t="str">
        <f ca="1">IFERROR(__xludf.DUMMYFUNCTION("googletranslate(D1852,""en"",""ja"")"),"Incr Phys Activity Ind に関連するイベント。身体活動指標の増加に関連するイベント")</f>
        <v>Incr Phys Activity Ind に関連するイベント。身体活動指標の増加に関連するイベント</v>
      </c>
      <c r="H1852" s="3" t="str">
        <f ca="1">IFERROR(__xludf.DUMMYFUNCTION("googletranslate(E1852,""en"",""ja"")"),"対象のイベントが身体活動の増加に関連しているかどうかを示します。")</f>
        <v>対象のイベントが身体活動の増加に関連しているかどうかを示します。</v>
      </c>
      <c r="I1852" s="3" t="str">
        <f ca="1">IFERROR(__xludf.DUMMYFUNCTION("googletranslate(F1852,""en"",""ja"")"),"身体活動指標の増加に関連するイベント")</f>
        <v>身体活動指標の増加に関連するイベント</v>
      </c>
    </row>
    <row r="1853" spans="1:9" ht="30">
      <c r="A1853" s="3" t="s">
        <v>118</v>
      </c>
      <c r="B1853" s="3" t="s">
        <v>7767</v>
      </c>
      <c r="C1853" s="3" t="s">
        <v>7630</v>
      </c>
      <c r="D1853" s="3" t="s">
        <v>7768</v>
      </c>
      <c r="E1853" s="3" t="s">
        <v>7769</v>
      </c>
      <c r="F1853" s="3" t="s">
        <v>7770</v>
      </c>
      <c r="G1853" s="3" t="str">
        <f ca="1">IFERROR(__xludf.DUMMYFUNCTION("googletranslate(D1853,""en"",""ja"")"),"推定体重;推定体重")</f>
        <v>推定体重;推定体重</v>
      </c>
      <c r="H1853" s="3" t="str">
        <f ca="1">IFERROR(__xludf.DUMMYFUNCTION("googletranslate(E1853,""en"",""ja"")"),"被験者の体重のおおよその測定値。")</f>
        <v>被験者の体重のおおよその測定値。</v>
      </c>
      <c r="I1853" s="3" t="str">
        <f ca="1">IFERROR(__xludf.DUMMYFUNCTION("googletranslate(F1853,""en"",""ja"")"),"推定体重")</f>
        <v>推定体重</v>
      </c>
    </row>
    <row r="1854" spans="1:9">
      <c r="A1854" s="3" t="s">
        <v>185</v>
      </c>
      <c r="B1854" s="3" t="s">
        <v>7771</v>
      </c>
      <c r="C1854" s="3" t="s">
        <v>7772</v>
      </c>
      <c r="D1854" s="3" t="s">
        <v>7772</v>
      </c>
      <c r="E1854" s="3" t="s">
        <v>7773</v>
      </c>
      <c r="F1854" s="3" t="s">
        <v>7772</v>
      </c>
      <c r="G1854" s="3" t="str">
        <f ca="1">IFERROR(__xludf.DUMMYFUNCTION("googletranslate(D1854,""en"",""ja"")"),"運動時間")</f>
        <v>運動時間</v>
      </c>
      <c r="H1854" s="3" t="str">
        <f ca="1">IFERROR(__xludf.DUMMYFUNCTION("googletranslate(E1854,""en"",""ja"")"),"個人が運動に費やす時間の長さ。")</f>
        <v>個人が運動に費やす時間の長さ。</v>
      </c>
      <c r="I1854" s="3" t="str">
        <f ca="1">IFERROR(__xludf.DUMMYFUNCTION("googletranslate(F1854,""en"",""ja"")"),"運動時間")</f>
        <v>運動時間</v>
      </c>
    </row>
    <row r="1855" spans="1:9" ht="30">
      <c r="A1855" s="3" t="s">
        <v>185</v>
      </c>
      <c r="B1855" s="3" t="s">
        <v>7774</v>
      </c>
      <c r="C1855" s="3" t="s">
        <v>7775</v>
      </c>
      <c r="D1855" s="3" t="s">
        <v>7775</v>
      </c>
      <c r="E1855" s="3" t="s">
        <v>7776</v>
      </c>
      <c r="F1855" s="3" t="s">
        <v>7775</v>
      </c>
      <c r="G1855" s="3" t="str">
        <f ca="1">IFERROR(__xludf.DUMMYFUNCTION("googletranslate(D1855,""en"",""ja"")"),"運動強度")</f>
        <v>運動強度</v>
      </c>
      <c r="H1855" s="3" t="str">
        <f ca="1">IFERROR(__xludf.DUMMYFUNCTION("googletranslate(E1855,""en"",""ja"")"),"身体活動中の個人の努力の程度または規模の決定または評価。")</f>
        <v>身体活動中の個人の努力の程度または規模の決定または評価。</v>
      </c>
      <c r="I1855" s="3" t="str">
        <f ca="1">IFERROR(__xludf.DUMMYFUNCTION("googletranslate(F1855,""en"",""ja"")"),"運動強度")</f>
        <v>運動強度</v>
      </c>
    </row>
    <row r="1856" spans="1:9" ht="30">
      <c r="A1856" s="3" t="s">
        <v>185</v>
      </c>
      <c r="B1856" s="3" t="s">
        <v>7777</v>
      </c>
      <c r="C1856" s="3" t="s">
        <v>7778</v>
      </c>
      <c r="D1856" s="3" t="s">
        <v>7778</v>
      </c>
      <c r="E1856" s="3" t="s">
        <v>7779</v>
      </c>
      <c r="F1856" s="3" t="s">
        <v>7778</v>
      </c>
      <c r="G1856" s="3" t="str">
        <f ca="1">IFERROR(__xludf.DUMMYFUNCTION("googletranslate(D1856,""en"",""ja"")"),"運動のコンプライアンス")</f>
        <v>運動のコンプライアンス</v>
      </c>
      <c r="H1856" s="3" t="str">
        <f ca="1">IFERROR(__xludf.DUMMYFUNCTION("googletranslate(E1856,""en"",""ja"")"),"個人がフィットネス プログラムにどの程度従っているかを決定または評価すること。")</f>
        <v>個人がフィットネス プログラムにどの程度従っているかを決定または評価すること。</v>
      </c>
      <c r="I1856" s="3" t="str">
        <f ca="1">IFERROR(__xludf.DUMMYFUNCTION("googletranslate(F1856,""en"",""ja"")"),"運動のコンプライアンス")</f>
        <v>運動のコンプライアンス</v>
      </c>
    </row>
    <row r="1857" spans="1:9" ht="45">
      <c r="A1857" s="3" t="s">
        <v>185</v>
      </c>
      <c r="B1857" s="3" t="s">
        <v>7780</v>
      </c>
      <c r="C1857" s="3" t="s">
        <v>7781</v>
      </c>
      <c r="D1857" s="3" t="s">
        <v>7782</v>
      </c>
      <c r="E1857" s="3" t="s">
        <v>7783</v>
      </c>
      <c r="F1857" s="3" t="s">
        <v>7784</v>
      </c>
      <c r="G1857" s="3" t="str">
        <f ca="1">IFERROR(__xludf.DUMMYFUNCTION("googletranslate(D1857,""en"",""ja"")"),"期待される効果的な治療法 Reg Ind;期待される効果的な治療計画の指標")</f>
        <v>期待される効果的な治療法 Reg Ind;期待される効果的な治療計画の指標</v>
      </c>
      <c r="H1857" s="3" t="str">
        <f ca="1">IFERROR(__xludf.DUMMYFUNCTION("googletranslate(E1857,""en"",""ja"")"),"対象者が、定義された基準に基づいて効果があると予想される治療計画を受けているかどうかに関する指標。")</f>
        <v>対象者が、定義された基準に基づいて効果があると予想される治療計画を受けているかどうかに関する指標。</v>
      </c>
      <c r="I1857" s="3" t="str">
        <f ca="1">IFERROR(__xludf.DUMMYFUNCTION("googletranslate(F1857,""en"",""ja"")"),"期待される効果的な治療計画の指標")</f>
        <v>期待される効果的な治療計画の指標</v>
      </c>
    </row>
    <row r="1858" spans="1:9" ht="30">
      <c r="A1858" s="3" t="s">
        <v>6418</v>
      </c>
      <c r="B1858" s="3" t="s">
        <v>7785</v>
      </c>
      <c r="C1858" s="3" t="s">
        <v>7786</v>
      </c>
      <c r="D1858" s="3" t="s">
        <v>7786</v>
      </c>
      <c r="E1858" s="3" t="s">
        <v>7787</v>
      </c>
      <c r="F1858" s="3" t="s">
        <v>7786</v>
      </c>
      <c r="G1858" s="3" t="str">
        <f ca="1">IFERROR(__xludf.DUMMYFUNCTION("googletranslate(D1858,""en"",""ja"")"),"予想残量")</f>
        <v>予想残量</v>
      </c>
      <c r="H1858" s="3" t="str">
        <f ca="1">IFERROR(__xludf.DUMMYFUNCTION("googletranslate(E1858,""en"",""ja"")"),"投与、消費、または使用後に残ると予想される製品の量。")</f>
        <v>投与、消費、または使用後に残ると予想される製品の量。</v>
      </c>
      <c r="I1858" s="3" t="str">
        <f ca="1">IFERROR(__xludf.DUMMYFUNCTION("googletranslate(F1858,""en"",""ja"")"),"予想残量")</f>
        <v>予想残量</v>
      </c>
    </row>
    <row r="1859" spans="1:9" ht="30">
      <c r="A1859" s="3" t="s">
        <v>490</v>
      </c>
      <c r="B1859" s="3" t="s">
        <v>7788</v>
      </c>
      <c r="C1859" s="3" t="s">
        <v>7789</v>
      </c>
      <c r="D1859" s="3" t="s">
        <v>7789</v>
      </c>
      <c r="E1859" s="3" t="s">
        <v>7790</v>
      </c>
      <c r="F1859" s="3" t="s">
        <v>7789</v>
      </c>
      <c r="G1859" s="3" t="str">
        <f ca="1">IFERROR(__xludf.DUMMYFUNCTION("googletranslate(D1859,""en"",""ja"")"),"有効期限緩和時間")</f>
        <v>有効期限緩和時間</v>
      </c>
      <c r="H1859" s="3" t="str">
        <f ca="1">IFERROR(__xludf.DUMMYFUNCTION("googletranslate(E1859,""en"",""ja"")"),"呼気の開始から測定した、総呼気量の 63.2% を吐き出すのに必要な時間。")</f>
        <v>呼気の開始から測定した、総呼気量の 63.2% を吐き出すのに必要な時間。</v>
      </c>
      <c r="I1859" s="3" t="str">
        <f ca="1">IFERROR(__xludf.DUMMYFUNCTION("googletranslate(F1859,""en"",""ja"")"),"有効期限緩和時間")</f>
        <v>有効期限緩和時間</v>
      </c>
    </row>
    <row r="1860" spans="1:9" ht="30">
      <c r="A1860" s="3" t="s">
        <v>185</v>
      </c>
      <c r="B1860" s="3" t="s">
        <v>7791</v>
      </c>
      <c r="C1860" s="3" t="s">
        <v>7792</v>
      </c>
      <c r="D1860" s="3" t="s">
        <v>7792</v>
      </c>
      <c r="E1860" s="3" t="s">
        <v>7793</v>
      </c>
      <c r="F1860" s="3" t="s">
        <v>7792</v>
      </c>
      <c r="G1860" s="3" t="str">
        <f ca="1">IFERROR(__xludf.DUMMYFUNCTION("googletranslate(D1860,""en"",""ja"")"),"切除範囲")</f>
        <v>切除範囲</v>
      </c>
      <c r="H1860" s="3" t="str">
        <f ca="1">IFERROR(__xludf.DUMMYFUNCTION("googletranslate(E1860,""en"",""ja"")"),"切除された組織、血管、臓器の相対的な量の説明。")</f>
        <v>切除された組織、血管、臓器の相対的な量の説明。</v>
      </c>
      <c r="I1860" s="3" t="str">
        <f ca="1">IFERROR(__xludf.DUMMYFUNCTION("googletranslate(F1860,""en"",""ja"")"),"切除範囲")</f>
        <v>切除範囲</v>
      </c>
    </row>
    <row r="1861" spans="1:9" ht="30">
      <c r="A1861" s="3" t="s">
        <v>1557</v>
      </c>
      <c r="B1861" s="3" t="s">
        <v>7794</v>
      </c>
      <c r="C1861" s="3" t="s">
        <v>7795</v>
      </c>
      <c r="D1861" s="3" t="s">
        <v>7795</v>
      </c>
      <c r="E1861" s="3" t="s">
        <v>7796</v>
      </c>
      <c r="F1861" s="3" t="s">
        <v>7795</v>
      </c>
      <c r="G1861" s="3" t="str">
        <f ca="1">IFERROR(__xludf.DUMMYFUNCTION("googletranslate(D1861,""en"",""ja"")"),"点眼薬コンフォートグレード")</f>
        <v>点眼薬コンフォートグレード</v>
      </c>
      <c r="H1861" s="3" t="str">
        <f ca="1">IFERROR(__xludf.DUMMYFUNCTION("googletranslate(E1861,""en"",""ja"")"),"点眼薬の投与に伴う快適さの程度を評価するためのスケール上の位置。")</f>
        <v>点眼薬の投与に伴う快適さの程度を評価するためのスケール上の位置。</v>
      </c>
      <c r="I1861" s="3" t="str">
        <f ca="1">IFERROR(__xludf.DUMMYFUNCTION("googletranslate(F1861,""en"",""ja"")"),"点眼薬コンフォートグレード")</f>
        <v>点眼薬コンフォートグレード</v>
      </c>
    </row>
    <row r="1862" spans="1:9">
      <c r="A1862" s="3" t="s">
        <v>6</v>
      </c>
      <c r="B1862" s="3" t="s">
        <v>7797</v>
      </c>
      <c r="C1862" s="3" t="s">
        <v>7798</v>
      </c>
      <c r="D1862" s="3" t="s">
        <v>7798</v>
      </c>
      <c r="E1862" s="3" t="s">
        <v>7799</v>
      </c>
      <c r="F1862" s="3" t="s">
        <v>7800</v>
      </c>
      <c r="G1862" s="3" t="str">
        <f ca="1">IFERROR(__xludf.DUMMYFUNCTION("googletranslate(D1862,""en"",""ja"")"),"エゾガビン")</f>
        <v>エゾガビン</v>
      </c>
      <c r="H1862" s="3" t="str">
        <f ca="1">IFERROR(__xludf.DUMMYFUNCTION("googletranslate(E1862,""en"",""ja"")"),"生物学的標本中のエゾガビンの測定。")</f>
        <v>生物学的標本中のエゾガビンの測定。</v>
      </c>
      <c r="I1862" s="3" t="str">
        <f ca="1">IFERROR(__xludf.DUMMYFUNCTION("googletranslate(F1862,""en"",""ja"")"),"エゾガビンの測定")</f>
        <v>エゾガビンの測定</v>
      </c>
    </row>
    <row r="1863" spans="1:9" ht="60">
      <c r="A1863" s="3" t="s">
        <v>6</v>
      </c>
      <c r="B1863" s="3" t="s">
        <v>7801</v>
      </c>
      <c r="C1863" s="3" t="s">
        <v>7802</v>
      </c>
      <c r="D1863" s="3" t="s">
        <v>7803</v>
      </c>
      <c r="E1863" s="3" t="s">
        <v>7804</v>
      </c>
      <c r="F1863" s="3" t="s">
        <v>7805</v>
      </c>
      <c r="G1863" s="3" t="str">
        <f ca="1">IFERROR(__xludf.DUMMYFUNCTION("googletranslate(D1863,""en"",""ja"")"),"FABP1;脂肪酸結合タンパク質 1; L-FABP; L型脂肪酸結合タンパク質;肝臓脂肪酸結合タンパク質")</f>
        <v>FABP1;脂肪酸結合タンパク質 1; L-FABP; L型脂肪酸結合タンパク質;肝臓脂肪酸結合タンパク質</v>
      </c>
      <c r="H1863" s="3" t="str">
        <f ca="1">IFERROR(__xludf.DUMMYFUNCTION("googletranslate(E1863,""en"",""ja"")"),"生体試料中の脂肪酸結合タンパク質 1 の測定。")</f>
        <v>生体試料中の脂肪酸結合タンパク質 1 の測定。</v>
      </c>
      <c r="I1863" s="3" t="str">
        <f ca="1">IFERROR(__xludf.DUMMYFUNCTION("googletranslate(F1863,""en"",""ja"")"),"脂肪酸結合タンパク質1の測定")</f>
        <v>脂肪酸結合タンパク質1の測定</v>
      </c>
    </row>
    <row r="1864" spans="1:9" ht="90">
      <c r="A1864" s="3" t="s">
        <v>6</v>
      </c>
      <c r="B1864" s="3" t="s">
        <v>7806</v>
      </c>
      <c r="C1864" s="3" t="s">
        <v>7807</v>
      </c>
      <c r="D1864" s="3" t="s">
        <v>7808</v>
      </c>
      <c r="E1864" s="3" t="s">
        <v>7809</v>
      </c>
      <c r="F1864" s="3" t="s">
        <v>7810</v>
      </c>
      <c r="G1864" s="3" t="str">
        <f ca="1">IFERROR(__xludf.DUMMYFUNCTION("googletranslate(D1864,""en"",""ja"")"),"FABP-11;脂肪酸結合タンパク質 3;脂肪酸結合タンパク質 3、筋肉、心臓。脂肪酸結合タンパク質、心臓; H-FABP;心臓型脂肪酸結合タンパク質。 M-FABP")</f>
        <v>FABP-11;脂肪酸結合タンパク質 3;脂肪酸結合タンパク質 3、筋肉、心臓。脂肪酸結合タンパク質、心臓; H-FABP;心臓型脂肪酸結合タンパク質。 M-FABP</v>
      </c>
      <c r="H1864" s="3" t="str">
        <f ca="1">IFERROR(__xludf.DUMMYFUNCTION("googletranslate(E1864,""en"",""ja"")"),"生体試料中の脂肪酸結合タンパク質 3 の測定。")</f>
        <v>生体試料中の脂肪酸結合タンパク質 3 の測定。</v>
      </c>
      <c r="I1864" s="3" t="str">
        <f ca="1">IFERROR(__xludf.DUMMYFUNCTION("googletranslate(F1864,""en"",""ja"")"),"脂肪酸結合タンパク質3の測定")</f>
        <v>脂肪酸結合タンパク質3の測定</v>
      </c>
    </row>
    <row r="1865" spans="1:9" ht="60">
      <c r="A1865" s="3" t="s">
        <v>6</v>
      </c>
      <c r="B1865" s="3" t="s">
        <v>7811</v>
      </c>
      <c r="C1865" s="3" t="s">
        <v>7812</v>
      </c>
      <c r="D1865" s="3" t="s">
        <v>7813</v>
      </c>
      <c r="E1865" s="3" t="s">
        <v>7814</v>
      </c>
      <c r="F1865" s="3" t="s">
        <v>7815</v>
      </c>
      <c r="G1865" s="3" t="str">
        <f ca="1">IFERROR(__xludf.DUMMYFUNCTION("googletranslate(D1865,""en"",""ja"")"),"A-FABP;脂肪細胞型脂肪酸結合タンパク質。脂肪酸結合タンパク質 4;脂肪酸結合タンパク質、脂肪細胞")</f>
        <v>A-FABP;脂肪細胞型脂肪酸結合タンパク質。脂肪酸結合タンパク質 4;脂肪酸結合タンパク質、脂肪細胞</v>
      </c>
      <c r="H1865" s="3" t="str">
        <f ca="1">IFERROR(__xludf.DUMMYFUNCTION("googletranslate(E1865,""en"",""ja"")"),"生体試料中の脂肪酸結合タンパク質 4 の測定。")</f>
        <v>生体試料中の脂肪酸結合タンパク質 4 の測定。</v>
      </c>
      <c r="I1865" s="3" t="str">
        <f ca="1">IFERROR(__xludf.DUMMYFUNCTION("googletranslate(F1865,""en"",""ja"")"),"脂肪酸結合プロテイン4の測定")</f>
        <v>脂肪酸結合プロテイン4の測定</v>
      </c>
    </row>
    <row r="1866" spans="1:9" ht="45">
      <c r="A1866" s="3" t="s">
        <v>81</v>
      </c>
      <c r="B1866" s="3" t="s">
        <v>7816</v>
      </c>
      <c r="C1866" s="3" t="s">
        <v>7817</v>
      </c>
      <c r="D1866" s="3" t="s">
        <v>7817</v>
      </c>
      <c r="E1866" s="3" t="s">
        <v>7818</v>
      </c>
      <c r="F1866" s="3" t="s">
        <v>7817</v>
      </c>
      <c r="G1866" s="3" t="str">
        <f ca="1">IFERROR(__xludf.DUMMYFUNCTION("googletranslate(D1866,""en"",""ja"")"),"部分面積の変化")</f>
        <v>部分面積の変化</v>
      </c>
      <c r="H1866" s="3" t="str">
        <f ca="1">IFERROR(__xludf.DUMMYFUNCTION("googletranslate(E1866,""en"",""ja"")"),"次の式による特定の構造の面積の減少パーセント: (EDA-ESA)/EDA の 100 倍。ここで、EDA は拡張末期面積、ESA は収縮末期面積です。")</f>
        <v>次の式による特定の構造の面積の減少パーセント: (EDA-ESA)/EDA の 100 倍。ここで、EDA は拡張末期面積、ESA は収縮末期面積です。</v>
      </c>
      <c r="I1866" s="3" t="str">
        <f ca="1">IFERROR(__xludf.DUMMYFUNCTION("googletranslate(F1866,""en"",""ja"")"),"部分面積の変化")</f>
        <v>部分面積の変化</v>
      </c>
    </row>
    <row r="1867" spans="1:9" ht="30">
      <c r="A1867" s="3" t="s">
        <v>6</v>
      </c>
      <c r="B1867" s="3" t="s">
        <v>7819</v>
      </c>
      <c r="C1867" s="3" t="s">
        <v>7820</v>
      </c>
      <c r="D1867" s="3" t="s">
        <v>7821</v>
      </c>
      <c r="E1867" s="3" t="s">
        <v>7822</v>
      </c>
      <c r="F1867" s="3" t="s">
        <v>7823</v>
      </c>
      <c r="G1867" s="3" t="str">
        <f ca="1">IFERROR(__xludf.DUMMYFUNCTION("googletranslate(D1867,""en"",""ja"")"),"第 2 因子。プロトロンビン")</f>
        <v>第 2 因子。プロトロンビン</v>
      </c>
      <c r="H1867" s="3" t="str">
        <f ca="1">IFERROR(__xludf.DUMMYFUNCTION("googletranslate(E1867,""en"",""ja"")"),"生物学的標本中の凝固第 II 因子の測定。")</f>
        <v>生物学的標本中の凝固第 II 因子の測定。</v>
      </c>
      <c r="I1867" s="3" t="str">
        <f ca="1">IFERROR(__xludf.DUMMYFUNCTION("googletranslate(F1867,""en"",""ja"")"),"プロトロンビン測定")</f>
        <v>プロトロンビン測定</v>
      </c>
    </row>
    <row r="1868" spans="1:9" ht="30">
      <c r="A1868" s="3" t="s">
        <v>6</v>
      </c>
      <c r="B1868" s="3" t="s">
        <v>7824</v>
      </c>
      <c r="C1868" s="3" t="s">
        <v>7825</v>
      </c>
      <c r="D1868" s="3" t="s">
        <v>7826</v>
      </c>
      <c r="E1868" s="3" t="s">
        <v>7827</v>
      </c>
      <c r="F1868" s="3" t="s">
        <v>7828</v>
      </c>
      <c r="G1868" s="3" t="str">
        <f ca="1">IFERROR(__xludf.DUMMYFUNCTION("googletranslate(D1868,""en"",""ja"")"),"第 3 因子;可溶性CD142;組織因子、CD142")</f>
        <v>第 3 因子;可溶性CD142;組織因子、CD142</v>
      </c>
      <c r="H1868" s="3" t="str">
        <f ca="1">IFERROR(__xludf.DUMMYFUNCTION("googletranslate(E1868,""en"",""ja"")"),"生物学的検体中の凝固第 III 因子の測定。")</f>
        <v>生物学的検体中の凝固第 III 因子の測定。</v>
      </c>
      <c r="I1868" s="3" t="str">
        <f ca="1">IFERROR(__xludf.DUMMYFUNCTION("googletranslate(F1868,""en"",""ja"")"),"第 3 因子の測定")</f>
        <v>第 3 因子の測定</v>
      </c>
    </row>
    <row r="1869" spans="1:9" ht="30">
      <c r="A1869" s="3" t="s">
        <v>6</v>
      </c>
      <c r="B1869" s="3" t="s">
        <v>7829</v>
      </c>
      <c r="C1869" s="3" t="s">
        <v>7830</v>
      </c>
      <c r="D1869" s="3" t="s">
        <v>7831</v>
      </c>
      <c r="E1869" s="3" t="s">
        <v>7832</v>
      </c>
      <c r="F1869" s="3" t="s">
        <v>7833</v>
      </c>
      <c r="G1869" s="3" t="str">
        <f ca="1">IFERROR(__xludf.DUMMYFUNCTION("googletranslate(D1869,""en"",""ja"")"),"クリスマス要素;第IX因子")</f>
        <v>クリスマス要素;第IX因子</v>
      </c>
      <c r="H1869" s="3" t="str">
        <f ca="1">IFERROR(__xludf.DUMMYFUNCTION("googletranslate(E1869,""en"",""ja"")"),"生物学的検体中の凝固第 IX 因子の測定。")</f>
        <v>生物学的検体中の凝固第 IX 因子の測定。</v>
      </c>
      <c r="I1869" s="3" t="str">
        <f ca="1">IFERROR(__xludf.DUMMYFUNCTION("googletranslate(F1869,""en"",""ja"")"),"第 IX 因子の測定")</f>
        <v>第 IX 因子の測定</v>
      </c>
    </row>
    <row r="1870" spans="1:9" ht="30">
      <c r="A1870" s="3" t="s">
        <v>6</v>
      </c>
      <c r="B1870" s="3" t="s">
        <v>7834</v>
      </c>
      <c r="C1870" s="3" t="s">
        <v>7835</v>
      </c>
      <c r="D1870" s="3" t="s">
        <v>7836</v>
      </c>
      <c r="E1870" s="3" t="s">
        <v>7837</v>
      </c>
      <c r="F1870" s="3" t="s">
        <v>7838</v>
      </c>
      <c r="G1870" s="3" t="str">
        <f ca="1">IFERROR(__xludf.DUMMYFUNCTION("googletranslate(D1870,""en"",""ja"")"),"クリスマス要素アクティビティ。第 IX 因子の活動")</f>
        <v>クリスマス要素アクティビティ。第 IX 因子の活動</v>
      </c>
      <c r="H1870" s="3" t="str">
        <f ca="1">IFERROR(__xludf.DUMMYFUNCTION("googletranslate(E1870,""en"",""ja"")"),"生物学的標本中の凝固第 IX 因子の生物学的活性の測定。")</f>
        <v>生物学的標本中の凝固第 IX 因子の生物学的活性の測定。</v>
      </c>
      <c r="I1870" s="3" t="str">
        <f ca="1">IFERROR(__xludf.DUMMYFUNCTION("googletranslate(F1870,""en"",""ja"")"),"第IX因子活性測定")</f>
        <v>第IX因子活性測定</v>
      </c>
    </row>
    <row r="1871" spans="1:9" ht="30">
      <c r="A1871" s="3" t="s">
        <v>6</v>
      </c>
      <c r="B1871" s="3" t="s">
        <v>7839</v>
      </c>
      <c r="C1871" s="3" t="s">
        <v>7840</v>
      </c>
      <c r="D1871" s="3" t="s">
        <v>7841</v>
      </c>
      <c r="E1871" s="3" t="s">
        <v>7842</v>
      </c>
      <c r="F1871" s="3" t="s">
        <v>7843</v>
      </c>
      <c r="G1871" s="3" t="str">
        <f ca="1">IFERROR(__xludf.DUMMYFUNCTION("googletranslate(D1871,""en"",""ja"")"),"ファクターV;不安定因子")</f>
        <v>ファクターV;不安定因子</v>
      </c>
      <c r="H1871" s="3" t="str">
        <f ca="1">IFERROR(__xludf.DUMMYFUNCTION("googletranslate(E1871,""en"",""ja"")"),"生物学的検体中の凝固因子 V の測定。")</f>
        <v>生物学的検体中の凝固因子 V の測定。</v>
      </c>
      <c r="I1871" s="3" t="str">
        <f ca="1">IFERROR(__xludf.DUMMYFUNCTION("googletranslate(F1871,""en"",""ja"")"),"ファクターVの測定")</f>
        <v>ファクターVの測定</v>
      </c>
    </row>
    <row r="1872" spans="1:9" ht="30">
      <c r="A1872" s="3" t="s">
        <v>6</v>
      </c>
      <c r="B1872" s="3" t="s">
        <v>7844</v>
      </c>
      <c r="C1872" s="3" t="s">
        <v>7845</v>
      </c>
      <c r="D1872" s="3" t="s">
        <v>7846</v>
      </c>
      <c r="E1872" s="3" t="s">
        <v>7847</v>
      </c>
      <c r="F1872" s="3" t="s">
        <v>7848</v>
      </c>
      <c r="G1872" s="3" t="str">
        <f ca="1">IFERROR(__xludf.DUMMYFUNCTION("googletranslate(D1872,""en"",""ja"")"),"第 V 因子の活性;不安定因子の活性")</f>
        <v>第 V 因子の活性;不安定因子の活性</v>
      </c>
      <c r="H1872" s="3" t="str">
        <f ca="1">IFERROR(__xludf.DUMMYFUNCTION("googletranslate(E1872,""en"",""ja"")"),"生物学的標本における凝固第 V 因子の生物学的活性の測定。")</f>
        <v>生物学的標本における凝固第 V 因子の生物学的活性の測定。</v>
      </c>
      <c r="I1872" s="3" t="str">
        <f ca="1">IFERROR(__xludf.DUMMYFUNCTION("googletranslate(F1872,""en"",""ja"")"),"第 V 因子活性測定")</f>
        <v>第 V 因子活性測定</v>
      </c>
    </row>
    <row r="1873" spans="1:9" ht="30">
      <c r="A1873" s="3" t="s">
        <v>6</v>
      </c>
      <c r="B1873" s="3" t="s">
        <v>7849</v>
      </c>
      <c r="C1873" s="3" t="s">
        <v>7850</v>
      </c>
      <c r="D1873" s="3" t="s">
        <v>7851</v>
      </c>
      <c r="E1873" s="3" t="s">
        <v>7852</v>
      </c>
      <c r="F1873" s="3" t="s">
        <v>7853</v>
      </c>
      <c r="G1873" s="3" t="str">
        <f ca="1">IFERROR(__xludf.DUMMYFUNCTION("googletranslate(D1873,""en"",""ja"")"),"第 7 因子。プロコンバーチン;安定係数")</f>
        <v>第 7 因子。プロコンバーチン;安定係数</v>
      </c>
      <c r="H1873" s="3" t="str">
        <f ca="1">IFERROR(__xludf.DUMMYFUNCTION("googletranslate(E1873,""en"",""ja"")"),"生物学的標本中の凝固第 VII 因子の測定。")</f>
        <v>生物学的標本中の凝固第 VII 因子の測定。</v>
      </c>
      <c r="I1873" s="3" t="str">
        <f ca="1">IFERROR(__xludf.DUMMYFUNCTION("googletranslate(F1873,""en"",""ja"")"),"第 VII 因子の測定")</f>
        <v>第 VII 因子の測定</v>
      </c>
    </row>
    <row r="1874" spans="1:9" ht="30">
      <c r="A1874" s="3" t="s">
        <v>6</v>
      </c>
      <c r="B1874" s="3" t="s">
        <v>7854</v>
      </c>
      <c r="C1874" s="3" t="s">
        <v>7855</v>
      </c>
      <c r="D1874" s="3" t="s">
        <v>7856</v>
      </c>
      <c r="E1874" s="3" t="s">
        <v>7857</v>
      </c>
      <c r="F1874" s="3" t="s">
        <v>7858</v>
      </c>
      <c r="G1874" s="3" t="str">
        <f ca="1">IFERROR(__xludf.DUMMYFUNCTION("googletranslate(D1874,""en"",""ja"")"),"第 VII 因子活性;プロコンバーチン活性;安定因子活性")</f>
        <v>第 VII 因子活性;プロコンバーチン活性;安定因子活性</v>
      </c>
      <c r="H1874" s="3" t="str">
        <f ca="1">IFERROR(__xludf.DUMMYFUNCTION("googletranslate(E1874,""en"",""ja"")"),"生物学的標本における凝固第 VII 因子の生物学的活性の測定。")</f>
        <v>生物学的標本における凝固第 VII 因子の生物学的活性の測定。</v>
      </c>
      <c r="I1874" s="3" t="str">
        <f ca="1">IFERROR(__xludf.DUMMYFUNCTION("googletranslate(F1874,""en"",""ja"")"),"第VII因子活性測定")</f>
        <v>第VII因子活性測定</v>
      </c>
    </row>
    <row r="1875" spans="1:9" ht="30">
      <c r="A1875" s="3" t="s">
        <v>6</v>
      </c>
      <c r="B1875" s="3" t="s">
        <v>7859</v>
      </c>
      <c r="C1875" s="3" t="s">
        <v>7860</v>
      </c>
      <c r="D1875" s="3" t="s">
        <v>7861</v>
      </c>
      <c r="E1875" s="3" t="s">
        <v>7862</v>
      </c>
      <c r="F1875" s="3" t="s">
        <v>7863</v>
      </c>
      <c r="G1875" s="3" t="str">
        <f ca="1">IFERROR(__xludf.DUMMYFUNCTION("googletranslate(D1875,""en"",""ja"")"),"抗血友病因子;第 VIII 因子")</f>
        <v>抗血友病因子;第 VIII 因子</v>
      </c>
      <c r="H1875" s="3" t="str">
        <f ca="1">IFERROR(__xludf.DUMMYFUNCTION("googletranslate(E1875,""en"",""ja"")"),"生物学的検体中の凝固第 VIII 因子の測定。")</f>
        <v>生物学的検体中の凝固第 VIII 因子の測定。</v>
      </c>
      <c r="I1875" s="3" t="str">
        <f ca="1">IFERROR(__xludf.DUMMYFUNCTION("googletranslate(F1875,""en"",""ja"")"),"第 VIII 因子の測定")</f>
        <v>第 VIII 因子の測定</v>
      </c>
    </row>
    <row r="1876" spans="1:9" ht="30">
      <c r="A1876" s="3" t="s">
        <v>6</v>
      </c>
      <c r="B1876" s="3" t="s">
        <v>7864</v>
      </c>
      <c r="C1876" s="3" t="s">
        <v>7865</v>
      </c>
      <c r="D1876" s="3" t="s">
        <v>7865</v>
      </c>
      <c r="E1876" s="3" t="s">
        <v>7866</v>
      </c>
      <c r="F1876" s="3" t="s">
        <v>7867</v>
      </c>
      <c r="G1876" s="3" t="str">
        <f ca="1">IFERROR(__xludf.DUMMYFUNCTION("googletranslate(D1876,""en"",""ja"")"),"ファクター V ライデン")</f>
        <v>ファクター V ライデン</v>
      </c>
      <c r="H1876" s="3" t="str">
        <f ca="1">IFERROR(__xludf.DUMMYFUNCTION("googletranslate(E1876,""en"",""ja"")"),"生物学的標本中の凝固因子 V ライデンの測定。")</f>
        <v>生物学的標本中の凝固因子 V ライデンの測定。</v>
      </c>
      <c r="I1876" s="3" t="str">
        <f ca="1">IFERROR(__xludf.DUMMYFUNCTION("googletranslate(F1876,""en"",""ja"")"),"ファクター V ライデン測定")</f>
        <v>ファクター V ライデン測定</v>
      </c>
    </row>
    <row r="1877" spans="1:9" ht="45">
      <c r="A1877" s="3" t="s">
        <v>6</v>
      </c>
      <c r="B1877" s="3" t="s">
        <v>7868</v>
      </c>
      <c r="C1877" s="3" t="s">
        <v>7869</v>
      </c>
      <c r="D1877" s="3" t="s">
        <v>7870</v>
      </c>
      <c r="E1877" s="3" t="s">
        <v>7871</v>
      </c>
      <c r="F1877" s="3" t="s">
        <v>7872</v>
      </c>
      <c r="G1877" s="3" t="str">
        <f ca="1">IFERROR(__xludf.DUMMYFUNCTION("googletranslate(D1877,""en"",""ja"")"),"フォン・ヴィレブランド因子;フォンヴィレブランド因子抗原")</f>
        <v>フォン・ヴィレブランド因子;フォンヴィレブランド因子抗原</v>
      </c>
      <c r="H1877" s="3" t="str">
        <f ca="1">IFERROR(__xludf.DUMMYFUNCTION("googletranslate(E1877,""en"",""ja"")"),"生物学的標本におけるフォン ヴィレブランド凝固因子の測定。")</f>
        <v>生物学的標本におけるフォン ヴィレブランド凝固因子の測定。</v>
      </c>
      <c r="I1877" s="3" t="str">
        <f ca="1">IFERROR(__xludf.DUMMYFUNCTION("googletranslate(F1877,""en"",""ja"")"),"フォン・ヴィレブランド因子の測定")</f>
        <v>フォン・ヴィレブランド因子の測定</v>
      </c>
    </row>
    <row r="1878" spans="1:9" ht="30">
      <c r="A1878" s="3" t="s">
        <v>6</v>
      </c>
      <c r="B1878" s="3" t="s">
        <v>7873</v>
      </c>
      <c r="C1878" s="3" t="s">
        <v>7874</v>
      </c>
      <c r="D1878" s="3" t="s">
        <v>7874</v>
      </c>
      <c r="E1878" s="3" t="s">
        <v>7875</v>
      </c>
      <c r="F1878" s="3" t="s">
        <v>7876</v>
      </c>
      <c r="G1878" s="3" t="str">
        <f ca="1">IFERROR(__xludf.DUMMYFUNCTION("googletranslate(D1878,""en"",""ja"")"),"フォン・ヴィレブランド因子の活動")</f>
        <v>フォン・ヴィレブランド因子の活動</v>
      </c>
      <c r="H1878" s="3" t="str">
        <f ca="1">IFERROR(__xludf.DUMMYFUNCTION("googletranslate(E1878,""en"",""ja"")"),"生物学的標本におけるフォンヴィレブランド凝固因子の生物学的活性の測定。")</f>
        <v>生物学的標本におけるフォンヴィレブランド凝固因子の生物学的活性の測定。</v>
      </c>
      <c r="I1878" s="3" t="str">
        <f ca="1">IFERROR(__xludf.DUMMYFUNCTION("googletranslate(F1878,""en"",""ja"")"),"フォンヴィレブランド因子活性測定")</f>
        <v>フォンヴィレブランド因子活性測定</v>
      </c>
    </row>
    <row r="1879" spans="1:9" ht="60">
      <c r="A1879" s="3" t="s">
        <v>6</v>
      </c>
      <c r="B1879" s="3" t="s">
        <v>7877</v>
      </c>
      <c r="C1879" s="3" t="s">
        <v>7878</v>
      </c>
      <c r="D1879" s="3" t="s">
        <v>7878</v>
      </c>
      <c r="E1879" s="3" t="s">
        <v>7879</v>
      </c>
      <c r="F1879" s="3" t="s">
        <v>7880</v>
      </c>
      <c r="G1879" s="3" t="str">
        <f ca="1">IFERROR(__xludf.DUMMYFUNCTION("googletranslate(D1879,""en"",""ja"")"),"フォン・ヴィレブランド因子多量体")</f>
        <v>フォン・ヴィレブランド因子多量体</v>
      </c>
      <c r="H1879" s="3" t="str">
        <f ca="1">IFERROR(__xludf.DUMMYFUNCTION("googletranslate(E1879,""en"",""ja"")"),"生体試料中のフォン・ヴィレブランド因子多量体（非共有結合で結合した複数のフォン・ヴィレブランド因子抗原の集合体）の測定。")</f>
        <v>生体試料中のフォン・ヴィレブランド因子多量体（非共有結合で結合した複数のフォン・ヴィレブランド因子抗原の集合体）の測定。</v>
      </c>
      <c r="I1879" s="3" t="str">
        <f ca="1">IFERROR(__xludf.DUMMYFUNCTION("googletranslate(F1879,""en"",""ja"")"),"フォンヴィレブランド因子多量体の測定")</f>
        <v>フォンヴィレブランド因子多量体の測定</v>
      </c>
    </row>
    <row r="1880" spans="1:9" ht="30">
      <c r="A1880" s="3" t="s">
        <v>6</v>
      </c>
      <c r="B1880" s="3" t="s">
        <v>7881</v>
      </c>
      <c r="C1880" s="3" t="s">
        <v>7882</v>
      </c>
      <c r="D1880" s="3" t="s">
        <v>7882</v>
      </c>
      <c r="E1880" s="3" t="s">
        <v>7883</v>
      </c>
      <c r="F1880" s="3" t="s">
        <v>7884</v>
      </c>
      <c r="G1880" s="3" t="str">
        <f ca="1">IFERROR(__xludf.DUMMYFUNCTION("googletranslate(D1880,""en"",""ja"")"),"ファクターX")</f>
        <v>ファクターX</v>
      </c>
      <c r="H1880" s="3" t="str">
        <f ca="1">IFERROR(__xludf.DUMMYFUNCTION("googletranslate(E1880,""en"",""ja"")"),"生物学的検体中の凝固因子 X の測定。")</f>
        <v>生物学的検体中の凝固因子 X の測定。</v>
      </c>
      <c r="I1880" s="3" t="str">
        <f ca="1">IFERROR(__xludf.DUMMYFUNCTION("googletranslate(F1880,""en"",""ja"")"),"ファクターX測定")</f>
        <v>ファクターX測定</v>
      </c>
    </row>
    <row r="1881" spans="1:9" ht="30">
      <c r="A1881" s="3" t="s">
        <v>6</v>
      </c>
      <c r="B1881" s="3" t="s">
        <v>7885</v>
      </c>
      <c r="C1881" s="3" t="s">
        <v>7886</v>
      </c>
      <c r="D1881" s="3" t="s">
        <v>7886</v>
      </c>
      <c r="E1881" s="3" t="s">
        <v>7887</v>
      </c>
      <c r="F1881" s="3" t="s">
        <v>7888</v>
      </c>
      <c r="G1881" s="3" t="str">
        <f ca="1">IFERROR(__xludf.DUMMYFUNCTION("googletranslate(D1881,""en"",""ja"")"),"第 X 因子の活動")</f>
        <v>第 X 因子の活動</v>
      </c>
      <c r="H1881" s="3" t="str">
        <f ca="1">IFERROR(__xludf.DUMMYFUNCTION("googletranslate(E1881,""en"",""ja"")"),"生物学的標本中の凝固因子 X の生物学的活性の測定。")</f>
        <v>生物学的標本中の凝固因子 X の生物学的活性の測定。</v>
      </c>
      <c r="I1881" s="3" t="str">
        <f ca="1">IFERROR(__xludf.DUMMYFUNCTION("googletranslate(F1881,""en"",""ja"")"),"第X因子活性測定")</f>
        <v>第X因子活性測定</v>
      </c>
    </row>
    <row r="1882" spans="1:9">
      <c r="A1882" s="3" t="s">
        <v>6</v>
      </c>
      <c r="B1882" s="3" t="s">
        <v>7889</v>
      </c>
      <c r="C1882" s="3" t="s">
        <v>7890</v>
      </c>
      <c r="D1882" s="3" t="s">
        <v>7890</v>
      </c>
      <c r="E1882" s="3" t="s">
        <v>7891</v>
      </c>
      <c r="F1882" s="3" t="s">
        <v>7892</v>
      </c>
      <c r="G1882" s="3" t="str">
        <f ca="1">IFERROR(__xludf.DUMMYFUNCTION("googletranslate(D1882,""en"",""ja"")"),"第XI因子")</f>
        <v>第XI因子</v>
      </c>
      <c r="H1882" s="3" t="str">
        <f ca="1">IFERROR(__xludf.DUMMYFUNCTION("googletranslate(E1882,""en"",""ja"")"),"生物学的標本中の第 XI 因子の測定。")</f>
        <v>生物学的標本中の第 XI 因子の測定。</v>
      </c>
      <c r="I1882" s="3" t="str">
        <f ca="1">IFERROR(__xludf.DUMMYFUNCTION("googletranslate(F1882,""en"",""ja"")"),"第 XI 因子の測定")</f>
        <v>第 XI 因子の測定</v>
      </c>
    </row>
    <row r="1883" spans="1:9" ht="30">
      <c r="A1883" s="3" t="s">
        <v>6</v>
      </c>
      <c r="B1883" s="3" t="s">
        <v>7893</v>
      </c>
      <c r="C1883" s="3" t="s">
        <v>7894</v>
      </c>
      <c r="D1883" s="3" t="s">
        <v>7895</v>
      </c>
      <c r="E1883" s="3" t="s">
        <v>7896</v>
      </c>
      <c r="F1883" s="3" t="s">
        <v>7897</v>
      </c>
      <c r="G1883" s="3" t="str">
        <f ca="1">IFERROR(__xludf.DUMMYFUNCTION("googletranslate(D1883,""en"",""ja"")"),"第 XI 因子の活性;第XIa因子の活性")</f>
        <v>第 XI 因子の活性;第XIa因子の活性</v>
      </c>
      <c r="H1883" s="3" t="str">
        <f ca="1">IFERROR(__xludf.DUMMYFUNCTION("googletranslate(E1883,""en"",""ja"")"),"生物学的標本における凝固第 XI 因子の生物学的活性の測定。")</f>
        <v>生物学的標本における凝固第 XI 因子の生物学的活性の測定。</v>
      </c>
      <c r="I1883" s="3" t="str">
        <f ca="1">IFERROR(__xludf.DUMMYFUNCTION("googletranslate(F1883,""en"",""ja"")"),"第XI因子活性測定")</f>
        <v>第XI因子活性測定</v>
      </c>
    </row>
    <row r="1884" spans="1:9">
      <c r="A1884" s="3" t="s">
        <v>6</v>
      </c>
      <c r="B1884" s="3" t="s">
        <v>7898</v>
      </c>
      <c r="C1884" s="3" t="s">
        <v>7899</v>
      </c>
      <c r="D1884" s="3" t="s">
        <v>7899</v>
      </c>
      <c r="E1884" s="3" t="s">
        <v>7900</v>
      </c>
      <c r="F1884" s="3" t="s">
        <v>7901</v>
      </c>
      <c r="G1884" s="3" t="str">
        <f ca="1">IFERROR(__xludf.DUMMYFUNCTION("googletranslate(D1884,""en"",""ja"")"),"第XII因子")</f>
        <v>第XII因子</v>
      </c>
      <c r="H1884" s="3" t="str">
        <f ca="1">IFERROR(__xludf.DUMMYFUNCTION("googletranslate(E1884,""en"",""ja"")"),"生物学的標本中の第 XII 因子の測定。")</f>
        <v>生物学的標本中の第 XII 因子の測定。</v>
      </c>
      <c r="I1884" s="3" t="str">
        <f ca="1">IFERROR(__xludf.DUMMYFUNCTION("googletranslate(F1884,""en"",""ja"")"),"第 XII 因子の測定")</f>
        <v>第 XII 因子の測定</v>
      </c>
    </row>
    <row r="1885" spans="1:9" ht="30">
      <c r="A1885" s="3" t="s">
        <v>6</v>
      </c>
      <c r="B1885" s="3" t="s">
        <v>7902</v>
      </c>
      <c r="C1885" s="3" t="s">
        <v>7903</v>
      </c>
      <c r="D1885" s="3" t="s">
        <v>7903</v>
      </c>
      <c r="E1885" s="3" t="s">
        <v>7904</v>
      </c>
      <c r="F1885" s="3" t="s">
        <v>7905</v>
      </c>
      <c r="G1885" s="3" t="str">
        <f ca="1">IFERROR(__xludf.DUMMYFUNCTION("googletranslate(D1885,""en"",""ja"")"),"第 XII 因子の活性")</f>
        <v>第 XII 因子の活性</v>
      </c>
      <c r="H1885" s="3" t="str">
        <f ca="1">IFERROR(__xludf.DUMMYFUNCTION("googletranslate(E1885,""en"",""ja"")"),"生物学的標本における凝固第 XII 因子の生物学的活性の測定。")</f>
        <v>生物学的標本における凝固第 XII 因子の生物学的活性の測定。</v>
      </c>
      <c r="I1885" s="3" t="str">
        <f ca="1">IFERROR(__xludf.DUMMYFUNCTION("googletranslate(F1885,""en"",""ja"")"),"第XII因子活性測定")</f>
        <v>第XII因子活性測定</v>
      </c>
    </row>
    <row r="1886" spans="1:9" ht="30">
      <c r="A1886" s="3" t="s">
        <v>6</v>
      </c>
      <c r="B1886" s="3" t="s">
        <v>7906</v>
      </c>
      <c r="C1886" s="3" t="s">
        <v>7907</v>
      </c>
      <c r="D1886" s="3" t="s">
        <v>7908</v>
      </c>
      <c r="E1886" s="3" t="s">
        <v>7909</v>
      </c>
      <c r="F1886" s="3" t="s">
        <v>7910</v>
      </c>
      <c r="G1886" s="3" t="str">
        <f ca="1">IFERROR(__xludf.DUMMYFUNCTION("googletranslate(D1886,""en"",""ja"")"),"第 XIII 因子;フィブリン安定化因子")</f>
        <v>第 XIII 因子;フィブリン安定化因子</v>
      </c>
      <c r="H1886" s="3" t="str">
        <f ca="1">IFERROR(__xludf.DUMMYFUNCTION("googletranslate(E1886,""en"",""ja"")"),"生物学的検体中の凝固第 XIII 因子の測定。")</f>
        <v>生物学的検体中の凝固第 XIII 因子の測定。</v>
      </c>
      <c r="I1886" s="3" t="str">
        <f ca="1">IFERROR(__xludf.DUMMYFUNCTION("googletranslate(F1886,""en"",""ja"")"),"第 XIII 因子の測定")</f>
        <v>第 XIII 因子の測定</v>
      </c>
    </row>
    <row r="1887" spans="1:9" ht="60">
      <c r="A1887" s="3" t="s">
        <v>6</v>
      </c>
      <c r="B1887" s="3" t="s">
        <v>7911</v>
      </c>
      <c r="C1887" s="3" t="s">
        <v>7912</v>
      </c>
      <c r="D1887" s="3" t="s">
        <v>7913</v>
      </c>
      <c r="E1887" s="3" t="s">
        <v>7914</v>
      </c>
      <c r="F1887" s="3" t="s">
        <v>7915</v>
      </c>
      <c r="G1887" s="3" t="str">
        <f ca="1">IFERROR(__xludf.DUMMYFUNCTION("googletranslate(D1887,""en"",""ja"")"),"オートプロトロンビン IIA;第 XIV 因子。プロテインC;プロテインC抗原;プロテインC、凝固因子VaおよびVIIIaの不活性化剤")</f>
        <v>オートプロトロンビン IIA;第 XIV 因子。プロテインC;プロテインC抗原;プロテインC、凝固因子VaおよびVIIIaの不活性化剤</v>
      </c>
      <c r="H1887" s="3" t="str">
        <f ca="1">IFERROR(__xludf.DUMMYFUNCTION("googletranslate(E1887,""en"",""ja"")"),"生物学的標本中の凝固第 XIV 因子の測定。")</f>
        <v>生物学的標本中の凝固第 XIV 因子の測定。</v>
      </c>
      <c r="I1887" s="3" t="str">
        <f ca="1">IFERROR(__xludf.DUMMYFUNCTION("googletranslate(F1887,""en"",""ja"")"),"第 XIV 因子の測定")</f>
        <v>第 XIV 因子の測定</v>
      </c>
    </row>
    <row r="1888" spans="1:9" ht="30">
      <c r="A1888" s="3" t="s">
        <v>6</v>
      </c>
      <c r="B1888" s="3" t="s">
        <v>7916</v>
      </c>
      <c r="C1888" s="3" t="s">
        <v>7917</v>
      </c>
      <c r="D1888" s="3" t="s">
        <v>7918</v>
      </c>
      <c r="E1888" s="3" t="s">
        <v>7919</v>
      </c>
      <c r="F1888" s="3" t="s">
        <v>7920</v>
      </c>
      <c r="G1888" s="3" t="str">
        <f ca="1">IFERROR(__xludf.DUMMYFUNCTION("googletranslate(D1888,""en"",""ja"")"),"第 XIV 因子活性;プロテインC活性;プロテインCの機能")</f>
        <v>第 XIV 因子活性;プロテインC活性;プロテインCの機能</v>
      </c>
      <c r="H1888" s="3" t="str">
        <f ca="1">IFERROR(__xludf.DUMMYFUNCTION("googletranslate(E1888,""en"",""ja"")"),"生物学的標本における凝固第 XIV 因子の生物学的活性の測定。")</f>
        <v>生物学的標本における凝固第 XIV 因子の生物学的活性の測定。</v>
      </c>
      <c r="I1888" s="3" t="str">
        <f ca="1">IFERROR(__xludf.DUMMYFUNCTION("googletranslate(F1888,""en"",""ja"")"),"第XIV因子活性測定")</f>
        <v>第XIV因子活性測定</v>
      </c>
    </row>
    <row r="1889" spans="1:9" ht="60">
      <c r="A1889" s="3" t="s">
        <v>6</v>
      </c>
      <c r="B1889" s="3" t="s">
        <v>7921</v>
      </c>
      <c r="C1889" s="3" t="s">
        <v>7922</v>
      </c>
      <c r="D1889" s="3" t="s">
        <v>7922</v>
      </c>
      <c r="E1889" s="3" t="s">
        <v>7923</v>
      </c>
      <c r="F1889" s="3" t="s">
        <v>7922</v>
      </c>
      <c r="G1889" s="3" t="str">
        <f ca="1">IFERROR(__xludf.DUMMYFUNCTION("googletranslate(D1889,""en"",""ja"")"),"無料のアンドロゲン指数")</f>
        <v>無料のアンドロゲン指数</v>
      </c>
      <c r="H1889" s="3" t="str">
        <f ca="1">IFERROR(__xludf.DUMMYFUNCTION("googletranslate(E1889,""en"",""ja"")"),"生物学的標本のアンドロゲン状態の測定。これは、総テストステロン レベル、性ホルモン結合グロブリン、および定数を考慮した数式によって計算されます。")</f>
        <v>生物学的標本のアンドロゲン状態の測定。これは、総テストステロン レベル、性ホルモン結合グロブリン、および定数を考慮した数式によって計算されます。</v>
      </c>
      <c r="I1889" s="3" t="str">
        <f ca="1">IFERROR(__xludf.DUMMYFUNCTION("googletranslate(F1889,""en"",""ja"")"),"無料のアンドロゲン指数")</f>
        <v>無料のアンドロゲン指数</v>
      </c>
    </row>
    <row r="1890" spans="1:9">
      <c r="A1890" s="3" t="s">
        <v>118</v>
      </c>
      <c r="B1890" s="3" t="s">
        <v>7924</v>
      </c>
      <c r="C1890" s="3" t="s">
        <v>7925</v>
      </c>
      <c r="D1890" s="3" t="s">
        <v>7925</v>
      </c>
      <c r="E1890" s="3" t="s">
        <v>7926</v>
      </c>
      <c r="F1890" s="3" t="s">
        <v>7925</v>
      </c>
      <c r="G1890" s="3" t="str">
        <f ca="1">IFERROR(__xludf.DUMMYFUNCTION("googletranslate(D1890,""en"",""ja"")"),"前腕周囲")</f>
        <v>前腕周囲</v>
      </c>
      <c r="H1890" s="3" t="str">
        <f ca="1">IFERROR(__xludf.DUMMYFUNCTION("googletranslate(E1890,""en"",""ja"")"),"個人の前腕の周囲の距離。")</f>
        <v>個人の前腕の周囲の距離。</v>
      </c>
      <c r="I1890" s="3" t="str">
        <f ca="1">IFERROR(__xludf.DUMMYFUNCTION("googletranslate(F1890,""en"",""ja"")"),"前腕周囲")</f>
        <v>前腕周囲</v>
      </c>
    </row>
    <row r="1891" spans="1:9" ht="60">
      <c r="A1891" s="3" t="s">
        <v>6</v>
      </c>
      <c r="B1891" s="3" t="s">
        <v>7927</v>
      </c>
      <c r="C1891" s="3" t="s">
        <v>7928</v>
      </c>
      <c r="D1891" s="3" t="s">
        <v>7929</v>
      </c>
      <c r="E1891" s="3" t="s">
        <v>7930</v>
      </c>
      <c r="F1891" s="3" t="s">
        <v>7931</v>
      </c>
      <c r="G1891" s="3" t="str">
        <f ca="1">IFERROR(__xludf.DUMMYFUNCTION("googletranslate(D1891,""en"",""ja"")"),"ALPS1A; APT1; Fas 細胞表面死受容体; FAS1;ファスト;可溶性CD95; TNF受容体スーパーファミリーメンバー6; TNFRSF6")</f>
        <v>ALPS1A; APT1; Fas 細胞表面死受容体; FAS1;ファスト;可溶性CD95; TNF受容体スーパーファミリーメンバー6; TNFRSF6</v>
      </c>
      <c r="H1891" s="3" t="str">
        <f ca="1">IFERROR(__xludf.DUMMYFUNCTION("googletranslate(E1891,""en"",""ja"")"),"生物学的標本における Fas 細胞表面死受容体の測定。")</f>
        <v>生物学的標本における Fas 細胞表面死受容体の測定。</v>
      </c>
      <c r="I1891" s="3" t="str">
        <f ca="1">IFERROR(__xludf.DUMMYFUNCTION("googletranslate(F1891,""en"",""ja"")"),"Fas細胞表面死受容体の測定")</f>
        <v>Fas細胞表面死受容体の測定</v>
      </c>
    </row>
    <row r="1892" spans="1:9" ht="45">
      <c r="A1892" s="3" t="s">
        <v>6</v>
      </c>
      <c r="B1892" s="3" t="s">
        <v>7932</v>
      </c>
      <c r="C1892" s="3" t="s">
        <v>7933</v>
      </c>
      <c r="D1892" s="3" t="s">
        <v>7934</v>
      </c>
      <c r="E1892" s="3" t="s">
        <v>7935</v>
      </c>
      <c r="F1892" s="3" t="s">
        <v>7936</v>
      </c>
      <c r="G1892" s="3" t="str">
        <f ca="1">IFERROR(__xludf.DUMMYFUNCTION("googletranslate(D1892,""en"",""ja"")"),"Fasリガンド;可溶性CD178;可溶性CD95L;腫瘍壊死因子リガンドスーパーファミリーメンバー 6")</f>
        <v>Fasリガンド;可溶性CD178;可溶性CD95L;腫瘍壊死因子リガンドスーパーファミリーメンバー 6</v>
      </c>
      <c r="H1892" s="3" t="str">
        <f ca="1">IFERROR(__xludf.DUMMYFUNCTION("googletranslate(E1892,""en"",""ja"")"),"生物学的標本中の Fas リガンドの測定。")</f>
        <v>生物学的標本中の Fas リガンドの測定。</v>
      </c>
      <c r="I1892" s="3" t="str">
        <f ca="1">IFERROR(__xludf.DUMMYFUNCTION("googletranslate(F1892,""en"",""ja"")"),"Fasリガンドの測定")</f>
        <v>Fasリガンドの測定</v>
      </c>
    </row>
    <row r="1893" spans="1:9">
      <c r="A1893" s="3" t="s">
        <v>6</v>
      </c>
      <c r="B1893" s="3" t="s">
        <v>7937</v>
      </c>
      <c r="C1893" s="3" t="s">
        <v>7938</v>
      </c>
      <c r="D1893" s="3" t="s">
        <v>7938</v>
      </c>
      <c r="E1893" s="3" t="s">
        <v>7939</v>
      </c>
      <c r="F1893" s="3" t="s">
        <v>7940</v>
      </c>
      <c r="G1893" s="3" t="str">
        <f ca="1">IFERROR(__xludf.DUMMYFUNCTION("googletranslate(D1893,""en"",""ja"")"),"脂肪")</f>
        <v>脂肪</v>
      </c>
      <c r="H1893" s="3" t="str">
        <f ca="1">IFERROR(__xludf.DUMMYFUNCTION("googletranslate(E1893,""en"",""ja"")"),"生物学的標本の脂肪の測定。")</f>
        <v>生物学的標本の脂肪の測定。</v>
      </c>
      <c r="I1893" s="3" t="str">
        <f ca="1">IFERROR(__xludf.DUMMYFUNCTION("googletranslate(F1893,""en"",""ja"")"),"脂肪測定")</f>
        <v>脂肪測定</v>
      </c>
    </row>
    <row r="1894" spans="1:9" ht="30">
      <c r="A1894" s="3" t="s">
        <v>6</v>
      </c>
      <c r="B1894" s="3" t="s">
        <v>7941</v>
      </c>
      <c r="C1894" s="3" t="s">
        <v>7942</v>
      </c>
      <c r="D1894" s="3" t="s">
        <v>7943</v>
      </c>
      <c r="E1894" s="3" t="s">
        <v>7944</v>
      </c>
      <c r="F1894" s="3" t="s">
        <v>7945</v>
      </c>
      <c r="G1894" s="3" t="str">
        <f ca="1">IFERROR(__xludf.DUMMYFUNCTION("googletranslate(D1894,""en"",""ja"")"),"遊離脂肪酸;非エステル化脂肪酸、フリー")</f>
        <v>遊離脂肪酸;非エステル化脂肪酸、フリー</v>
      </c>
      <c r="H1894" s="3" t="str">
        <f ca="1">IFERROR(__xludf.DUMMYFUNCTION("googletranslate(E1894,""en"",""ja"")"),"生物学的標本中の総非エステル化脂肪酸の測定。")</f>
        <v>生物学的標本中の総非エステル化脂肪酸の測定。</v>
      </c>
      <c r="I1894" s="3" t="str">
        <f ca="1">IFERROR(__xludf.DUMMYFUNCTION("googletranslate(F1894,""en"",""ja"")"),"非エステル化脂肪酸の測定")</f>
        <v>非エステル化脂肪酸の測定</v>
      </c>
    </row>
    <row r="1895" spans="1:9" ht="30">
      <c r="A1895" s="3" t="s">
        <v>6</v>
      </c>
      <c r="B1895" s="3" t="s">
        <v>7946</v>
      </c>
      <c r="C1895" s="3" t="s">
        <v>7947</v>
      </c>
      <c r="D1895" s="3" t="s">
        <v>7948</v>
      </c>
      <c r="E1895" s="3" t="s">
        <v>7949</v>
      </c>
      <c r="F1895" s="3" t="s">
        <v>7950</v>
      </c>
      <c r="G1895" s="3" t="str">
        <f ca="1">IFERROR(__xludf.DUMMYFUNCTION("googletranslate(D1895,""en"",""ja"")"),"遊離脂肪酸、飽和脂肪酸;非エステル化脂肪酸、飽和脂肪酸")</f>
        <v>遊離脂肪酸、飽和脂肪酸;非エステル化脂肪酸、飽和脂肪酸</v>
      </c>
      <c r="H1895" s="3" t="str">
        <f ca="1">IFERROR(__xludf.DUMMYFUNCTION("googletranslate(E1895,""en"",""ja"")"),"生体試料中の飽和非エステル化脂肪酸の測定。")</f>
        <v>生体試料中の飽和非エステル化脂肪酸の測定。</v>
      </c>
      <c r="I1895" s="3" t="str">
        <f ca="1">IFERROR(__xludf.DUMMYFUNCTION("googletranslate(F1895,""en"",""ja"")"),"飽和非エステル化脂肪酸の測定")</f>
        <v>飽和非エステル化脂肪酸の測定</v>
      </c>
    </row>
    <row r="1896" spans="1:9" ht="45">
      <c r="A1896" s="3" t="s">
        <v>6</v>
      </c>
      <c r="B1896" s="3" t="s">
        <v>7951</v>
      </c>
      <c r="C1896" s="3" t="s">
        <v>7952</v>
      </c>
      <c r="D1896" s="3" t="s">
        <v>7953</v>
      </c>
      <c r="E1896" s="3" t="s">
        <v>7954</v>
      </c>
      <c r="F1896" s="3" t="s">
        <v>7955</v>
      </c>
      <c r="G1896" s="3" t="str">
        <f ca="1">IFERROR(__xludf.DUMMYFUNCTION("googletranslate(D1896,""en"",""ja"")"),"遊離脂肪酸、不飽和脂肪酸。非エステル化脂肪酸、不飽和脂肪酸")</f>
        <v>遊離脂肪酸、不飽和脂肪酸。非エステル化脂肪酸、不飽和脂肪酸</v>
      </c>
      <c r="H1896" s="3" t="str">
        <f ca="1">IFERROR(__xludf.DUMMYFUNCTION("googletranslate(E1896,""en"",""ja"")"),"生体試料中の不飽和非エステル化脂肪酸の測定。")</f>
        <v>生体試料中の不飽和非エステル化脂肪酸の測定。</v>
      </c>
      <c r="I1896" s="3" t="str">
        <f ca="1">IFERROR(__xludf.DUMMYFUNCTION("googletranslate(F1896,""en"",""ja"")"),"不飽和非エステル化脂肪酸の測定")</f>
        <v>不飽和非エステル化脂肪酸の測定</v>
      </c>
    </row>
    <row r="1897" spans="1:9" ht="30">
      <c r="A1897" s="3" t="s">
        <v>6</v>
      </c>
      <c r="B1897" s="3" t="s">
        <v>7956</v>
      </c>
      <c r="C1897" s="3" t="s">
        <v>7957</v>
      </c>
      <c r="D1897" s="3" t="s">
        <v>7957</v>
      </c>
      <c r="E1897" s="3" t="s">
        <v>7958</v>
      </c>
      <c r="F1897" s="3" t="s">
        <v>7959</v>
      </c>
      <c r="G1897" s="3" t="str">
        <f ca="1">IFERROR(__xludf.DUMMYFUNCTION("googletranslate(D1897,""en"",""ja"")"),"脂肪酸、非常に長鎖")</f>
        <v>脂肪酸、非常に長鎖</v>
      </c>
      <c r="H1897" s="3" t="str">
        <f ca="1">IFERROR(__xludf.DUMMYFUNCTION("googletranslate(E1897,""en"",""ja"")"),"生物学的標本中の超長鎖脂肪酸 (22 個以上の炭素原子を含む) の測定。")</f>
        <v>生物学的標本中の超長鎖脂肪酸 (22 個以上の炭素原子を含む) の測定。</v>
      </c>
      <c r="I1897" s="3" t="str">
        <f ca="1">IFERROR(__xludf.DUMMYFUNCTION("googletranslate(F1897,""en"",""ja"")"),"超長鎖脂肪酸の測定")</f>
        <v>超長鎖脂肪酸の測定</v>
      </c>
    </row>
    <row r="1898" spans="1:9" ht="45">
      <c r="A1898" s="3" t="s">
        <v>6</v>
      </c>
      <c r="B1898" s="3" t="s">
        <v>7960</v>
      </c>
      <c r="C1898" s="3" t="s">
        <v>7961</v>
      </c>
      <c r="D1898" s="3" t="s">
        <v>7961</v>
      </c>
      <c r="E1898" s="3" t="s">
        <v>7962</v>
      </c>
      <c r="F1898" s="3" t="s">
        <v>7963</v>
      </c>
      <c r="G1898" s="3" t="str">
        <f ca="1">IFERROR(__xludf.DUMMYFUNCTION("googletranslate(D1898,""en"",""ja"")"),"ファットボディ、楕円形")</f>
        <v>ファットボディ、楕円形</v>
      </c>
      <c r="H1898" s="3" t="str">
        <f ca="1">IFERROR(__xludf.DUMMYFUNCTION("googletranslate(E1898,""en"",""ja"")"),"生物学的標本中の楕円形の脂肪体、通常は細胞質内に脂質凝集体を含む腎近位尿細管細胞の測定。")</f>
        <v>生物学的標本中の楕円形の脂肪体、通常は細胞質内に脂質凝集体を含む腎近位尿細管細胞の測定。</v>
      </c>
      <c r="I1898" s="3" t="str">
        <f ca="1">IFERROR(__xludf.DUMMYFUNCTION("googletranslate(F1898,""en"",""ja"")"),"楕円形脂肪体の測定")</f>
        <v>楕円形脂肪体の測定</v>
      </c>
    </row>
    <row r="1899" spans="1:9" ht="30">
      <c r="A1899" s="3" t="s">
        <v>6</v>
      </c>
      <c r="B1899" s="3" t="s">
        <v>7964</v>
      </c>
      <c r="C1899" s="3" t="s">
        <v>7965</v>
      </c>
      <c r="D1899" s="3" t="s">
        <v>7965</v>
      </c>
      <c r="E1899" s="3" t="s">
        <v>7966</v>
      </c>
      <c r="F1899" s="3" t="s">
        <v>7967</v>
      </c>
      <c r="G1899" s="3" t="str">
        <f ca="1">IFERROR(__xludf.DUMMYFUNCTION("googletranslate(D1899,""en"",""ja"")"),"脂肪滴")</f>
        <v>脂肪滴</v>
      </c>
      <c r="H1899" s="3" t="str">
        <f ca="1">IFERROR(__xludf.DUMMYFUNCTION("googletranslate(E1899,""en"",""ja"")"),"生物学的標本内のトリグリセリド凝集体の測定。")</f>
        <v>生物学的標本内のトリグリセリド凝集体の測定。</v>
      </c>
      <c r="I1899" s="3" t="str">
        <f ca="1">IFERROR(__xludf.DUMMYFUNCTION("googletranslate(F1899,""en"",""ja"")"),"脂肪滴測定")</f>
        <v>脂肪滴測定</v>
      </c>
    </row>
    <row r="1900" spans="1:9" ht="75">
      <c r="A1900" s="3" t="s">
        <v>6</v>
      </c>
      <c r="B1900" s="3" t="s">
        <v>7968</v>
      </c>
      <c r="C1900" s="3" t="s">
        <v>7969</v>
      </c>
      <c r="D1900" s="3" t="s">
        <v>7970</v>
      </c>
      <c r="E1900" s="3" t="s">
        <v>7971</v>
      </c>
      <c r="F1900" s="3" t="s">
        <v>7969</v>
      </c>
      <c r="G1900" s="3" t="str">
        <f ca="1">IFERROR(__xludf.DUMMYFUNCTION("googletranslate(D1900,""en"",""ja"")"),"脂肪肝指数;フロリダ州")</f>
        <v>脂肪肝指数;フロリダ州</v>
      </c>
      <c r="H1900" s="3" t="str">
        <f ca="1">IFERROR(__xludf.DUMMYFUNCTION("googletranslate(E1900,""en"",""ja"")"),"腹囲、BMI、トリグリセリド濃度、ガンマグルタミルトランスフェラーゼ活性を考慮して、脂肪肝疾患の存在の可能性を示す計算。 (ベドーニ G、ベレンターニ S、ミリオーリ L、マスッティ F、パッサル")</f>
        <v>腹囲、BMI、トリグリセリド濃度、ガンマグルタミルトランスフェラーゼ活性を考慮して、脂肪肝疾患の存在の可能性を示す計算。 (ベドーニ G、ベレンターニ S、ミリオーリ L、マスッティ F、パッサル</v>
      </c>
      <c r="I1900" s="3" t="str">
        <f ca="1">IFERROR(__xludf.DUMMYFUNCTION("googletranslate(F1900,""en"",""ja"")"),"脂肪肝指数")</f>
        <v>脂肪肝指数</v>
      </c>
    </row>
    <row r="1901" spans="1:9" ht="45">
      <c r="A1901" s="3" t="s">
        <v>6</v>
      </c>
      <c r="B1901" s="3" t="s">
        <v>7972</v>
      </c>
      <c r="C1901" s="3" t="s">
        <v>7973</v>
      </c>
      <c r="D1901" s="3" t="s">
        <v>7973</v>
      </c>
      <c r="E1901" s="3" t="s">
        <v>7974</v>
      </c>
      <c r="F1901" s="3" t="s">
        <v>7975</v>
      </c>
      <c r="G1901" s="3" t="str">
        <f ca="1">IFERROR(__xludf.DUMMYFUNCTION("googletranslate(D1901,""en"",""ja"")"),"脂肪/総固形分")</f>
        <v>脂肪/総固形分</v>
      </c>
      <c r="H1901" s="3" t="str">
        <f ca="1">IFERROR(__xludf.DUMMYFUNCTION("googletranslate(E1901,""en"",""ja"")"),"生物学的検体（便検体など）中の全固形物質に対する脂肪の相対測定値（比率またはパーセンテージ）。")</f>
        <v>生物学的検体（便検体など）中の全固形物質に対する脂肪の相対測定値（比率またはパーセンテージ）。</v>
      </c>
      <c r="I1901" s="3" t="str">
        <f ca="1">IFERROR(__xludf.DUMMYFUNCTION("googletranslate(F1901,""en"",""ja"")"),"脂肪と総固形分の比率の測定")</f>
        <v>脂肪と総固形分の比率の測定</v>
      </c>
    </row>
    <row r="1902" spans="1:9" ht="30">
      <c r="A1902" s="3" t="s">
        <v>6</v>
      </c>
      <c r="B1902" s="3" t="s">
        <v>7976</v>
      </c>
      <c r="C1902" s="3" t="s">
        <v>7977</v>
      </c>
      <c r="D1902" s="3" t="s">
        <v>7978</v>
      </c>
      <c r="E1902" s="3" t="s">
        <v>7979</v>
      </c>
      <c r="F1902" s="3" t="s">
        <v>7980</v>
      </c>
      <c r="G1902" s="3" t="str">
        <f ca="1">IFERROR(__xludf.DUMMYFUNCTION("googletranslate(D1902,""en"",""ja"")"),"フィブロネクチン、細胞;不溶性フィブロネクチン")</f>
        <v>フィブロネクチン、細胞;不溶性フィブロネクチン</v>
      </c>
      <c r="H1902" s="3" t="str">
        <f ca="1">IFERROR(__xludf.DUMMYFUNCTION("googletranslate(E1902,""en"",""ja"")"),"生物学的標本中の細胞フィブロネクチンの測定。")</f>
        <v>生物学的標本中の細胞フィブロネクチンの測定。</v>
      </c>
      <c r="I1902" s="3" t="str">
        <f ca="1">IFERROR(__xludf.DUMMYFUNCTION("googletranslate(F1902,""en"",""ja"")"),"細胞フィブロネクチンの測定")</f>
        <v>細胞フィブロネクチンの測定</v>
      </c>
    </row>
    <row r="1903" spans="1:9" ht="30">
      <c r="A1903" s="3" t="s">
        <v>6</v>
      </c>
      <c r="B1903" s="3" t="s">
        <v>7981</v>
      </c>
      <c r="C1903" s="3" t="s">
        <v>7982</v>
      </c>
      <c r="D1903" s="3" t="s">
        <v>7982</v>
      </c>
      <c r="E1903" s="3" t="s">
        <v>7983</v>
      </c>
      <c r="F1903" s="3" t="s">
        <v>7984</v>
      </c>
      <c r="G1903" s="3" t="str">
        <f ca="1">IFERROR(__xludf.DUMMYFUNCTION("googletranslate(D1903,""en"",""ja"")"),"フィブロネクチン、胎児性")</f>
        <v>フィブロネクチン、胎児性</v>
      </c>
      <c r="H1903" s="3" t="str">
        <f ca="1">IFERROR(__xludf.DUMMYFUNCTION("googletranslate(E1903,""en"",""ja"")"),"生物学的標本中のフィブロネクチンの胎児アイソフォームの測定")</f>
        <v>生物学的標本中のフィブロネクチンの胎児アイソフォームの測定</v>
      </c>
      <c r="I1903" s="3" t="str">
        <f ca="1">IFERROR(__xludf.DUMMYFUNCTION("googletranslate(F1903,""en"",""ja"")"),"胎児フィブロネクチン検査")</f>
        <v>胎児フィブロネクチン検査</v>
      </c>
    </row>
    <row r="1904" spans="1:9" ht="30">
      <c r="A1904" s="3" t="s">
        <v>6</v>
      </c>
      <c r="B1904" s="3" t="s">
        <v>7985</v>
      </c>
      <c r="C1904" s="3" t="s">
        <v>7986</v>
      </c>
      <c r="D1904" s="3" t="s">
        <v>7986</v>
      </c>
      <c r="E1904" s="3" t="s">
        <v>7987</v>
      </c>
      <c r="F1904" s="3" t="s">
        <v>7988</v>
      </c>
      <c r="G1904" s="3" t="str">
        <f ca="1">IFERROR(__xludf.DUMMYFUNCTION("googletranslate(D1904,""en"",""ja"")"),"フィブロネクチン、母体 + 胎児")</f>
        <v>フィブロネクチン、母体 + 胎児</v>
      </c>
      <c r="H1904" s="3" t="str">
        <f ca="1">IFERROR(__xludf.DUMMYFUNCTION("googletranslate(E1904,""en"",""ja"")"),"生物学的標本中の母体血漿フィブロネクチンと胎児フィブロネクチンの測定。")</f>
        <v>生物学的標本中の母体血漿フィブロネクチンと胎児フィブロネクチンの測定。</v>
      </c>
      <c r="I1904" s="3" t="str">
        <f ca="1">IFERROR(__xludf.DUMMYFUNCTION("googletranslate(F1904,""en"",""ja"")"),"母体および胎児のフィブロネクチンの測定")</f>
        <v>母体および胎児のフィブロネクチンの測定</v>
      </c>
    </row>
    <row r="1905" spans="1:9" ht="30">
      <c r="A1905" s="3" t="s">
        <v>6</v>
      </c>
      <c r="B1905" s="3" t="s">
        <v>7989</v>
      </c>
      <c r="C1905" s="3" t="s">
        <v>7990</v>
      </c>
      <c r="D1905" s="3" t="s">
        <v>7991</v>
      </c>
      <c r="E1905" s="3" t="s">
        <v>7992</v>
      </c>
      <c r="F1905" s="3" t="s">
        <v>7993</v>
      </c>
      <c r="G1905" s="3" t="str">
        <f ca="1">IFERROR(__xludf.DUMMYFUNCTION("googletranslate(D1905,""en"",""ja"")"),"フィブロネクチン、血漿;可溶性フィブロネクチン")</f>
        <v>フィブロネクチン、血漿;可溶性フィブロネクチン</v>
      </c>
      <c r="H1905" s="3" t="str">
        <f ca="1">IFERROR(__xludf.DUMMYFUNCTION("googletranslate(E1905,""en"",""ja"")"),"生物学的標本中の血漿フィブロネクチンの測定。")</f>
        <v>生物学的標本中の血漿フィブロネクチンの測定。</v>
      </c>
      <c r="I1905" s="3" t="str">
        <f ca="1">IFERROR(__xludf.DUMMYFUNCTION("googletranslate(F1905,""en"",""ja"")"),"血漿フィブロネクチンの測定")</f>
        <v>血漿フィブロネクチンの測定</v>
      </c>
    </row>
    <row r="1906" spans="1:9" ht="30">
      <c r="A1906" s="3" t="s">
        <v>81</v>
      </c>
      <c r="B1906" s="3" t="s">
        <v>7994</v>
      </c>
      <c r="C1906" s="3" t="s">
        <v>7995</v>
      </c>
      <c r="D1906" s="3" t="s">
        <v>7995</v>
      </c>
      <c r="E1906" s="3" t="s">
        <v>7996</v>
      </c>
      <c r="F1906" s="3" t="s">
        <v>7995</v>
      </c>
      <c r="G1906" s="3" t="str">
        <f ca="1">IFERROR(__xludf.DUMMYFUNCTION("googletranslate(D1906,""en"",""ja"")"),"観察された異物インジケーター")</f>
        <v>観察された異物インジケーター</v>
      </c>
      <c r="H1906" s="3" t="str">
        <f ca="1">IFERROR(__xludf.DUMMYFUNCTION("googletranslate(E1906,""en"",""ja"")"),"対象者に医療用異物が存在するか非医療用異物が存在するかを示す指標。")</f>
        <v>対象者に医療用異物が存在するか非医療用異物が存在するかを示す指標。</v>
      </c>
      <c r="I1906" s="3" t="str">
        <f ca="1">IFERROR(__xludf.DUMMYFUNCTION("googletranslate(F1906,""en"",""ja"")"),"観察された異物インジケーター")</f>
        <v>観察された異物インジケーター</v>
      </c>
    </row>
    <row r="1907" spans="1:9" ht="90">
      <c r="A1907" s="3" t="s">
        <v>6</v>
      </c>
      <c r="B1907" s="3" t="s">
        <v>7997</v>
      </c>
      <c r="C1907" s="3" t="s">
        <v>7998</v>
      </c>
      <c r="D1907" s="3" t="s">
        <v>7999</v>
      </c>
      <c r="E1907" s="3" t="s">
        <v>8000</v>
      </c>
      <c r="F1907" s="3" t="s">
        <v>8001</v>
      </c>
      <c r="G1907" s="3" t="str">
        <f ca="1">IFERROR(__xludf.DUMMYFUNCTION("googletranslate(D1907,""en"",""ja"")"),"FibroSURE スコア;フィブロテストスコア")</f>
        <v>FibroSURE スコア;フィブロテストスコア</v>
      </c>
      <c r="H1907" s="3" t="str">
        <f ca="1">IFERROR(__xludf.DUMMYFUNCTION("googletranslate(E1907,""en"",""ja"")"),"6 つのパラメーターの血液検査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f>
        <v>6 つのパラメーターの血液検査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v>
      </c>
      <c r="I1907" s="3" t="str">
        <f ca="1">IFERROR(__xludf.DUMMYFUNCTION("googletranslate(F1907,""en"",""ja"")"),"FibroTest スコア測定")</f>
        <v>FibroTest スコア測定</v>
      </c>
    </row>
    <row r="1908" spans="1:9" ht="60">
      <c r="A1908" s="3" t="s">
        <v>159</v>
      </c>
      <c r="B1908" s="3" t="s">
        <v>8002</v>
      </c>
      <c r="C1908" s="3" t="s">
        <v>8003</v>
      </c>
      <c r="D1908" s="3" t="s">
        <v>8004</v>
      </c>
      <c r="E1908" s="3" t="s">
        <v>8005</v>
      </c>
      <c r="F1908" s="3" t="s">
        <v>8006</v>
      </c>
      <c r="G1908" s="3" t="str">
        <f ca="1">IFERROR(__xludf.DUMMYFUNCTION("googletranslate(D1908,""en"",""ja"")"),"コリン、遊離 + グリセロホスホリルコリン + ホスホリルコリン;コリン、遊離+GPC+PCh")</f>
        <v>コリン、遊離 + グリセロホスホリルコリン + ホスホリルコリン;コリン、遊離+GPC+PCh</v>
      </c>
      <c r="H1908" s="3" t="str">
        <f ca="1">IFERROR(__xludf.DUMMYFUNCTION("googletranslate(E1908,""en"",""ja"")"),"生物学的標本中の遊離コリンとグリセロホスホリルコリン (GCP) とホスホリルコリン (PCh) の測定。")</f>
        <v>生物学的標本中の遊離コリンとグリセロホスホリルコリン (GCP) とホスホリルコリン (PCh) の測定。</v>
      </c>
      <c r="I1908" s="3" t="str">
        <f ca="1">IFERROR(__xludf.DUMMYFUNCTION("googletranslate(F1908,""en"",""ja"")"),"遊離コリン、グリセロホスホリルコリン、ホスホリルコリンの測定")</f>
        <v>遊離コリン、グリセロホスホリルコリン、ホスホリルコリンの測定</v>
      </c>
    </row>
    <row r="1909" spans="1:9" ht="30">
      <c r="A1909" s="3" t="s">
        <v>180</v>
      </c>
      <c r="B1909" s="3" t="s">
        <v>8007</v>
      </c>
      <c r="C1909" s="3" t="s">
        <v>8008</v>
      </c>
      <c r="D1909" s="3" t="s">
        <v>8009</v>
      </c>
      <c r="E1909" s="3" t="s">
        <v>8010</v>
      </c>
      <c r="F1909" s="3" t="s">
        <v>8011</v>
      </c>
      <c r="G1909" s="3" t="str">
        <f ca="1">IFERROR(__xludf.DUMMYFUNCTION("googletranslate(D1909,""en"",""ja"")"),"同種抗体、第 VIII 因子阻害剤。第 VIII 因子抗体")</f>
        <v>同種抗体、第 VIII 因子阻害剤。第 VIII 因子抗体</v>
      </c>
      <c r="H1909" s="3" t="str">
        <f ca="1">IFERROR(__xludf.DUMMYFUNCTION("googletranslate(E1909,""en"",""ja"")"),"生物学的検体中の第 VIII 因子阻害剤 (抗体) の測定。")</f>
        <v>生物学的検体中の第 VIII 因子阻害剤 (抗体) の測定。</v>
      </c>
      <c r="I1909" s="3" t="str">
        <f ca="1">IFERROR(__xludf.DUMMYFUNCTION("googletranslate(F1909,""en"",""ja"")"),"第 VIII 因子阻害剤の測定")</f>
        <v>第 VIII 因子阻害剤の測定</v>
      </c>
    </row>
    <row r="1910" spans="1:9" ht="30">
      <c r="A1910" s="3" t="s">
        <v>180</v>
      </c>
      <c r="B1910" s="3" t="s">
        <v>8012</v>
      </c>
      <c r="C1910" s="3" t="s">
        <v>8013</v>
      </c>
      <c r="D1910" s="3" t="s">
        <v>8014</v>
      </c>
      <c r="E1910" s="3" t="s">
        <v>8015</v>
      </c>
      <c r="F1910" s="3" t="s">
        <v>8016</v>
      </c>
      <c r="G1910" s="3" t="str">
        <f ca="1">IFERROR(__xludf.DUMMYFUNCTION("googletranslate(D1910,""en"",""ja"")"),"同種抗体、第 IX 因子阻害剤。第 IX 因子抗体")</f>
        <v>同種抗体、第 IX 因子阻害剤。第 IX 因子抗体</v>
      </c>
      <c r="H1910" s="3" t="str">
        <f ca="1">IFERROR(__xludf.DUMMYFUNCTION("googletranslate(E1910,""en"",""ja"")"),"生物学的標本中の第 IX 因子阻害剤 (抗体) の測定。")</f>
        <v>生物学的標本中の第 IX 因子阻害剤 (抗体) の測定。</v>
      </c>
      <c r="I1910" s="3" t="str">
        <f ca="1">IFERROR(__xludf.DUMMYFUNCTION("googletranslate(F1910,""en"",""ja"")"),"第 IX 因子阻害剤の測定")</f>
        <v>第 IX 因子阻害剤の測定</v>
      </c>
    </row>
    <row r="1911" spans="1:9" ht="30">
      <c r="A1911" s="3" t="s">
        <v>6</v>
      </c>
      <c r="B1911" s="3" t="s">
        <v>8017</v>
      </c>
      <c r="C1911" s="3" t="s">
        <v>8018</v>
      </c>
      <c r="D1911" s="3" t="s">
        <v>8018</v>
      </c>
      <c r="E1911" s="3" t="s">
        <v>8019</v>
      </c>
      <c r="F1911" s="3" t="s">
        <v>8020</v>
      </c>
      <c r="G1911" s="3" t="str">
        <f ca="1">IFERROR(__xludf.DUMMYFUNCTION("googletranslate(D1911,""en"",""ja"")"),"第 VIIa 因子の活性")</f>
        <v>第 VIIa 因子の活性</v>
      </c>
      <c r="H1911" s="3" t="str">
        <f ca="1">IFERROR(__xludf.DUMMYFUNCTION("googletranslate(E1911,""en"",""ja"")"),"生物学的標本中の凝固第 VIIa 因子の生物学的活性の測定。")</f>
        <v>生物学的標本中の凝固第 VIIa 因子の生物学的活性の測定。</v>
      </c>
      <c r="I1911" s="3" t="str">
        <f ca="1">IFERROR(__xludf.DUMMYFUNCTION("googletranslate(F1911,""en"",""ja"")"),"第VIIa因子活性測定")</f>
        <v>第VIIa因子活性測定</v>
      </c>
    </row>
    <row r="1912" spans="1:9" ht="30">
      <c r="A1912" s="3" t="s">
        <v>6</v>
      </c>
      <c r="B1912" s="3" t="s">
        <v>8021</v>
      </c>
      <c r="C1912" s="3" t="s">
        <v>8022</v>
      </c>
      <c r="D1912" s="3" t="s">
        <v>8023</v>
      </c>
      <c r="E1912" s="3" t="s">
        <v>8024</v>
      </c>
      <c r="F1912" s="3" t="s">
        <v>8025</v>
      </c>
      <c r="G1912" s="3" t="str">
        <f ca="1">IFERROR(__xludf.DUMMYFUNCTION("googletranslate(D1912,""en"",""ja"")"),"抗血友病因子活性;第 VIII 因子活性;ファクター VIII:C")</f>
        <v>抗血友病因子活性;第 VIII 因子活性;ファクター VIII:C</v>
      </c>
      <c r="H1912" s="3" t="str">
        <f ca="1">IFERROR(__xludf.DUMMYFUNCTION("googletranslate(E1912,""en"",""ja"")"),"生物学的標本における凝固第 VIII 因子の生物学的活性の測定。")</f>
        <v>生物学的標本における凝固第 VIII 因子の生物学的活性の測定。</v>
      </c>
      <c r="I1912" s="3" t="str">
        <f ca="1">IFERROR(__xludf.DUMMYFUNCTION("googletranslate(F1912,""en"",""ja"")"),"第 VIII 因子活性測定")</f>
        <v>第 VIII 因子活性測定</v>
      </c>
    </row>
    <row r="1913" spans="1:9" ht="30">
      <c r="A1913" s="3" t="s">
        <v>6</v>
      </c>
      <c r="B1913" s="3" t="s">
        <v>8026</v>
      </c>
      <c r="C1913" s="3" t="s">
        <v>8027</v>
      </c>
      <c r="D1913" s="3" t="s">
        <v>8027</v>
      </c>
      <c r="E1913" s="3" t="s">
        <v>8028</v>
      </c>
      <c r="F1913" s="3" t="s">
        <v>8029</v>
      </c>
      <c r="G1913" s="3" t="str">
        <f ca="1">IFERROR(__xludf.DUMMYFUNCTION("googletranslate(D1913,""en"",""ja"")"),"第 XIII 因子の活性")</f>
        <v>第 XIII 因子の活性</v>
      </c>
      <c r="H1913" s="3" t="str">
        <f ca="1">IFERROR(__xludf.DUMMYFUNCTION("googletranslate(E1913,""en"",""ja"")"),"生物学的標本における凝固第 XIII 因子の生物学的活性の測定。")</f>
        <v>生物学的標本における凝固第 XIII 因子の生物学的活性の測定。</v>
      </c>
      <c r="I1913" s="3" t="str">
        <f ca="1">IFERROR(__xludf.DUMMYFUNCTION("googletranslate(F1913,""en"",""ja"")"),"第XIII因子活性測定")</f>
        <v>第XIII因子活性測定</v>
      </c>
    </row>
    <row r="1914" spans="1:9" ht="45">
      <c r="A1914" s="3" t="s">
        <v>2904</v>
      </c>
      <c r="B1914" s="3" t="s">
        <v>8030</v>
      </c>
      <c r="C1914" s="3" t="s">
        <v>8031</v>
      </c>
      <c r="D1914" s="3" t="s">
        <v>8031</v>
      </c>
      <c r="E1914" s="3" t="s">
        <v>8032</v>
      </c>
      <c r="F1914" s="3" t="s">
        <v>8031</v>
      </c>
      <c r="G1914" s="3" t="str">
        <f ca="1">IFERROR(__xludf.DUMMYFUNCTION("googletranslate(D1914,""en"",""ja"")"),"FDA 機器の分類")</f>
        <v>FDA 機器の分類</v>
      </c>
      <c r="H1914" s="3" t="str">
        <f ca="1">IFERROR(__xludf.DUMMYFUNCTION("googletranslate(E1914,""en"",""ja"")"),"安全性と有効性を確保するために必要な管理レベルに基づいて、米国食品医薬品局によって決定される医療機器のクラス (21 CFR 860)。")</f>
        <v>安全性と有効性を確保するために必要な管理レベルに基づいて、米国食品医薬品局によって決定される医療機器のクラス (21 CFR 860)。</v>
      </c>
      <c r="I1914" s="3" t="str">
        <f ca="1">IFERROR(__xludf.DUMMYFUNCTION("googletranslate(F1914,""en"",""ja"")"),"FDA 機器の分類")</f>
        <v>FDA 機器の分類</v>
      </c>
    </row>
    <row r="1915" spans="1:9" ht="30">
      <c r="A1915" s="3" t="s">
        <v>6</v>
      </c>
      <c r="B1915" s="3" t="s">
        <v>8033</v>
      </c>
      <c r="C1915" s="3" t="s">
        <v>8034</v>
      </c>
      <c r="D1915" s="3" t="s">
        <v>8034</v>
      </c>
      <c r="E1915" s="3" t="s">
        <v>8035</v>
      </c>
      <c r="F1915" s="3" t="s">
        <v>8036</v>
      </c>
      <c r="G1915" s="3" t="str">
        <f ca="1">IFERROR(__xludf.DUMMYFUNCTION("googletranslate(D1915,""en"",""ja"")"),"フィブリン分解産物")</f>
        <v>フィブリン分解産物</v>
      </c>
      <c r="H1915" s="3" t="str">
        <f ca="1">IFERROR(__xludf.DUMMYFUNCTION("googletranslate(E1915,""en"",""ja"")"),"生物学的標本中のフィブリン分解産物の測定。")</f>
        <v>生物学的標本中のフィブリン分解産物の測定。</v>
      </c>
      <c r="I1915" s="3" t="str">
        <f ca="1">IFERROR(__xludf.DUMMYFUNCTION("googletranslate(F1915,""en"",""ja"")"),"フィブリン分解産物の測定")</f>
        <v>フィブリン分解産物の測定</v>
      </c>
    </row>
    <row r="1916" spans="1:9" ht="75">
      <c r="A1916" s="3" t="s">
        <v>210</v>
      </c>
      <c r="B1916" s="3" t="s">
        <v>8037</v>
      </c>
      <c r="C1916" s="3" t="s">
        <v>8038</v>
      </c>
      <c r="D1916" s="3" t="s">
        <v>8038</v>
      </c>
      <c r="E1916" s="3" t="s">
        <v>8039</v>
      </c>
      <c r="F1916" s="3" t="s">
        <v>8040</v>
      </c>
      <c r="G1916" s="3" t="str">
        <f ca="1">IFERROR(__xludf.DUMMYFUNCTION("googletranslate(D1916,""en"",""ja"")"),"FDG PET 5PS スコア")</f>
        <v>FDG PET 5PS スコア</v>
      </c>
      <c r="H1916" s="3" t="str">
        <f ca="1">IFERROR(__xludf.DUMMYFUNCTION("googletranslate(E1916,""en"",""ja"")"),"Barrington らによって最初に考案された 5 ポイント スケール。 (2014) FDG-PET スキャンによってリンパ腫の治療に対する反応を評価し、それ以来、さらに多くの固形腫瘍および非固形腫瘍における治療反応を評価することが検証されています。")</f>
        <v>Barrington らによって最初に考案された 5 ポイント スケール。 (2014) FDG-PET スキャンによってリンパ腫の治療に対する反応を評価し、それ以来、さらに多くの固形腫瘍および非固形腫瘍における治療反応を評価することが検証されています。</v>
      </c>
      <c r="I1916" s="3" t="str">
        <f ca="1">IFERROR(__xludf.DUMMYFUNCTION("googletranslate(F1916,""en"",""ja"")"),"ロンドン・ドーヴィル基準点スケール")</f>
        <v>ロンドン・ドーヴィル基準点スケール</v>
      </c>
    </row>
    <row r="1917" spans="1:9" ht="45">
      <c r="A1917" s="3" t="s">
        <v>6</v>
      </c>
      <c r="B1917" s="3" t="s">
        <v>8041</v>
      </c>
      <c r="C1917" s="3" t="s">
        <v>8042</v>
      </c>
      <c r="D1917" s="3" t="s">
        <v>8042</v>
      </c>
      <c r="E1917" s="3" t="s">
        <v>8043</v>
      </c>
      <c r="F1917" s="3" t="s">
        <v>8044</v>
      </c>
      <c r="G1917" s="3" t="str">
        <f ca="1">IFERROR(__xludf.DUMMYFUNCTION("googletranslate(D1917,""en"",""ja"")"),"部分的なカルシウム排泄")</f>
        <v>部分的なカルシウム排泄</v>
      </c>
      <c r="H1917" s="3" t="str">
        <f ca="1">IFERROR(__xludf.DUMMYFUNCTION("googletranslate(E1917,""en"",""ja"")"),"血液と尿の両方中のカルシウムとクレアチニンの濃度に基づいて計算される、カルシウムの部分排泄の測定値。")</f>
        <v>血液と尿の両方中のカルシウムとクレアチニンの濃度に基づいて計算される、カルシウムの部分排泄の測定値。</v>
      </c>
      <c r="I1917" s="3" t="str">
        <f ca="1">IFERROR(__xludf.DUMMYFUNCTION("googletranslate(F1917,""en"",""ja"")"),"カルシウムの分別排泄")</f>
        <v>カルシウムの分別排泄</v>
      </c>
    </row>
    <row r="1918" spans="1:9" ht="45">
      <c r="A1918" s="3" t="s">
        <v>6</v>
      </c>
      <c r="B1918" s="3" t="s">
        <v>8045</v>
      </c>
      <c r="C1918" s="3" t="s">
        <v>8046</v>
      </c>
      <c r="D1918" s="3" t="s">
        <v>8046</v>
      </c>
      <c r="E1918" s="3" t="s">
        <v>8047</v>
      </c>
      <c r="F1918" s="3" t="s">
        <v>8048</v>
      </c>
      <c r="G1918" s="3" t="str">
        <f ca="1">IFERROR(__xludf.DUMMYFUNCTION("googletranslate(D1918,""en"",""ja"")"),"部分的塩化物排泄")</f>
        <v>部分的塩化物排泄</v>
      </c>
      <c r="H1918" s="3" t="str">
        <f ca="1">IFERROR(__xludf.DUMMYFUNCTION("googletranslate(E1918,""en"",""ja"")"),"血液と尿の両方中の塩化物とクレアチニンの濃度に基づいて計算される、塩化物排泄率の測定値。")</f>
        <v>血液と尿の両方中の塩化物とクレアチニンの濃度に基づいて計算される、塩化物排泄率の測定値。</v>
      </c>
      <c r="I1918" s="3" t="str">
        <f ca="1">IFERROR(__xludf.DUMMYFUNCTION("googletranslate(F1918,""en"",""ja"")"),"塩化物の分別排泄")</f>
        <v>塩化物の分別排泄</v>
      </c>
    </row>
    <row r="1919" spans="1:9" ht="30">
      <c r="A1919" s="3" t="s">
        <v>490</v>
      </c>
      <c r="B1919" s="3" t="s">
        <v>8049</v>
      </c>
      <c r="C1919" s="3" t="s">
        <v>8050</v>
      </c>
      <c r="D1919" s="3" t="s">
        <v>8050</v>
      </c>
      <c r="E1919" s="3" t="s">
        <v>8051</v>
      </c>
      <c r="F1919" s="3" t="s">
        <v>8050</v>
      </c>
      <c r="G1919" s="3" t="str">
        <f ca="1">IFERROR(__xludf.DUMMYFUNCTION("googletranslate(D1919,""en"",""ja"")"),"0.05秒での努力性呼気流量")</f>
        <v>0.05秒での努力性呼気流量</v>
      </c>
      <c r="H1919" s="3" t="str">
        <f ca="1">IFERROR(__xludf.DUMMYFUNCTION("googletranslate(E1919,""en"",""ja"")"),"強制呼気の最初の 0.05 秒間の強制呼気流量。")</f>
        <v>強制呼気の最初の 0.05 秒間の強制呼気流量。</v>
      </c>
      <c r="I1919" s="3" t="str">
        <f ca="1">IFERROR(__xludf.DUMMYFUNCTION("googletranslate(F1919,""en"",""ja"")"),"0.05秒での努力性呼気流量")</f>
        <v>0.05秒での努力性呼気流量</v>
      </c>
    </row>
    <row r="1920" spans="1:9" ht="30">
      <c r="A1920" s="3" t="s">
        <v>490</v>
      </c>
      <c r="B1920" s="3" t="s">
        <v>8052</v>
      </c>
      <c r="C1920" s="3" t="s">
        <v>8053</v>
      </c>
      <c r="D1920" s="3" t="s">
        <v>8053</v>
      </c>
      <c r="E1920" s="3" t="s">
        <v>8054</v>
      </c>
      <c r="F1920" s="3" t="s">
        <v>8053</v>
      </c>
      <c r="G1920" s="3" t="str">
        <f ca="1">IFERROR(__xludf.DUMMYFUNCTION("googletranslate(D1920,""en"",""ja"")"),"0.1秒での努力性呼気流量")</f>
        <v>0.1秒での努力性呼気流量</v>
      </c>
      <c r="H1920" s="3" t="str">
        <f ca="1">IFERROR(__xludf.DUMMYFUNCTION("googletranslate(E1920,""en"",""ja"")"),"強制呼気の最初の 0.1 秒間の努力呼気流量。")</f>
        <v>強制呼気の最初の 0.1 秒間の努力呼気流量。</v>
      </c>
      <c r="I1920" s="3" t="str">
        <f ca="1">IFERROR(__xludf.DUMMYFUNCTION("googletranslate(F1920,""en"",""ja"")"),"0.1秒での努力性呼気流量")</f>
        <v>0.1秒での努力性呼気流量</v>
      </c>
    </row>
    <row r="1921" spans="1:9" ht="30">
      <c r="A1921" s="3" t="s">
        <v>490</v>
      </c>
      <c r="B1921" s="3" t="s">
        <v>8055</v>
      </c>
      <c r="C1921" s="3" t="s">
        <v>8056</v>
      </c>
      <c r="D1921" s="3" t="s">
        <v>8056</v>
      </c>
      <c r="E1921" s="3" t="s">
        <v>8057</v>
      </c>
      <c r="F1921" s="3" t="s">
        <v>8056</v>
      </c>
      <c r="G1921" s="3" t="str">
        <f ca="1">IFERROR(__xludf.DUMMYFUNCTION("googletranslate(D1921,""en"",""ja"")"),"0.2秒での努力性呼気の流れ")</f>
        <v>0.2秒での努力性呼気の流れ</v>
      </c>
      <c r="H1921" s="3" t="str">
        <f ca="1">IFERROR(__xludf.DUMMYFUNCTION("googletranslate(E1921,""en"",""ja"")"),"強制呼気の最初の 0.2 秒間の努力呼気流量。")</f>
        <v>強制呼気の最初の 0.2 秒間の努力呼気流量。</v>
      </c>
      <c r="I1921" s="3" t="str">
        <f ca="1">IFERROR(__xludf.DUMMYFUNCTION("googletranslate(F1921,""en"",""ja"")"),"0.2秒での努力性呼気の流れ")</f>
        <v>0.2秒での努力性呼気の流れ</v>
      </c>
    </row>
    <row r="1922" spans="1:9" ht="30">
      <c r="A1922" s="3" t="s">
        <v>490</v>
      </c>
      <c r="B1922" s="3" t="s">
        <v>8058</v>
      </c>
      <c r="C1922" s="3" t="s">
        <v>8059</v>
      </c>
      <c r="D1922" s="3" t="s">
        <v>8059</v>
      </c>
      <c r="E1922" s="3" t="s">
        <v>8060</v>
      </c>
      <c r="F1922" s="3" t="s">
        <v>8061</v>
      </c>
      <c r="G1922" s="3" t="str">
        <f ca="1">IFERROR(__xludf.DUMMYFUNCTION("googletranslate(D1922,""en"",""ja"")"),"努力性呼気流量 25-75%")</f>
        <v>努力性呼気流量 25-75%</v>
      </c>
      <c r="H1922" s="3" t="str">
        <f ca="1">IFERROR(__xludf.DUMMYFUNCTION("googletranslate(E1922,""en"",""ja"")"),"努力肺活量の 25 ～ 75% における平均努力呼気流量。 (NCI)")</f>
        <v>努力肺活量の 25 ～ 75% における平均努力呼気流量。 (NCI)</v>
      </c>
      <c r="I1922" s="3" t="str">
        <f ca="1">IFERROR(__xludf.DUMMYFUNCTION("googletranslate(F1922,""en"",""ja"")"),"25～75パーセントの努力性呼気流量")</f>
        <v>25～75パーセントの努力性呼気流量</v>
      </c>
    </row>
    <row r="1923" spans="1:9" ht="45">
      <c r="A1923" s="3" t="s">
        <v>490</v>
      </c>
      <c r="B1923" s="3" t="s">
        <v>8062</v>
      </c>
      <c r="C1923" s="3" t="s">
        <v>8063</v>
      </c>
      <c r="D1923" s="3" t="s">
        <v>8063</v>
      </c>
      <c r="E1923" s="3" t="s">
        <v>8064</v>
      </c>
      <c r="F1923" s="3" t="s">
        <v>8065</v>
      </c>
      <c r="G1923" s="3" t="str">
        <f ca="1">IFERROR(__xludf.DUMMYFUNCTION("googletranslate(D1923,""en"",""ja"")"),"パーセント予測FEF25-75")</f>
        <v>パーセント予測FEF25-75</v>
      </c>
      <c r="H1923" s="3" t="str">
        <f ca="1">IFERROR(__xludf.DUMMYFUNCTION("googletranslate(E1923,""en"",""ja"")"),"予測される正常値の割合としての努力肺活量の 25 ～ 75% における平均努力呼気流量。 (NCI)")</f>
        <v>予測される正常値の割合としての努力肺活量の 25 ～ 75% における平均努力呼気流量。 (NCI)</v>
      </c>
      <c r="I1923" s="3" t="str">
        <f ca="1">IFERROR(__xludf.DUMMYFUNCTION("googletranslate(F1923,""en"",""ja"")"),"25 ～ 75 パーセントでの予測努力性呼気流量のパーセント")</f>
        <v>25 ～ 75 パーセントでの予測努力性呼気流量のパーセント</v>
      </c>
    </row>
    <row r="1924" spans="1:9" ht="30">
      <c r="A1924" s="3" t="s">
        <v>490</v>
      </c>
      <c r="B1924" s="3" t="s">
        <v>8066</v>
      </c>
      <c r="C1924" s="3" t="s">
        <v>8067</v>
      </c>
      <c r="D1924" s="3" t="s">
        <v>8067</v>
      </c>
      <c r="E1924" s="3" t="s">
        <v>8068</v>
      </c>
      <c r="F1924" s="3" t="s">
        <v>8069</v>
      </c>
      <c r="G1924" s="3" t="str">
        <f ca="1">IFERROR(__xludf.DUMMYFUNCTION("googletranslate(D1924,""en"",""ja"")"),"努力性呼気流量 50%")</f>
        <v>努力性呼気流量 50%</v>
      </c>
      <c r="H1924" s="3" t="str">
        <f ca="1">IFERROR(__xludf.DUMMYFUNCTION("googletranslate(E1924,""en"",""ja"")"),"努力肺活量の 50% における平均努力呼気流量。 (NCI)")</f>
        <v>努力肺活量の 50% における平均努力呼気流量。 (NCI)</v>
      </c>
      <c r="I1924" s="3" t="str">
        <f ca="1">IFERROR(__xludf.DUMMYFUNCTION("googletranslate(F1924,""en"",""ja"")"),"努力肺活量 50% での努力性呼気流量")</f>
        <v>努力肺活量 50% での努力性呼気流量</v>
      </c>
    </row>
    <row r="1925" spans="1:9" ht="45">
      <c r="A1925" s="3" t="s">
        <v>6</v>
      </c>
      <c r="B1925" s="3" t="s">
        <v>8070</v>
      </c>
      <c r="C1925" s="3" t="s">
        <v>8071</v>
      </c>
      <c r="D1925" s="3" t="s">
        <v>8071</v>
      </c>
      <c r="E1925" s="3" t="s">
        <v>8072</v>
      </c>
      <c r="F1925" s="3" t="s">
        <v>8073</v>
      </c>
      <c r="G1925" s="3" t="str">
        <f ca="1">IFERROR(__xludf.DUMMYFUNCTION("googletranslate(D1925,""en"",""ja"")"),"部分的カリウム排泄")</f>
        <v>部分的カリウム排泄</v>
      </c>
      <c r="H1925" s="3" t="str">
        <f ca="1">IFERROR(__xludf.DUMMYFUNCTION("googletranslate(E1925,""en"",""ja"")"),"血液と尿中のカリウムとクレアチニンの濃度に基づいて計算される、カリウムの部分排泄の測定値。")</f>
        <v>血液と尿中のカリウムとクレアチニンの濃度に基づいて計算される、カリウムの部分排泄の測定値。</v>
      </c>
      <c r="I1925" s="3" t="str">
        <f ca="1">IFERROR(__xludf.DUMMYFUNCTION("googletranslate(F1925,""en"",""ja"")"),"カリウムの分別排泄")</f>
        <v>カリウムの分別排泄</v>
      </c>
    </row>
    <row r="1926" spans="1:9" ht="45">
      <c r="A1926" s="3" t="s">
        <v>6</v>
      </c>
      <c r="B1926" s="3" t="s">
        <v>8074</v>
      </c>
      <c r="C1926" s="3" t="s">
        <v>8075</v>
      </c>
      <c r="D1926" s="3" t="s">
        <v>8075</v>
      </c>
      <c r="E1926" s="3" t="s">
        <v>8076</v>
      </c>
      <c r="F1926" s="3" t="s">
        <v>8077</v>
      </c>
      <c r="G1926" s="3" t="str">
        <f ca="1">IFERROR(__xludf.DUMMYFUNCTION("googletranslate(D1926,""en"",""ja"")"),"部分的マグネシウム排泄")</f>
        <v>部分的マグネシウム排泄</v>
      </c>
      <c r="H1926" s="3" t="str">
        <f ca="1">IFERROR(__xludf.DUMMYFUNCTION("googletranslate(E1926,""en"",""ja"")"),"血液と尿中のマグネシウムとクレアチニンの濃度に基づいて計算される、マグネシウムの部分的排泄の測定値。")</f>
        <v>血液と尿中のマグネシウムとクレアチニンの濃度に基づいて計算される、マグネシウムの部分的排泄の測定値。</v>
      </c>
      <c r="I1926" s="3" t="str">
        <f ca="1">IFERROR(__xludf.DUMMYFUNCTION("googletranslate(F1926,""en"",""ja"")"),"マグネシウムの部分的排泄")</f>
        <v>マグネシウムの部分的排泄</v>
      </c>
    </row>
    <row r="1927" spans="1:9" ht="30">
      <c r="A1927" s="3" t="s">
        <v>6</v>
      </c>
      <c r="B1927" s="3" t="s">
        <v>8078</v>
      </c>
      <c r="C1927" s="3" t="s">
        <v>8079</v>
      </c>
      <c r="D1927" s="3" t="s">
        <v>8079</v>
      </c>
      <c r="E1927" s="3" t="s">
        <v>8080</v>
      </c>
      <c r="F1927" s="3" t="s">
        <v>8081</v>
      </c>
      <c r="G1927" s="3" t="str">
        <f ca="1">IFERROR(__xludf.DUMMYFUNCTION("googletranslate(D1927,""en"",""ja"")"),"3-メチルフェンタニル")</f>
        <v>3-メチルフェンタニル</v>
      </c>
      <c r="H1927" s="3" t="str">
        <f ca="1">IFERROR(__xludf.DUMMYFUNCTION("googletranslate(E1927,""en"",""ja"")"),"生物学的標本中の 3-メチルフェンタニルの測定。")</f>
        <v>生物学的標本中の 3-メチルフェンタニルの測定。</v>
      </c>
      <c r="I1927" s="3" t="str">
        <f ca="1">IFERROR(__xludf.DUMMYFUNCTION("googletranslate(F1927,""en"",""ja"")"),"3-メチルフェンタニルの測定")</f>
        <v>3-メチルフェンタニルの測定</v>
      </c>
    </row>
    <row r="1928" spans="1:9" ht="45">
      <c r="A1928" s="3" t="s">
        <v>6</v>
      </c>
      <c r="B1928" s="3" t="s">
        <v>8082</v>
      </c>
      <c r="C1928" s="3" t="s">
        <v>8083</v>
      </c>
      <c r="D1928" s="3" t="s">
        <v>8083</v>
      </c>
      <c r="E1928" s="3" t="s">
        <v>8084</v>
      </c>
      <c r="F1928" s="3" t="s">
        <v>8085</v>
      </c>
      <c r="G1928" s="3" t="str">
        <f ca="1">IFERROR(__xludf.DUMMYFUNCTION("googletranslate(D1928,""en"",""ja"")"),"ナトリウムの部分排泄")</f>
        <v>ナトリウムの部分排泄</v>
      </c>
      <c r="H1928" s="3" t="str">
        <f ca="1">IFERROR(__xludf.DUMMYFUNCTION("googletranslate(E1928,""en"",""ja"")"),"血液と尿中のナトリウムとクレアチニンの濃度に基づいて計算される、ナトリウムの部分排泄の測定値。")</f>
        <v>血液と尿中のナトリウムとクレアチニンの濃度に基づいて計算される、ナトリウムの部分排泄の測定値。</v>
      </c>
      <c r="I1928" s="3" t="str">
        <f ca="1">IFERROR(__xludf.DUMMYFUNCTION("googletranslate(F1928,""en"",""ja"")"),"ナトリウムの分別排泄")</f>
        <v>ナトリウムの分別排泄</v>
      </c>
    </row>
    <row r="1929" spans="1:9" ht="30">
      <c r="A1929" s="3" t="s">
        <v>6</v>
      </c>
      <c r="B1929" s="3" t="s">
        <v>8086</v>
      </c>
      <c r="C1929" s="3" t="s">
        <v>8087</v>
      </c>
      <c r="D1929" s="3" t="s">
        <v>8088</v>
      </c>
      <c r="E1929" s="3" t="s">
        <v>8089</v>
      </c>
      <c r="F1929" s="3" t="s">
        <v>8090</v>
      </c>
      <c r="G1929" s="3" t="str">
        <f ca="1">IFERROR(__xludf.DUMMYFUNCTION("googletranslate(D1929,""en"",""ja"")"),"アセチルフェンタニル;アセチルフェンタニル")</f>
        <v>アセチルフェンタニル;アセチルフェンタニル</v>
      </c>
      <c r="H1929" s="3" t="str">
        <f ca="1">IFERROR(__xludf.DUMMYFUNCTION("googletranslate(E1929,""en"",""ja"")"),"生物学的標本中のアセチルフェンタニルの測定。")</f>
        <v>生物学的標本中のアセチルフェンタニルの測定。</v>
      </c>
      <c r="I1929" s="3" t="str">
        <f ca="1">IFERROR(__xludf.DUMMYFUNCTION("googletranslate(F1929,""en"",""ja"")"),"アセチルフェンタニルの測定")</f>
        <v>アセチルフェンタニルの測定</v>
      </c>
    </row>
    <row r="1930" spans="1:9" ht="30">
      <c r="A1930" s="3" t="s">
        <v>6</v>
      </c>
      <c r="B1930" s="3" t="s">
        <v>8091</v>
      </c>
      <c r="C1930" s="3" t="s">
        <v>8092</v>
      </c>
      <c r="D1930" s="3" t="s">
        <v>8092</v>
      </c>
      <c r="E1930" s="3" t="s">
        <v>8093</v>
      </c>
      <c r="F1930" s="3" t="s">
        <v>8094</v>
      </c>
      <c r="G1930" s="3" t="str">
        <f ca="1">IFERROR(__xludf.DUMMYFUNCTION("googletranslate(D1930,""en"",""ja"")"),"アルファ-メチルフェンタニル")</f>
        <v>アルファ-メチルフェンタニル</v>
      </c>
      <c r="H1930" s="3" t="str">
        <f ca="1">IFERROR(__xludf.DUMMYFUNCTION("googletranslate(E1930,""en"",""ja"")"),"生物学的標本中のα-メチルフェンタニルの測定。")</f>
        <v>生物学的標本中のα-メチルフェンタニルの測定。</v>
      </c>
      <c r="I1930" s="3" t="str">
        <f ca="1">IFERROR(__xludf.DUMMYFUNCTION("googletranslate(F1930,""en"",""ja"")"),"α-メチルフェンタニルの測定")</f>
        <v>α-メチルフェンタニルの測定</v>
      </c>
    </row>
    <row r="1931" spans="1:9" ht="30">
      <c r="A1931" s="3" t="s">
        <v>6</v>
      </c>
      <c r="B1931" s="3" t="s">
        <v>8095</v>
      </c>
      <c r="C1931" s="3" t="s">
        <v>8096</v>
      </c>
      <c r="D1931" s="3" t="s">
        <v>8096</v>
      </c>
      <c r="E1931" s="3" t="s">
        <v>8097</v>
      </c>
      <c r="F1931" s="3" t="s">
        <v>8098</v>
      </c>
      <c r="G1931" s="3" t="str">
        <f ca="1">IFERROR(__xludf.DUMMYFUNCTION("googletranslate(D1931,""en"",""ja"")"),"β-ヒドロキシチオフェンタニル")</f>
        <v>β-ヒドロキシチオフェンタニル</v>
      </c>
      <c r="H1931" s="3" t="str">
        <f ca="1">IFERROR(__xludf.DUMMYFUNCTION("googletranslate(E1931,""en"",""ja"")"),"生物学的標本中のβ-ヒドロキシチオフェンタニルの測定。")</f>
        <v>生物学的標本中のβ-ヒドロキシチオフェンタニルの測定。</v>
      </c>
      <c r="I1931" s="3" t="str">
        <f ca="1">IFERROR(__xludf.DUMMYFUNCTION("googletranslate(F1931,""en"",""ja"")"),"β-ヒドロキシチオフェンタニルの測定")</f>
        <v>β-ヒドロキシチオフェンタニルの測定</v>
      </c>
    </row>
    <row r="1932" spans="1:9" ht="45">
      <c r="A1932" s="3" t="s">
        <v>6</v>
      </c>
      <c r="B1932" s="3" t="s">
        <v>8099</v>
      </c>
      <c r="C1932" s="3" t="s">
        <v>8100</v>
      </c>
      <c r="D1932" s="3" t="s">
        <v>8101</v>
      </c>
      <c r="E1932" s="3" t="s">
        <v>8102</v>
      </c>
      <c r="F1932" s="3" t="s">
        <v>8103</v>
      </c>
      <c r="G1932" s="3" t="str">
        <f ca="1">IFERROR(__xludf.DUMMYFUNCTION("googletranslate(D1932,""en"",""ja"")"),"ブチルフェンタニル;ブチリルフェンタニル;ブチリルフェンタニル")</f>
        <v>ブチルフェンタニル;ブチリルフェンタニル;ブチリルフェンタニル</v>
      </c>
      <c r="H1932" s="3" t="str">
        <f ca="1">IFERROR(__xludf.DUMMYFUNCTION("googletranslate(E1932,""en"",""ja"")"),"生物学的標本中のブチリルフェンタニルの測定。")</f>
        <v>生物学的標本中のブチリルフェンタニルの測定。</v>
      </c>
      <c r="I1932" s="3" t="str">
        <f ca="1">IFERROR(__xludf.DUMMYFUNCTION("googletranslate(F1932,""en"",""ja"")"),"ブチリルフェンタニルの測定")</f>
        <v>ブチリルフェンタニルの測定</v>
      </c>
    </row>
    <row r="1933" spans="1:9" ht="30">
      <c r="A1933" s="3" t="s">
        <v>6</v>
      </c>
      <c r="B1933" s="3" t="s">
        <v>8104</v>
      </c>
      <c r="C1933" s="3" t="s">
        <v>8105</v>
      </c>
      <c r="D1933" s="3" t="s">
        <v>8106</v>
      </c>
      <c r="E1933" s="3" t="s">
        <v>8107</v>
      </c>
      <c r="F1933" s="3" t="s">
        <v>8108</v>
      </c>
      <c r="G1933" s="3" t="str">
        <f ca="1">IFERROR(__xludf.DUMMYFUNCTION("googletranslate(D1933,""en"",""ja"")"),"フェンカムファミン;フェンカムファミン")</f>
        <v>フェンカムファミン;フェンカムファミン</v>
      </c>
      <c r="H1933" s="3" t="str">
        <f ca="1">IFERROR(__xludf.DUMMYFUNCTION("googletranslate(E1933,""en"",""ja"")"),"生物学的標本中のフェンカムファミンの測定。")</f>
        <v>生物学的標本中のフェンカムファミンの測定。</v>
      </c>
      <c r="I1933" s="3" t="str">
        <f ca="1">IFERROR(__xludf.DUMMYFUNCTION("googletranslate(F1933,""en"",""ja"")"),"フェンカムファミンの測定")</f>
        <v>フェンカムファミンの測定</v>
      </c>
    </row>
    <row r="1934" spans="1:9">
      <c r="A1934" s="3" t="s">
        <v>6</v>
      </c>
      <c r="B1934" s="3" t="s">
        <v>8109</v>
      </c>
      <c r="C1934" s="3" t="s">
        <v>8110</v>
      </c>
      <c r="D1934" s="3" t="s">
        <v>8110</v>
      </c>
      <c r="E1934" s="3" t="s">
        <v>8111</v>
      </c>
      <c r="F1934" s="3" t="s">
        <v>8112</v>
      </c>
      <c r="G1934" s="3" t="str">
        <f ca="1">IFERROR(__xludf.DUMMYFUNCTION("googletranslate(D1934,""en"",""ja"")"),"フェンフルラミン")</f>
        <v>フェンフルラミン</v>
      </c>
      <c r="H1934" s="3" t="str">
        <f ca="1">IFERROR(__xludf.DUMMYFUNCTION("googletranslate(E1934,""en"",""ja"")"),"生物学的標本中のフェンフルラミンの測定。")</f>
        <v>生物学的標本中のフェンフルラミンの測定。</v>
      </c>
      <c r="I1934" s="3" t="str">
        <f ca="1">IFERROR(__xludf.DUMMYFUNCTION("googletranslate(F1934,""en"",""ja"")"),"フェンフルラミンの測定")</f>
        <v>フェンフルラミンの測定</v>
      </c>
    </row>
    <row r="1935" spans="1:9" ht="30">
      <c r="A1935" s="3" t="s">
        <v>6</v>
      </c>
      <c r="B1935" s="3" t="s">
        <v>8113</v>
      </c>
      <c r="C1935" s="3" t="s">
        <v>8114</v>
      </c>
      <c r="D1935" s="3" t="s">
        <v>8115</v>
      </c>
      <c r="E1935" s="3" t="s">
        <v>8116</v>
      </c>
      <c r="F1935" s="3" t="s">
        <v>8117</v>
      </c>
      <c r="G1935" s="3" t="str">
        <f ca="1">IFERROR(__xludf.DUMMYFUNCTION("googletranslate(D1935,""en"",""ja"")"),"フラニル フェンタニル;フラニルフェンタニル")</f>
        <v>フラニル フェンタニル;フラニルフェンタニル</v>
      </c>
      <c r="H1935" s="3" t="str">
        <f ca="1">IFERROR(__xludf.DUMMYFUNCTION("googletranslate(E1935,""en"",""ja"")"),"生物学的標本中のフラニルフェンタニルの測定。")</f>
        <v>生物学的標本中のフラニルフェンタニルの測定。</v>
      </c>
      <c r="I1935" s="3" t="str">
        <f ca="1">IFERROR(__xludf.DUMMYFUNCTION("googletranslate(F1935,""en"",""ja"")"),"フラニルフェンタニルの測定")</f>
        <v>フラニルフェンタニルの測定</v>
      </c>
    </row>
    <row r="1936" spans="1:9" ht="30">
      <c r="A1936" s="3" t="s">
        <v>6</v>
      </c>
      <c r="B1936" s="3" t="s">
        <v>8118</v>
      </c>
      <c r="C1936" s="3" t="s">
        <v>8119</v>
      </c>
      <c r="D1936" s="3" t="s">
        <v>8119</v>
      </c>
      <c r="E1936" s="3" t="s">
        <v>8120</v>
      </c>
      <c r="F1936" s="3" t="s">
        <v>8121</v>
      </c>
      <c r="G1936" s="3" t="str">
        <f ca="1">IFERROR(__xludf.DUMMYFUNCTION("googletranslate(D1936,""en"",""ja"")"),"パラフルオロフェンタニル")</f>
        <v>パラフルオロフェンタニル</v>
      </c>
      <c r="H1936" s="3" t="str">
        <f ca="1">IFERROR(__xludf.DUMMYFUNCTION("googletranslate(E1936,""en"",""ja"")"),"生物学的標本中のパラフルオロフェンタニルの測定。")</f>
        <v>生物学的標本中のパラフルオロフェンタニルの測定。</v>
      </c>
      <c r="I1936" s="3" t="str">
        <f ca="1">IFERROR(__xludf.DUMMYFUNCTION("googletranslate(F1936,""en"",""ja"")"),"パラフルオロフェンタニルの測定")</f>
        <v>パラフルオロフェンタニルの測定</v>
      </c>
    </row>
    <row r="1937" spans="1:9">
      <c r="A1937" s="3" t="s">
        <v>6</v>
      </c>
      <c r="B1937" s="3" t="s">
        <v>8122</v>
      </c>
      <c r="C1937" s="3" t="s">
        <v>8123</v>
      </c>
      <c r="D1937" s="3" t="s">
        <v>8123</v>
      </c>
      <c r="E1937" s="3" t="s">
        <v>8124</v>
      </c>
      <c r="F1937" s="3" t="s">
        <v>8125</v>
      </c>
      <c r="G1937" s="3" t="str">
        <f ca="1">IFERROR(__xludf.DUMMYFUNCTION("googletranslate(D1937,""en"",""ja"")"),"フェンプロポレックス")</f>
        <v>フェンプロポレックス</v>
      </c>
      <c r="H1937" s="3" t="str">
        <f ca="1">IFERROR(__xludf.DUMMYFUNCTION("googletranslate(E1937,""en"",""ja"")"),"生物学的標本中のフェンプロポレックスの測定。")</f>
        <v>生物学的標本中のフェンプロポレックスの測定。</v>
      </c>
      <c r="I1937" s="3" t="str">
        <f ca="1">IFERROR(__xludf.DUMMYFUNCTION("googletranslate(F1937,""en"",""ja"")"),"フェンプロポレックスの測定")</f>
        <v>フェンプロポレックスの測定</v>
      </c>
    </row>
    <row r="1938" spans="1:9">
      <c r="A1938" s="3" t="s">
        <v>6</v>
      </c>
      <c r="B1938" s="3" t="s">
        <v>8126</v>
      </c>
      <c r="C1938" s="3" t="s">
        <v>8127</v>
      </c>
      <c r="D1938" s="3" t="s">
        <v>8127</v>
      </c>
      <c r="E1938" s="3" t="s">
        <v>8128</v>
      </c>
      <c r="F1938" s="3" t="s">
        <v>8129</v>
      </c>
      <c r="G1938" s="3" t="str">
        <f ca="1">IFERROR(__xludf.DUMMYFUNCTION("googletranslate(D1938,""en"",""ja"")"),"フェンタニル")</f>
        <v>フェンタニル</v>
      </c>
      <c r="H1938" s="3" t="str">
        <f ca="1">IFERROR(__xludf.DUMMYFUNCTION("googletranslate(E1938,""en"",""ja"")"),"生物学的標本中のフェンタニルの測定。")</f>
        <v>生物学的標本中のフェンタニルの測定。</v>
      </c>
      <c r="I1938" s="3" t="str">
        <f ca="1">IFERROR(__xludf.DUMMYFUNCTION("googletranslate(F1938,""en"",""ja"")"),"フェンタニルの測定")</f>
        <v>フェンタニルの測定</v>
      </c>
    </row>
    <row r="1939" spans="1:9" ht="30">
      <c r="A1939" s="3" t="s">
        <v>6</v>
      </c>
      <c r="B1939" s="3" t="s">
        <v>8130</v>
      </c>
      <c r="C1939" s="3" t="s">
        <v>8131</v>
      </c>
      <c r="D1939" s="3" t="s">
        <v>8132</v>
      </c>
      <c r="E1939" s="3" t="s">
        <v>8133</v>
      </c>
      <c r="F1939" s="3" t="s">
        <v>8134</v>
      </c>
      <c r="G1939" s="3" t="str">
        <f ca="1">IFERROR(__xludf.DUMMYFUNCTION("googletranslate(D1939,""en"",""ja"")"),"バレリルフェンタニル;バレリルフェンタニル")</f>
        <v>バレリルフェンタニル;バレリルフェンタニル</v>
      </c>
      <c r="H1939" s="3" t="str">
        <f ca="1">IFERROR(__xludf.DUMMYFUNCTION("googletranslate(E1939,""en"",""ja"")"),"生物学的標本中のバレリルフェンタニルの測定。")</f>
        <v>生物学的標本中のバレリルフェンタニルの測定。</v>
      </c>
      <c r="I1939" s="3" t="str">
        <f ca="1">IFERROR(__xludf.DUMMYFUNCTION("googletranslate(F1939,""en"",""ja"")"),"バレリルフェンタニルの測定")</f>
        <v>バレリルフェンタニルの測定</v>
      </c>
    </row>
    <row r="1940" spans="1:9" ht="45">
      <c r="A1940" s="3" t="s">
        <v>6</v>
      </c>
      <c r="B1940" s="3" t="s">
        <v>8135</v>
      </c>
      <c r="C1940" s="3" t="s">
        <v>8136</v>
      </c>
      <c r="D1940" s="3" t="s">
        <v>8136</v>
      </c>
      <c r="E1940" s="3" t="s">
        <v>8137</v>
      </c>
      <c r="F1940" s="3" t="s">
        <v>8138</v>
      </c>
      <c r="G1940" s="3" t="str">
        <f ca="1">IFERROR(__xludf.DUMMYFUNCTION("googletranslate(D1940,""en"",""ja"")"),"赤血球プロトポルフィリン、フリー")</f>
        <v>赤血球プロトポルフィリン、フリー</v>
      </c>
      <c r="H1940" s="3" t="str">
        <f ca="1">IFERROR(__xludf.DUMMYFUNCTION("googletranslate(E1940,""en"",""ja"")"),"生物学的標本中の遊離赤血球プロトポルフィリン (結合した亜鉛と未結合のプロトポルフィリン) の測定。")</f>
        <v>生物学的標本中の遊離赤血球プロトポルフィリン (結合した亜鉛と未結合のプロトポルフィリン) の測定。</v>
      </c>
      <c r="I1940" s="3" t="str">
        <f ca="1">IFERROR(__xludf.DUMMYFUNCTION("googletranslate(F1940,""en"",""ja"")"),"遊離赤血球プロトポルフィリン測定")</f>
        <v>遊離赤血球プロトポルフィリン測定</v>
      </c>
    </row>
    <row r="1941" spans="1:9" ht="45">
      <c r="A1941" s="3" t="s">
        <v>6</v>
      </c>
      <c r="B1941" s="3" t="s">
        <v>8139</v>
      </c>
      <c r="C1941" s="3" t="s">
        <v>8140</v>
      </c>
      <c r="D1941" s="3" t="s">
        <v>8141</v>
      </c>
      <c r="E1941" s="3" t="s">
        <v>8142</v>
      </c>
      <c r="F1941" s="3" t="s">
        <v>8143</v>
      </c>
      <c r="G1941" s="3" t="str">
        <f ca="1">IFERROR(__xludf.DUMMYFUNCTION("googletranslate(D1941,""en"",""ja"")"),"部分的な無機リン酸排泄量;部分的リン排泄量")</f>
        <v>部分的な無機リン酸排泄量;部分的リン排泄量</v>
      </c>
      <c r="H1941" s="3" t="str">
        <f ca="1">IFERROR(__xludf.DUMMYFUNCTION("googletranslate(E1941,""en"",""ja"")"),"血液と尿中のリンとクレアチニンの濃度に基づいて計算される、リンの部分排泄の測定値。")</f>
        <v>血液と尿中のリンとクレアチニンの濃度に基づいて計算される、リンの部分排泄の測定値。</v>
      </c>
      <c r="I1941" s="3" t="str">
        <f ca="1">IFERROR(__xludf.DUMMYFUNCTION("googletranslate(F1941,""en"",""ja"")"),"リン酸の分別排泄")</f>
        <v>リン酸の分別排泄</v>
      </c>
    </row>
    <row r="1942" spans="1:9">
      <c r="A1942" s="3" t="s">
        <v>6</v>
      </c>
      <c r="B1942" s="3" t="s">
        <v>8144</v>
      </c>
      <c r="C1942" s="3" t="s">
        <v>8145</v>
      </c>
      <c r="D1942" s="3" t="s">
        <v>8145</v>
      </c>
      <c r="E1942" s="3" t="s">
        <v>8146</v>
      </c>
      <c r="F1942" s="3" t="s">
        <v>8147</v>
      </c>
      <c r="G1942" s="3" t="str">
        <f ca="1">IFERROR(__xludf.DUMMYFUNCTION("googletranslate(D1942,""en"",""ja"")"),"フェリチン")</f>
        <v>フェリチン</v>
      </c>
      <c r="H1942" s="3" t="str">
        <f ca="1">IFERROR(__xludf.DUMMYFUNCTION("googletranslate(E1942,""en"",""ja"")"),"生物学的標本中のフェリチンの測定。")</f>
        <v>生物学的標本中のフェリチンの測定。</v>
      </c>
      <c r="I1942" s="3" t="str">
        <f ca="1">IFERROR(__xludf.DUMMYFUNCTION("googletranslate(F1942,""en"",""ja"")"),"フェリチン測定")</f>
        <v>フェリチン測定</v>
      </c>
    </row>
    <row r="1943" spans="1:9">
      <c r="A1943" s="3" t="s">
        <v>490</v>
      </c>
      <c r="B1943" s="3" t="s">
        <v>8148</v>
      </c>
      <c r="C1943" s="3" t="s">
        <v>8149</v>
      </c>
      <c r="D1943" s="3" t="s">
        <v>8149</v>
      </c>
      <c r="E1943" s="3" t="s">
        <v>8150</v>
      </c>
      <c r="F1943" s="3" t="s">
        <v>8149</v>
      </c>
      <c r="G1943" s="3" t="str">
        <f ca="1">IFERROR(__xludf.DUMMYFUNCTION("googletranslate(D1943,""en"",""ja"")"),"強制呼気時間")</f>
        <v>強制呼気時間</v>
      </c>
      <c r="H1943" s="3" t="str">
        <f ca="1">IFERROR(__xludf.DUMMYFUNCTION("googletranslate(E1943,""en"",""ja"")"),"肺から空気を完全に吐き出すのにかかる時間。")</f>
        <v>肺から空気を完全に吐き出すのにかかる時間。</v>
      </c>
      <c r="I1943" s="3" t="str">
        <f ca="1">IFERROR(__xludf.DUMMYFUNCTION("googletranslate(F1943,""en"",""ja"")"),"強制呼気時間")</f>
        <v>強制呼気時間</v>
      </c>
    </row>
    <row r="1944" spans="1:9" ht="45">
      <c r="A1944" s="3" t="s">
        <v>142</v>
      </c>
      <c r="B1944" s="3" t="s">
        <v>8151</v>
      </c>
      <c r="C1944" s="3" t="s">
        <v>8152</v>
      </c>
      <c r="D1944" s="3" t="s">
        <v>8152</v>
      </c>
      <c r="E1944" s="3" t="s">
        <v>8153</v>
      </c>
      <c r="F1944" s="3" t="s">
        <v>8152</v>
      </c>
      <c r="G1944" s="3" t="str">
        <f ca="1">IFERROR(__xludf.DUMMYFUNCTION("googletranslate(D1944,""en"",""ja"")"),"晩期胎児死亡数")</f>
        <v>晩期胎児死亡数</v>
      </c>
      <c r="H1944" s="3" t="str">
        <f ca="1">IFERROR(__xludf.DUMMYFUNCTION("googletranslate(E1944,""en"",""ja"")"),"女性被験者が経験した胎児死亡（妊娠 16 週 0 日から 19 週 6 日までの胎児の死亡）の総数の測定値。")</f>
        <v>女性被験者が経験した胎児死亡（妊娠 16 週 0 日から 19 週 6 日までの胎児の死亡）の総数の測定値。</v>
      </c>
      <c r="I1944" s="3" t="str">
        <f ca="1">IFERROR(__xludf.DUMMYFUNCTION("googletranslate(F1944,""en"",""ja"")"),"晩期胎児死亡数")</f>
        <v>晩期胎児死亡数</v>
      </c>
    </row>
    <row r="1945" spans="1:9" ht="30">
      <c r="A1945" s="3" t="s">
        <v>490</v>
      </c>
      <c r="B1945" s="3" t="s">
        <v>8154</v>
      </c>
      <c r="C1945" s="3" t="s">
        <v>8155</v>
      </c>
      <c r="D1945" s="3" t="s">
        <v>8155</v>
      </c>
      <c r="E1945" s="3" t="s">
        <v>8156</v>
      </c>
      <c r="F1945" s="3" t="s">
        <v>8155</v>
      </c>
      <c r="G1945" s="3" t="str">
        <f ca="1">IFERROR(__xludf.DUMMYFUNCTION("googletranslate(D1945,""en"",""ja"")"),"0.05秒間の努力呼気量")</f>
        <v>0.05秒間の努力呼気量</v>
      </c>
      <c r="H1945" s="3" t="str">
        <f ca="1">IFERROR(__xludf.DUMMYFUNCTION("googletranslate(E1945,""en"",""ja"")"),"最大限に吸入した後の最初の0.05秒間に強制的に吐き出すことができる空気の量。")</f>
        <v>最大限に吸入した後の最初の0.05秒間に強制的に吐き出すことができる空気の量。</v>
      </c>
      <c r="I1945" s="3" t="str">
        <f ca="1">IFERROR(__xludf.DUMMYFUNCTION("googletranslate(F1945,""en"",""ja"")"),"0.05秒間の努力呼気量")</f>
        <v>0.05秒間の努力呼気量</v>
      </c>
    </row>
    <row r="1946" spans="1:9" ht="30">
      <c r="A1946" s="3" t="s">
        <v>490</v>
      </c>
      <c r="B1946" s="3" t="s">
        <v>8157</v>
      </c>
      <c r="C1946" s="3" t="s">
        <v>8158</v>
      </c>
      <c r="D1946" s="3" t="s">
        <v>8158</v>
      </c>
      <c r="E1946" s="3" t="s">
        <v>8159</v>
      </c>
      <c r="F1946" s="3" t="s">
        <v>8158</v>
      </c>
      <c r="G1946" s="3" t="str">
        <f ca="1">IFERROR(__xludf.DUMMYFUNCTION("googletranslate(D1946,""en"",""ja"")"),"0.1秒間の努力呼気量")</f>
        <v>0.1秒間の努力呼気量</v>
      </c>
      <c r="H1946" s="3" t="str">
        <f ca="1">IFERROR(__xludf.DUMMYFUNCTION("googletranslate(E1946,""en"",""ja"")"),"最大限に吸い込んだ後の最初の0.1秒間に強制的に吐き出すことができる空気の量。")</f>
        <v>最大限に吸い込んだ後の最初の0.1秒間に強制的に吐き出すことができる空気の量。</v>
      </c>
      <c r="I1946" s="3" t="str">
        <f ca="1">IFERROR(__xludf.DUMMYFUNCTION("googletranslate(F1946,""en"",""ja"")"),"0.1秒間の努力呼気量")</f>
        <v>0.1秒間の努力呼気量</v>
      </c>
    </row>
    <row r="1947" spans="1:9" ht="30">
      <c r="A1947" s="3" t="s">
        <v>490</v>
      </c>
      <c r="B1947" s="3" t="s">
        <v>8160</v>
      </c>
      <c r="C1947" s="3" t="s">
        <v>8161</v>
      </c>
      <c r="D1947" s="3" t="s">
        <v>8161</v>
      </c>
      <c r="E1947" s="3" t="s">
        <v>8162</v>
      </c>
      <c r="F1947" s="3" t="s">
        <v>8161</v>
      </c>
      <c r="G1947" s="3" t="str">
        <f ca="1">IFERROR(__xludf.DUMMYFUNCTION("googletranslate(D1947,""en"",""ja"")"),"0.2秒間の努力呼気量")</f>
        <v>0.2秒間の努力呼気量</v>
      </c>
      <c r="H1947" s="3" t="str">
        <f ca="1">IFERROR(__xludf.DUMMYFUNCTION("googletranslate(E1947,""en"",""ja"")"),"最大限に吸い込んだ後の最初の0.2秒間に強制的に吐き出すことができる空気の量。")</f>
        <v>最大限に吸い込んだ後の最初の0.2秒間に強制的に吐き出すことができる空気の量。</v>
      </c>
      <c r="I1947" s="3" t="str">
        <f ca="1">IFERROR(__xludf.DUMMYFUNCTION("googletranslate(F1947,""en"",""ja"")"),"0.2秒間の努力呼気量")</f>
        <v>0.2秒間の努力呼気量</v>
      </c>
    </row>
    <row r="1948" spans="1:9" ht="30">
      <c r="A1948" s="3" t="s">
        <v>490</v>
      </c>
      <c r="B1948" s="3" t="s">
        <v>8163</v>
      </c>
      <c r="C1948" s="3" t="s">
        <v>8164</v>
      </c>
      <c r="D1948" s="3" t="s">
        <v>8164</v>
      </c>
      <c r="E1948" s="3" t="s">
        <v>8165</v>
      </c>
      <c r="F1948" s="3" t="s">
        <v>8164</v>
      </c>
      <c r="G1948" s="3" t="str">
        <f ca="1">IFERROR(__xludf.DUMMYFUNCTION("googletranslate(D1948,""en"",""ja"")"),"0.5秒間の努力呼気量")</f>
        <v>0.5秒間の努力呼気量</v>
      </c>
      <c r="H1948" s="3" t="str">
        <f ca="1">IFERROR(__xludf.DUMMYFUNCTION("googletranslate(E1948,""en"",""ja"")"),"最大限に吸い込んだ後の最初の0.5秒間に強制的に吐き出すことができる空気の量。")</f>
        <v>最大限に吸い込んだ後の最初の0.5秒間に強制的に吐き出すことができる空気の量。</v>
      </c>
      <c r="I1948" s="3" t="str">
        <f ca="1">IFERROR(__xludf.DUMMYFUNCTION("googletranslate(F1948,""en"",""ja"")"),"0.5秒間の努力呼気量")</f>
        <v>0.5秒間の努力呼気量</v>
      </c>
    </row>
    <row r="1949" spans="1:9" ht="30">
      <c r="A1949" s="3" t="s">
        <v>490</v>
      </c>
      <c r="B1949" s="3" t="s">
        <v>8166</v>
      </c>
      <c r="C1949" s="3" t="s">
        <v>8167</v>
      </c>
      <c r="D1949" s="3" t="s">
        <v>8167</v>
      </c>
      <c r="E1949" s="3" t="s">
        <v>8168</v>
      </c>
      <c r="F1949" s="3" t="s">
        <v>8167</v>
      </c>
      <c r="G1949" s="3" t="str">
        <f ca="1">IFERROR(__xludf.DUMMYFUNCTION("googletranslate(D1949,""en"",""ja"")"),"0.75秒間の努力呼気量")</f>
        <v>0.75秒間の努力呼気量</v>
      </c>
      <c r="H1949" s="3" t="str">
        <f ca="1">IFERROR(__xludf.DUMMYFUNCTION("googletranslate(E1949,""en"",""ja"")"),"最大限に吸入した後の最初の 0.75 秒間に強制的に吐き出すことができる空気の量。")</f>
        <v>最大限に吸入した後の最初の 0.75 秒間に強制的に吐き出すことができる空気の量。</v>
      </c>
      <c r="I1949" s="3" t="str">
        <f ca="1">IFERROR(__xludf.DUMMYFUNCTION("googletranslate(F1949,""en"",""ja"")"),"0.75秒間の努力呼気量")</f>
        <v>0.75秒間の努力呼気量</v>
      </c>
    </row>
    <row r="1950" spans="1:9" ht="30">
      <c r="A1950" s="3" t="s">
        <v>490</v>
      </c>
      <c r="B1950" s="3" t="s">
        <v>8169</v>
      </c>
      <c r="C1950" s="3" t="s">
        <v>8170</v>
      </c>
      <c r="D1950" s="3" t="s">
        <v>8171</v>
      </c>
      <c r="E1950" s="3" t="s">
        <v>8172</v>
      </c>
      <c r="F1950" s="3" t="s">
        <v>8173</v>
      </c>
      <c r="G1950" s="3" t="str">
        <f ca="1">IFERROR(__xludf.DUMMYFUNCTION("googletranslate(D1950,""en"",""ja"")"),"PEFでのFEV。最大呼気流量における努力呼気量")</f>
        <v>PEFでのFEV。最大呼気流量における努力呼気量</v>
      </c>
      <c r="H1950" s="3" t="str">
        <f ca="1">IFERROR(__xludf.DUMMYFUNCTION("googletranslate(E1950,""en"",""ja"")"),"呼気流量のピーク時に強制的に吐き出されるガスの量。")</f>
        <v>呼気流量のピーク時に強制的に吐き出されるガスの量。</v>
      </c>
      <c r="I1950" s="3" t="str">
        <f ca="1">IFERROR(__xludf.DUMMYFUNCTION("googletranslate(F1950,""en"",""ja"")"),"最大呼気流量における努力呼気量")</f>
        <v>最大呼気流量における努力呼気量</v>
      </c>
    </row>
    <row r="1951" spans="1:9" ht="30">
      <c r="A1951" s="3" t="s">
        <v>490</v>
      </c>
      <c r="B1951" s="3" t="s">
        <v>8174</v>
      </c>
      <c r="C1951" s="3" t="s">
        <v>8175</v>
      </c>
      <c r="D1951" s="3" t="s">
        <v>8175</v>
      </c>
      <c r="E1951" s="3" t="s">
        <v>8176</v>
      </c>
      <c r="F1951" s="3" t="s">
        <v>8175</v>
      </c>
      <c r="G1951" s="3" t="str">
        <f ca="1">IFERROR(__xludf.DUMMYFUNCTION("googletranslate(D1951,""en"",""ja"")"),"1秒間の努力呼気量")</f>
        <v>1秒間の努力呼気量</v>
      </c>
      <c r="H1951" s="3" t="str">
        <f ca="1">IFERROR(__xludf.DUMMYFUNCTION("googletranslate(E1951,""en"",""ja"")"),"最大限に吸入した後の最初の 1 秒間に強制的に吐き出すことができる空気の量。")</f>
        <v>最大限に吸入した後の最初の 1 秒間に強制的に吐き出すことができる空気の量。</v>
      </c>
      <c r="I1951" s="3" t="str">
        <f ca="1">IFERROR(__xludf.DUMMYFUNCTION("googletranslate(F1951,""en"",""ja"")"),"1秒間の努力呼気量")</f>
        <v>1秒間の努力呼気量</v>
      </c>
    </row>
    <row r="1952" spans="1:9" ht="60">
      <c r="A1952" s="3" t="s">
        <v>490</v>
      </c>
      <c r="B1952" s="3" t="s">
        <v>8177</v>
      </c>
      <c r="C1952" s="3" t="s">
        <v>8178</v>
      </c>
      <c r="D1952" s="3" t="s">
        <v>8178</v>
      </c>
      <c r="E1952" s="3" t="s">
        <v>8179</v>
      </c>
      <c r="F1952" s="3" t="s">
        <v>8180</v>
      </c>
      <c r="G1952" s="3" t="str">
        <f ca="1">IFERROR(__xludf.DUMMYFUNCTION("googletranslate(D1952,""en"",""ja"")"),"FEV1/FVC")</f>
        <v>FEV1/FVC</v>
      </c>
      <c r="H1952" s="3" t="str">
        <f ca="1">IFERROR(__xludf.DUMMYFUNCTION("googletranslate(E1952,""en"",""ja"")"),"努力肺活量操作中に観察された最大呼気量に対する、呼気の最初の 1 秒間の努力呼気量の相対測定値 (比率またはパーセンテージ)。")</f>
        <v>努力肺活量操作中に観察された最大呼気量に対する、呼気の最初の 1 秒間の努力呼気量の相対測定値 (比率またはパーセンテージ)。</v>
      </c>
      <c r="I1952" s="3" t="str">
        <f ca="1">IFERROR(__xludf.DUMMYFUNCTION("googletranslate(F1952,""en"",""ja"")"),"1秒間の努力呼気量と努力性肺活量の比の測定")</f>
        <v>1秒間の努力呼気量と努力性肺活量の比の測定</v>
      </c>
    </row>
    <row r="1953" spans="1:9" ht="60">
      <c r="A1953" s="3" t="s">
        <v>490</v>
      </c>
      <c r="B1953" s="3" t="s">
        <v>8181</v>
      </c>
      <c r="C1953" s="3" t="s">
        <v>8182</v>
      </c>
      <c r="D1953" s="3" t="s">
        <v>8182</v>
      </c>
      <c r="E1953" s="3" t="s">
        <v>8183</v>
      </c>
      <c r="F1953" s="3" t="s">
        <v>8184</v>
      </c>
      <c r="G1953" s="3" t="str">
        <f ca="1">IFERROR(__xludf.DUMMYFUNCTION("googletranslate(D1953,""en"",""ja"")"),"FEV1/FVC6")</f>
        <v>FEV1/FVC6</v>
      </c>
      <c r="H1953" s="3" t="str">
        <f ca="1">IFERROR(__xludf.DUMMYFUNCTION("googletranslate(E1953,""en"",""ja"")"),"努力肺活量操作の最初の 6 秒間に観察された呼気量に対する、呼気の最初の 1 秒間の努力呼気量の相対測定値 (比率またはパーセンテージ)。")</f>
        <v>努力肺活量操作の最初の 6 秒間に観察された呼気量に対する、呼気の最初の 1 秒間の努力呼気量の相対測定値 (比率またはパーセンテージ)。</v>
      </c>
      <c r="I1953" s="3" t="str">
        <f ca="1">IFERROR(__xludf.DUMMYFUNCTION("googletranslate(F1953,""en"",""ja"")"),"1秒間の努力呼気量と6秒間の努力肺活量")</f>
        <v>1秒間の努力呼気量と6秒間の努力肺活量</v>
      </c>
    </row>
    <row r="1954" spans="1:9" ht="45">
      <c r="A1954" s="3" t="s">
        <v>490</v>
      </c>
      <c r="B1954" s="3" t="s">
        <v>8185</v>
      </c>
      <c r="C1954" s="3" t="s">
        <v>8186</v>
      </c>
      <c r="D1954" s="3" t="s">
        <v>8186</v>
      </c>
      <c r="E1954" s="3" t="s">
        <v>8187</v>
      </c>
      <c r="F1954" s="3" t="s">
        <v>8188</v>
      </c>
      <c r="G1954" s="3" t="str">
        <f ca="1">IFERROR(__xludf.DUMMYFUNCTION("googletranslate(D1954,""en"",""ja"")"),"予測FEV1/FVCのパーセント")</f>
        <v>予測FEV1/FVCのパーセント</v>
      </c>
      <c r="H1954" s="3" t="str">
        <f ca="1">IFERROR(__xludf.DUMMYFUNCTION("googletranslate(E1954,""en"",""ja"")"),"予測された正常値に対する FEV1/FVC の測定値 (比率またはパーセンテージ)。")</f>
        <v>予測された正常値に対する FEV1/FVC の測定値 (比率またはパーセンテージ)。</v>
      </c>
      <c r="I1954" s="3" t="str">
        <f ca="1">IFERROR(__xludf.DUMMYFUNCTION("googletranslate(F1954,""en"",""ja"")"),"1 秒間の予測努力呼気量を努力肺活量で割ったパーセント")</f>
        <v>1 秒間の予測努力呼気量を努力肺活量で割ったパーセント</v>
      </c>
    </row>
    <row r="1955" spans="1:9" ht="30">
      <c r="A1955" s="3" t="s">
        <v>490</v>
      </c>
      <c r="B1955" s="3" t="s">
        <v>8189</v>
      </c>
      <c r="C1955" s="3" t="s">
        <v>8190</v>
      </c>
      <c r="D1955" s="3" t="s">
        <v>8190</v>
      </c>
      <c r="E1955" s="3" t="s">
        <v>8191</v>
      </c>
      <c r="F1955" s="3" t="s">
        <v>8192</v>
      </c>
      <c r="G1955" s="3" t="str">
        <f ca="1">IFERROR(__xludf.DUMMYFUNCTION("googletranslate(D1955,""en"",""ja"")"),"予測 FEV1 パーセント")</f>
        <v>予測 FEV1 パーセント</v>
      </c>
      <c r="H1955" s="3" t="str">
        <f ca="1">IFERROR(__xludf.DUMMYFUNCTION("googletranslate(E1955,""en"",""ja"")"),"予測された正常値に対する 1 秒間の努力呼気量の割合。")</f>
        <v>予測された正常値に対する 1 秒間の努力呼気量の割合。</v>
      </c>
      <c r="I1955" s="3" t="str">
        <f ca="1">IFERROR(__xludf.DUMMYFUNCTION("googletranslate(F1955,""en"",""ja"")"),"1 秒間の予測努力呼気量のパーセント")</f>
        <v>1 秒間の予測努力呼気量のパーセント</v>
      </c>
    </row>
    <row r="1956" spans="1:9" ht="30">
      <c r="A1956" s="3" t="s">
        <v>490</v>
      </c>
      <c r="B1956" s="3" t="s">
        <v>8193</v>
      </c>
      <c r="C1956" s="3" t="s">
        <v>8194</v>
      </c>
      <c r="D1956" s="3" t="s">
        <v>8194</v>
      </c>
      <c r="E1956" s="3" t="s">
        <v>8195</v>
      </c>
      <c r="F1956" s="3" t="s">
        <v>8196</v>
      </c>
      <c r="G1956" s="3" t="str">
        <f ca="1">IFERROR(__xludf.DUMMYFUNCTION("googletranslate(D1956,""en"",""ja"")"),"FEV1 可逆性")</f>
        <v>FEV1 可逆性</v>
      </c>
      <c r="H1956" s="3" t="str">
        <f ca="1">IFERROR(__xludf.DUMMYFUNCTION("googletranslate(E1956,""en"",""ja"")"),"治療前の FEV1 値に対する気管支拡張薬投与後の FEV1 の変化。")</f>
        <v>治療前の FEV1 値に対する気管支拡張薬投与後の FEV1 の変化。</v>
      </c>
      <c r="I1956" s="3" t="str">
        <f ca="1">IFERROR(__xludf.DUMMYFUNCTION("googletranslate(F1956,""en"",""ja"")"),"1秒間の努力呼気量の可逆性")</f>
        <v>1秒間の努力呼気量の可逆性</v>
      </c>
    </row>
    <row r="1957" spans="1:9" ht="60">
      <c r="A1957" s="3" t="s">
        <v>490</v>
      </c>
      <c r="B1957" s="3" t="s">
        <v>8197</v>
      </c>
      <c r="C1957" s="3" t="s">
        <v>8198</v>
      </c>
      <c r="D1957" s="3" t="s">
        <v>8198</v>
      </c>
      <c r="E1957" s="3" t="s">
        <v>8199</v>
      </c>
      <c r="F1957" s="3" t="s">
        <v>8200</v>
      </c>
      <c r="G1957" s="3" t="str">
        <f ca="1">IFERROR(__xludf.DUMMYFUNCTION("googletranslate(D1957,""en"",""ja"")"),"FEV1/SVC")</f>
        <v>FEV1/SVC</v>
      </c>
      <c r="H1957" s="3" t="str">
        <f ca="1">IFERROR(__xludf.DUMMYFUNCTION("googletranslate(E1957,""en"",""ja"")"),"ゆっくりとした肺活量操作中に観察された最大呼気量に対する、呼気の最初の 1 秒間の努力呼気量の相対測定値 (比率またはパーセンテージ)。")</f>
        <v>ゆっくりとした肺活量操作中に観察された最大呼気量に対する、呼気の最初の 1 秒間の努力呼気量の相対測定値 (比率またはパーセンテージ)。</v>
      </c>
      <c r="I1957" s="3" t="str">
        <f ca="1">IFERROR(__xludf.DUMMYFUNCTION("googletranslate(F1957,""en"",""ja"")"),"1秒間の努力呼気量とスロー肺活量比の測定")</f>
        <v>1秒間の努力呼気量とスロー肺活量比の測定</v>
      </c>
    </row>
    <row r="1958" spans="1:9" ht="30">
      <c r="A1958" s="3" t="s">
        <v>490</v>
      </c>
      <c r="B1958" s="3" t="s">
        <v>8201</v>
      </c>
      <c r="C1958" s="3" t="s">
        <v>8202</v>
      </c>
      <c r="D1958" s="3" t="s">
        <v>8202</v>
      </c>
      <c r="E1958" s="3" t="s">
        <v>8203</v>
      </c>
      <c r="F1958" s="3" t="s">
        <v>8202</v>
      </c>
      <c r="G1958" s="3" t="str">
        <f ca="1">IFERROR(__xludf.DUMMYFUNCTION("googletranslate(D1958,""en"",""ja"")"),"3秒間の努力呼気量")</f>
        <v>3秒間の努力呼気量</v>
      </c>
      <c r="H1958" s="3" t="str">
        <f ca="1">IFERROR(__xludf.DUMMYFUNCTION("googletranslate(E1958,""en"",""ja"")"),"最大限に吸い込んだ後の最初の 3 秒間に強制的に吐き出すことができる空気の量。")</f>
        <v>最大限に吸い込んだ後の最初の 3 秒間に強制的に吐き出すことができる空気の量。</v>
      </c>
      <c r="I1958" s="3" t="str">
        <f ca="1">IFERROR(__xludf.DUMMYFUNCTION("googletranslate(F1958,""en"",""ja"")"),"3秒間の努力呼気量")</f>
        <v>3秒間の努力呼気量</v>
      </c>
    </row>
    <row r="1959" spans="1:9" ht="60">
      <c r="A1959" s="3" t="s">
        <v>490</v>
      </c>
      <c r="B1959" s="3" t="s">
        <v>8204</v>
      </c>
      <c r="C1959" s="3" t="s">
        <v>8205</v>
      </c>
      <c r="D1959" s="3" t="s">
        <v>8205</v>
      </c>
      <c r="E1959" s="3" t="s">
        <v>8206</v>
      </c>
      <c r="F1959" s="3" t="s">
        <v>8207</v>
      </c>
      <c r="G1959" s="3" t="str">
        <f ca="1">IFERROR(__xludf.DUMMYFUNCTION("googletranslate(D1959,""en"",""ja"")"),"FEV3/FVC")</f>
        <v>FEV3/FVC</v>
      </c>
      <c r="H1959" s="3" t="str">
        <f ca="1">IFERROR(__xludf.DUMMYFUNCTION("googletranslate(E1959,""en"",""ja"")"),"努力肺活量操作中に観察された最大呼気量に対する、呼気の最初の 3 秒間の努力呼気量の相対測定値 (比率またはパーセンテージ)。")</f>
        <v>努力肺活量操作中に観察された最大呼気量に対する、呼気の最初の 3 秒間の努力呼気量の相対測定値 (比率またはパーセンテージ)。</v>
      </c>
      <c r="I1959" s="3" t="str">
        <f ca="1">IFERROR(__xludf.DUMMYFUNCTION("googletranslate(F1959,""en"",""ja"")"),"3秒間の努力呼気量対努力肺活量比測定")</f>
        <v>3秒間の努力呼気量対努力肺活量比測定</v>
      </c>
    </row>
    <row r="1960" spans="1:9" ht="30">
      <c r="A1960" s="3" t="s">
        <v>490</v>
      </c>
      <c r="B1960" s="3" t="s">
        <v>8208</v>
      </c>
      <c r="C1960" s="3" t="s">
        <v>8209</v>
      </c>
      <c r="D1960" s="3" t="s">
        <v>8209</v>
      </c>
      <c r="E1960" s="3" t="s">
        <v>8210</v>
      </c>
      <c r="F1960" s="3" t="s">
        <v>8211</v>
      </c>
      <c r="G1960" s="3" t="str">
        <f ca="1">IFERROR(__xludf.DUMMYFUNCTION("googletranslate(D1960,""en"",""ja"")"),"予測 FEV3 パーセント")</f>
        <v>予測 FEV3 パーセント</v>
      </c>
      <c r="H1960" s="3" t="str">
        <f ca="1">IFERROR(__xludf.DUMMYFUNCTION("googletranslate(E1960,""en"",""ja"")"),"予測された正常値に対する 3 秒間の努力呼気量の割合。")</f>
        <v>予測された正常値に対する 3 秒間の努力呼気量の割合。</v>
      </c>
      <c r="I1960" s="3" t="str">
        <f ca="1">IFERROR(__xludf.DUMMYFUNCTION("googletranslate(F1960,""en"",""ja"")"),"3 秒間の予測努力呼気量のパーセント")</f>
        <v>3 秒間の予測努力呼気量のパーセント</v>
      </c>
    </row>
    <row r="1961" spans="1:9" ht="30">
      <c r="A1961" s="3" t="s">
        <v>490</v>
      </c>
      <c r="B1961" s="3" t="s">
        <v>8212</v>
      </c>
      <c r="C1961" s="3" t="s">
        <v>8213</v>
      </c>
      <c r="D1961" s="3" t="s">
        <v>8213</v>
      </c>
      <c r="E1961" s="3" t="s">
        <v>8214</v>
      </c>
      <c r="F1961" s="3" t="s">
        <v>8213</v>
      </c>
      <c r="G1961" s="3" t="str">
        <f ca="1">IFERROR(__xludf.DUMMYFUNCTION("googletranslate(D1961,""en"",""ja"")"),"6秒間の努力呼気量")</f>
        <v>6秒間の努力呼気量</v>
      </c>
      <c r="H1961" s="3" t="str">
        <f ca="1">IFERROR(__xludf.DUMMYFUNCTION("googletranslate(E1961,""en"",""ja"")"),"最大限に吸入した後の最初の 6 秒間に強制的に吐き出すことができる空気の量。")</f>
        <v>最大限に吸入した後の最初の 6 秒間に強制的に吐き出すことができる空気の量。</v>
      </c>
      <c r="I1961" s="3" t="str">
        <f ca="1">IFERROR(__xludf.DUMMYFUNCTION("googletranslate(F1961,""en"",""ja"")"),"6秒間の努力呼気量")</f>
        <v>6秒間の努力呼気量</v>
      </c>
    </row>
    <row r="1962" spans="1:9" ht="30">
      <c r="A1962" s="3" t="s">
        <v>490</v>
      </c>
      <c r="B1962" s="3" t="s">
        <v>8215</v>
      </c>
      <c r="C1962" s="3" t="s">
        <v>8216</v>
      </c>
      <c r="D1962" s="3" t="s">
        <v>8216</v>
      </c>
      <c r="E1962" s="3" t="s">
        <v>8217</v>
      </c>
      <c r="F1962" s="3" t="s">
        <v>8218</v>
      </c>
      <c r="G1962" s="3" t="str">
        <f ca="1">IFERROR(__xludf.DUMMYFUNCTION("googletranslate(D1962,""en"",""ja"")"),"予測 FEV6 パーセント")</f>
        <v>予測 FEV6 パーセント</v>
      </c>
      <c r="H1962" s="3" t="str">
        <f ca="1">IFERROR(__xludf.DUMMYFUNCTION("googletranslate(E1962,""en"",""ja"")"),"予測された正常値に対する 6 秒間の努力呼気量の割合。")</f>
        <v>予測された正常値に対する 6 秒間の努力呼気量の割合。</v>
      </c>
      <c r="I1962" s="3" t="str">
        <f ca="1">IFERROR(__xludf.DUMMYFUNCTION("googletranslate(F1962,""en"",""ja"")"),"6 秒間の予測努力呼気量のパーセント")</f>
        <v>6 秒間の予測努力呼気量のパーセント</v>
      </c>
    </row>
    <row r="1963" spans="1:9" ht="30">
      <c r="A1963" s="3" t="s">
        <v>6</v>
      </c>
      <c r="B1963" s="3" t="s">
        <v>8219</v>
      </c>
      <c r="C1963" s="3" t="s">
        <v>8220</v>
      </c>
      <c r="D1963" s="3" t="s">
        <v>8221</v>
      </c>
      <c r="E1963" s="3" t="s">
        <v>8222</v>
      </c>
      <c r="F1963" s="3" t="s">
        <v>8223</v>
      </c>
      <c r="G1963" s="3" t="str">
        <f ca="1">IFERROR(__xludf.DUMMYFUNCTION("googletranslate(D1963,""en"",""ja"")"),"FGF19;線維芽細胞成長因子 19")</f>
        <v>FGF19;線維芽細胞成長因子 19</v>
      </c>
      <c r="H1963" s="3" t="str">
        <f ca="1">IFERROR(__xludf.DUMMYFUNCTION("googletranslate(E1963,""en"",""ja"")"),"生物学的標本中の線維芽細胞成長因子 19 の測定。")</f>
        <v>生物学的標本中の線維芽細胞成長因子 19 の測定。</v>
      </c>
      <c r="I1963" s="3" t="str">
        <f ca="1">IFERROR(__xludf.DUMMYFUNCTION("googletranslate(F1963,""en"",""ja"")"),"線維芽細胞増殖因子 19 の測定")</f>
        <v>線維芽細胞増殖因子 19 の測定</v>
      </c>
    </row>
    <row r="1964" spans="1:9" ht="30">
      <c r="A1964" s="3" t="s">
        <v>6</v>
      </c>
      <c r="B1964" s="3" t="s">
        <v>8224</v>
      </c>
      <c r="C1964" s="3" t="s">
        <v>8225</v>
      </c>
      <c r="D1964" s="3" t="s">
        <v>8226</v>
      </c>
      <c r="E1964" s="3" t="s">
        <v>8227</v>
      </c>
      <c r="F1964" s="3" t="s">
        <v>8228</v>
      </c>
      <c r="G1964" s="3" t="str">
        <f ca="1">IFERROR(__xludf.DUMMYFUNCTION("googletranslate(D1964,""en"",""ja"")"),"FGF21;線維芽細胞成長因子 21")</f>
        <v>FGF21;線維芽細胞成長因子 21</v>
      </c>
      <c r="H1964" s="3" t="str">
        <f ca="1">IFERROR(__xludf.DUMMYFUNCTION("googletranslate(E1964,""en"",""ja"")"),"生物学的標本中の線維芽細胞成長因子 21 の測定。")</f>
        <v>生物学的標本中の線維芽細胞成長因子 21 の測定。</v>
      </c>
      <c r="I1964" s="3" t="str">
        <f ca="1">IFERROR(__xludf.DUMMYFUNCTION("googletranslate(F1964,""en"",""ja"")"),"線維芽細胞増殖因子 21 の測定")</f>
        <v>線維芽細胞増殖因子 21 の測定</v>
      </c>
    </row>
    <row r="1965" spans="1:9" ht="30">
      <c r="A1965" s="3" t="s">
        <v>6</v>
      </c>
      <c r="B1965" s="3" t="s">
        <v>8229</v>
      </c>
      <c r="C1965" s="3" t="s">
        <v>8230</v>
      </c>
      <c r="D1965" s="3" t="s">
        <v>8231</v>
      </c>
      <c r="E1965" s="3" t="s">
        <v>8232</v>
      </c>
      <c r="F1965" s="3" t="s">
        <v>8233</v>
      </c>
      <c r="G1965" s="3" t="str">
        <f ca="1">IFERROR(__xludf.DUMMYFUNCTION("googletranslate(D1965,""en"",""ja"")"),"線維芽細胞成長因子 23;フォスファトニン")</f>
        <v>線維芽細胞成長因子 23;フォスファトニン</v>
      </c>
      <c r="H1965" s="3" t="str">
        <f ca="1">IFERROR(__xludf.DUMMYFUNCTION("googletranslate(E1965,""en"",""ja"")"),"生物学的検体中の総線維芽細胞増殖因子 23 の測定。")</f>
        <v>生物学的検体中の総線維芽細胞増殖因子 23 の測定。</v>
      </c>
      <c r="I1965" s="3" t="str">
        <f ca="1">IFERROR(__xludf.DUMMYFUNCTION("googletranslate(F1965,""en"",""ja"")"),"線維芽細胞増殖因子 23 の測定")</f>
        <v>線維芽細胞増殖因子 23 の測定</v>
      </c>
    </row>
    <row r="1966" spans="1:9" ht="30">
      <c r="A1966" s="3" t="s">
        <v>6</v>
      </c>
      <c r="B1966" s="3" t="s">
        <v>8234</v>
      </c>
      <c r="C1966" s="3" t="s">
        <v>8235</v>
      </c>
      <c r="D1966" s="3" t="s">
        <v>8235</v>
      </c>
      <c r="E1966" s="3" t="s">
        <v>8236</v>
      </c>
      <c r="F1966" s="3" t="s">
        <v>8237</v>
      </c>
      <c r="G1966" s="3" t="str">
        <f ca="1">IFERROR(__xludf.DUMMYFUNCTION("googletranslate(D1966,""en"",""ja"")"),"線維芽細胞成長因子 23、C 末端")</f>
        <v>線維芽細胞成長因子 23、C 末端</v>
      </c>
      <c r="H1966" s="3" t="str">
        <f ca="1">IFERROR(__xludf.DUMMYFUNCTION("googletranslate(E1966,""en"",""ja"")"),"生物学的検体中の C 末端線維芽細胞増殖因子 23 の測定。")</f>
        <v>生物学的検体中の C 末端線維芽細胞増殖因子 23 の測定。</v>
      </c>
      <c r="I1966" s="3" t="str">
        <f ca="1">IFERROR(__xludf.DUMMYFUNCTION("googletranslate(F1966,""en"",""ja"")"),"C末端線維芽細胞増殖因子23の測定")</f>
        <v>C末端線維芽細胞増殖因子23の測定</v>
      </c>
    </row>
    <row r="1967" spans="1:9" ht="30">
      <c r="A1967" s="3" t="s">
        <v>6</v>
      </c>
      <c r="B1967" s="3" t="s">
        <v>8238</v>
      </c>
      <c r="C1967" s="3" t="s">
        <v>8239</v>
      </c>
      <c r="D1967" s="3" t="s">
        <v>8239</v>
      </c>
      <c r="E1967" s="3" t="s">
        <v>8240</v>
      </c>
      <c r="F1967" s="3" t="s">
        <v>8241</v>
      </c>
      <c r="G1967" s="3" t="str">
        <f ca="1">IFERROR(__xludf.DUMMYFUNCTION("googletranslate(D1967,""en"",""ja"")"),"線維芽細胞成長因子 23、無傷")</f>
        <v>線維芽細胞成長因子 23、無傷</v>
      </c>
      <c r="H1967" s="3" t="str">
        <f ca="1">IFERROR(__xludf.DUMMYFUNCTION("googletranslate(E1967,""en"",""ja"")"),"生物学的標本中の無傷の線維芽細胞成長因子 23 の測定。")</f>
        <v>生物学的標本中の無傷の線維芽細胞成長因子 23 の測定。</v>
      </c>
      <c r="I1967" s="3" t="str">
        <f ca="1">IFERROR(__xludf.DUMMYFUNCTION("googletranslate(F1967,""en"",""ja"")"),"インタクトな線維芽細胞増殖因子 23 の測定")</f>
        <v>インタクトな線維芽細胞増殖因子 23 の測定</v>
      </c>
    </row>
    <row r="1968" spans="1:9" ht="30">
      <c r="A1968" s="3" t="s">
        <v>6</v>
      </c>
      <c r="B1968" s="3" t="s">
        <v>8242</v>
      </c>
      <c r="C1968" s="3" t="s">
        <v>8243</v>
      </c>
      <c r="D1968" s="3" t="s">
        <v>8244</v>
      </c>
      <c r="E1968" s="3" t="s">
        <v>8245</v>
      </c>
      <c r="F1968" s="3" t="s">
        <v>8246</v>
      </c>
      <c r="G1968" s="3" t="str">
        <f ca="1">IFERROR(__xludf.DUMMYFUNCTION("googletranslate(D1968,""en"",""ja"")"),"FGF9;線維芽細胞成長因子 9")</f>
        <v>FGF9;線維芽細胞成長因子 9</v>
      </c>
      <c r="H1968" s="3" t="str">
        <f ca="1">IFERROR(__xludf.DUMMYFUNCTION("googletranslate(E1968,""en"",""ja"")"),"生物学的標本中の線維芽細胞成長因子 9 の測定。")</f>
        <v>生物学的標本中の線維芽細胞成長因子 9 の測定。</v>
      </c>
      <c r="I1968" s="3" t="str">
        <f ca="1">IFERROR(__xludf.DUMMYFUNCTION("googletranslate(F1968,""en"",""ja"")"),"線維芽細胞増殖因子9の測定")</f>
        <v>線維芽細胞増殖因子9の測定</v>
      </c>
    </row>
    <row r="1969" spans="1:9" ht="30">
      <c r="A1969" s="3" t="s">
        <v>6</v>
      </c>
      <c r="B1969" s="3" t="s">
        <v>8247</v>
      </c>
      <c r="C1969" s="3" t="s">
        <v>8248</v>
      </c>
      <c r="D1969" s="3" t="s">
        <v>8249</v>
      </c>
      <c r="E1969" s="3" t="s">
        <v>8250</v>
      </c>
      <c r="F1969" s="3" t="s">
        <v>8251</v>
      </c>
      <c r="G1969" s="3" t="str">
        <f ca="1">IFERROR(__xludf.DUMMYFUNCTION("googletranslate(D1969,""en"",""ja"")"),"FGF2;線維芽細胞増殖因子の基本形")</f>
        <v>FGF2;線維芽細胞増殖因子の基本形</v>
      </c>
      <c r="H1969" s="3" t="str">
        <f ca="1">IFERROR(__xludf.DUMMYFUNCTION("googletranslate(E1969,""en"",""ja"")"),"生物学的標本中の線維芽細胞増殖因子の基本的な形態の測定。")</f>
        <v>生物学的標本中の線維芽細胞増殖因子の基本的な形態の測定。</v>
      </c>
      <c r="I1969" s="3" t="str">
        <f ca="1">IFERROR(__xludf.DUMMYFUNCTION("googletranslate(F1969,""en"",""ja"")"),"線維芽細胞増殖因子基本形状測定")</f>
        <v>線維芽細胞増殖因子基本形状測定</v>
      </c>
    </row>
    <row r="1970" spans="1:9">
      <c r="A1970" s="3" t="s">
        <v>103</v>
      </c>
      <c r="B1970" s="3" t="s">
        <v>8252</v>
      </c>
      <c r="C1970" s="3" t="s">
        <v>8253</v>
      </c>
      <c r="D1970" s="3" t="s">
        <v>8253</v>
      </c>
      <c r="E1970" s="3" t="s">
        <v>8254</v>
      </c>
      <c r="F1970" s="3" t="s">
        <v>8255</v>
      </c>
      <c r="G1970" s="3" t="str">
        <f ca="1">IFERROR(__xludf.DUMMYFUNCTION("googletranslate(D1970,""en"",""ja"")"),"線維芽細胞")</f>
        <v>線維芽細胞</v>
      </c>
      <c r="H1970" s="3" t="str">
        <f ca="1">IFERROR(__xludf.DUMMYFUNCTION("googletranslate(E1970,""en"",""ja"")"),"生物学的標本中の線維芽細胞の測定。")</f>
        <v>生物学的標本中の線維芽細胞の測定。</v>
      </c>
      <c r="I1970" s="3" t="str">
        <f ca="1">IFERROR(__xludf.DUMMYFUNCTION("googletranslate(F1970,""en"",""ja"")"),"線維芽細胞数")</f>
        <v>線維芽細胞数</v>
      </c>
    </row>
    <row r="1971" spans="1:9" ht="30">
      <c r="A1971" s="3" t="s">
        <v>6</v>
      </c>
      <c r="B1971" s="3" t="s">
        <v>8256</v>
      </c>
      <c r="C1971" s="3" t="s">
        <v>8257</v>
      </c>
      <c r="D1971" s="3" t="s">
        <v>8258</v>
      </c>
      <c r="E1971" s="3" t="s">
        <v>8259</v>
      </c>
      <c r="F1971" s="3" t="s">
        <v>8260</v>
      </c>
      <c r="G1971" s="3" t="str">
        <f ca="1">IFERROR(__xludf.DUMMYFUNCTION("googletranslate(D1971,""en"",""ja"")"),"植物繊維;植物繊維")</f>
        <v>植物繊維;植物繊維</v>
      </c>
      <c r="H1971" s="3" t="str">
        <f ca="1">IFERROR(__xludf.DUMMYFUNCTION("googletranslate(E1971,""en"",""ja"")"),"生体標本中の植物繊維の測定。")</f>
        <v>生体標本中の植物繊維の測定。</v>
      </c>
      <c r="I1971" s="3" t="str">
        <f ca="1">IFERROR(__xludf.DUMMYFUNCTION("googletranslate(F1971,""en"",""ja"")"),"植物繊維測定")</f>
        <v>植物繊維測定</v>
      </c>
    </row>
    <row r="1972" spans="1:9">
      <c r="A1972" s="3" t="s">
        <v>5519</v>
      </c>
      <c r="B1972" s="3" t="s">
        <v>8261</v>
      </c>
      <c r="C1972" s="3" t="s">
        <v>8262</v>
      </c>
      <c r="D1972" s="3" t="s">
        <v>8262</v>
      </c>
      <c r="E1972" s="3" t="s">
        <v>8263</v>
      </c>
      <c r="F1972" s="3" t="s">
        <v>8262</v>
      </c>
      <c r="G1972" s="3" t="str">
        <f ca="1">IFERROR(__xludf.DUMMYFUNCTION("googletranslate(D1972,""en"",""ja"")"),"線維性病変インジケーター")</f>
        <v>線維性病変インジケーター</v>
      </c>
      <c r="H1972" s="3" t="str">
        <f ca="1">IFERROR(__xludf.DUMMYFUNCTION("googletranslate(E1972,""en"",""ja"")"),"線維性病変が存在するかどうかの指標。")</f>
        <v>線維性病変が存在するかどうかの指標。</v>
      </c>
      <c r="I1972" s="3" t="str">
        <f ca="1">IFERROR(__xludf.DUMMYFUNCTION("googletranslate(F1972,""en"",""ja"")"),"線維性病変インジケーター")</f>
        <v>線維性病変インジケーター</v>
      </c>
    </row>
    <row r="1973" spans="1:9" ht="30">
      <c r="A1973" s="3" t="s">
        <v>6</v>
      </c>
      <c r="B1973" s="3" t="s">
        <v>8264</v>
      </c>
      <c r="C1973" s="3" t="s">
        <v>8265</v>
      </c>
      <c r="D1973" s="3" t="s">
        <v>8266</v>
      </c>
      <c r="E1973" s="3" t="s">
        <v>8267</v>
      </c>
      <c r="F1973" s="3" t="s">
        <v>8268</v>
      </c>
      <c r="G1973" s="3" t="str">
        <f ca="1">IFERROR(__xludf.DUMMYFUNCTION("googletranslate(D1973,""en"",""ja"")"),"フィブリンモノマー;可溶性フィブリンモノマー")</f>
        <v>フィブリンモノマー;可溶性フィブリンモノマー</v>
      </c>
      <c r="H1973" s="3" t="str">
        <f ca="1">IFERROR(__xludf.DUMMYFUNCTION("googletranslate(E1973,""en"",""ja"")"),"生物学的標本中のフィブリンモノマーの測定。")</f>
        <v>生物学的標本中のフィブリンモノマーの測定。</v>
      </c>
      <c r="I1973" s="3" t="str">
        <f ca="1">IFERROR(__xludf.DUMMYFUNCTION("googletranslate(F1973,""en"",""ja"")"),"フィブリンモノマーの測定")</f>
        <v>フィブリンモノマーの測定</v>
      </c>
    </row>
    <row r="1974" spans="1:9" ht="30">
      <c r="A1974" s="3" t="s">
        <v>6</v>
      </c>
      <c r="B1974" s="3" t="s">
        <v>8269</v>
      </c>
      <c r="C1974" s="3" t="s">
        <v>8270</v>
      </c>
      <c r="D1974" s="3" t="s">
        <v>8271</v>
      </c>
      <c r="E1974" s="3" t="s">
        <v>8272</v>
      </c>
      <c r="F1974" s="3" t="s">
        <v>8273</v>
      </c>
      <c r="G1974" s="3" t="str">
        <f ca="1">IFERROR(__xludf.DUMMYFUNCTION("googletranslate(D1974,""en"",""ja"")"),"フィブリノーゲン;フィブリノーゲン抗原")</f>
        <v>フィブリノーゲン;フィブリノーゲン抗原</v>
      </c>
      <c r="H1974" s="3" t="str">
        <f ca="1">IFERROR(__xludf.DUMMYFUNCTION("googletranslate(E1974,""en"",""ja"")"),"生物学的標本中の総フィブリノーゲン (機能的および非機能的) の測定。")</f>
        <v>生物学的標本中の総フィブリノーゲン (機能的および非機能的) の測定。</v>
      </c>
      <c r="I1974" s="3" t="str">
        <f ca="1">IFERROR(__xludf.DUMMYFUNCTION("googletranslate(F1974,""en"",""ja"")"),"フィブリノーゲンの測定")</f>
        <v>フィブリノーゲンの測定</v>
      </c>
    </row>
    <row r="1975" spans="1:9" ht="45">
      <c r="A1975" s="3" t="s">
        <v>6</v>
      </c>
      <c r="B1975" s="3" t="s">
        <v>8274</v>
      </c>
      <c r="C1975" s="3" t="s">
        <v>8275</v>
      </c>
      <c r="D1975" s="3" t="s">
        <v>8275</v>
      </c>
      <c r="E1975" s="3" t="s">
        <v>8276</v>
      </c>
      <c r="F1975" s="3" t="s">
        <v>8277</v>
      </c>
      <c r="G1975" s="3" t="str">
        <f ca="1">IFERROR(__xludf.DUMMYFUNCTION("googletranslate(D1975,""en"",""ja"")"),"フィブリノゲン、機能性")</f>
        <v>フィブリノゲン、機能性</v>
      </c>
      <c r="H1975" s="3" t="str">
        <f ca="1">IFERROR(__xludf.DUMMYFUNCTION("googletranslate(E1975,""en"",""ja"")"),"生物学的標本中の機能的フィブリノーゲン (フィブリンに変換できるフィブリノーゲン) の測定。")</f>
        <v>生物学的標本中の機能的フィブリノーゲン (フィブリンに変換できるフィブリノーゲン) の測定。</v>
      </c>
      <c r="I1975" s="3" t="str">
        <f ca="1">IFERROR(__xludf.DUMMYFUNCTION("googletranslate(F1975,""en"",""ja"")"),"機能性フィブリノーゲンの測定")</f>
        <v>機能性フィブリノーゲンの測定</v>
      </c>
    </row>
    <row r="1976" spans="1:9">
      <c r="A1976" s="3" t="s">
        <v>6</v>
      </c>
      <c r="B1976" s="3" t="s">
        <v>8278</v>
      </c>
      <c r="C1976" s="3" t="s">
        <v>8279</v>
      </c>
      <c r="D1976" s="3" t="s">
        <v>8280</v>
      </c>
      <c r="E1976" s="3" t="s">
        <v>8281</v>
      </c>
      <c r="F1976" s="3" t="s">
        <v>8282</v>
      </c>
      <c r="G1976" s="3" t="str">
        <f ca="1">IFERROR(__xludf.DUMMYFUNCTION("googletranslate(D1976,""en"",""ja"")"),"FCN3;フィコリン-3")</f>
        <v>FCN3;フィコリン-3</v>
      </c>
      <c r="H1976" s="3" t="str">
        <f ca="1">IFERROR(__xludf.DUMMYFUNCTION("googletranslate(E1976,""en"",""ja"")"),"生物学的標本中のフィコリン-3の測定。")</f>
        <v>生物学的標本中のフィコリン-3の測定。</v>
      </c>
      <c r="I1976" s="3" t="str">
        <f ca="1">IFERROR(__xludf.DUMMYFUNCTION("googletranslate(F1976,""en"",""ja"")"),"フィコリン-3の測定")</f>
        <v>フィコリン-3の測定</v>
      </c>
    </row>
    <row r="1977" spans="1:9" ht="45">
      <c r="A1977" s="3" t="s">
        <v>490</v>
      </c>
      <c r="B1977" s="3" t="s">
        <v>8283</v>
      </c>
      <c r="C1977" s="3" t="s">
        <v>8284</v>
      </c>
      <c r="D1977" s="3" t="s">
        <v>8284</v>
      </c>
      <c r="E1977" s="3" t="s">
        <v>8285</v>
      </c>
      <c r="F1977" s="3" t="s">
        <v>8284</v>
      </c>
      <c r="G1977" s="3" t="str">
        <f ca="1">IFERROR(__xludf.DUMMYFUNCTION("googletranslate(D1977,""en"",""ja"")"),"強制吸気流量 25%")</f>
        <v>強制吸気流量 25%</v>
      </c>
      <c r="H1977" s="3" t="str">
        <f ca="1">IFERROR(__xludf.DUMMYFUNCTION("googletranslate(E1977,""en"",""ja"")"),"空気の総量の 25% が吸入された吸気流量曲線上の点における強制吸気流量。")</f>
        <v>空気の総量の 25% が吸入された吸気流量曲線上の点における強制吸気流量。</v>
      </c>
      <c r="I1977" s="3" t="str">
        <f ca="1">IFERROR(__xludf.DUMMYFUNCTION("googletranslate(F1977,""en"",""ja"")"),"強制吸気流量 25%")</f>
        <v>強制吸気流量 25%</v>
      </c>
    </row>
    <row r="1978" spans="1:9" ht="45">
      <c r="A1978" s="3" t="s">
        <v>490</v>
      </c>
      <c r="B1978" s="3" t="s">
        <v>8286</v>
      </c>
      <c r="C1978" s="3" t="s">
        <v>8287</v>
      </c>
      <c r="D1978" s="3" t="s">
        <v>8287</v>
      </c>
      <c r="E1978" s="3" t="s">
        <v>8288</v>
      </c>
      <c r="F1978" s="3" t="s">
        <v>8287</v>
      </c>
      <c r="G1978" s="3" t="str">
        <f ca="1">IFERROR(__xludf.DUMMYFUNCTION("googletranslate(D1978,""en"",""ja"")"),"強制吸気流量 50%")</f>
        <v>強制吸気流量 50%</v>
      </c>
      <c r="H1978" s="3" t="str">
        <f ca="1">IFERROR(__xludf.DUMMYFUNCTION("googletranslate(E1978,""en"",""ja"")"),"空気の総量の 50% が吸入された吸気流量曲線上の点における強制吸気流量。")</f>
        <v>空気の総量の 50% が吸入された吸気流量曲線上の点における強制吸気流量。</v>
      </c>
      <c r="I1978" s="3" t="str">
        <f ca="1">IFERROR(__xludf.DUMMYFUNCTION("googletranslate(F1978,""en"",""ja"")"),"強制吸気流量 50%")</f>
        <v>強制吸気流量 50%</v>
      </c>
    </row>
    <row r="1979" spans="1:9" ht="45">
      <c r="A1979" s="3" t="s">
        <v>490</v>
      </c>
      <c r="B1979" s="3" t="s">
        <v>8289</v>
      </c>
      <c r="C1979" s="3" t="s">
        <v>8290</v>
      </c>
      <c r="D1979" s="3" t="s">
        <v>8290</v>
      </c>
      <c r="E1979" s="3" t="s">
        <v>8291</v>
      </c>
      <c r="F1979" s="3" t="s">
        <v>8290</v>
      </c>
      <c r="G1979" s="3" t="str">
        <f ca="1">IFERROR(__xludf.DUMMYFUNCTION("googletranslate(D1979,""en"",""ja"")"),"強制吸気流量 75%")</f>
        <v>強制吸気流量 75%</v>
      </c>
      <c r="H1979" s="3" t="str">
        <f ca="1">IFERROR(__xludf.DUMMYFUNCTION("googletranslate(E1979,""en"",""ja"")"),"空気の総量の 75% が吸入される吸気流量曲線上の点における強制吸気流量。")</f>
        <v>空気の総量の 75% が吸入される吸気流量曲線上の点における強制吸気流量。</v>
      </c>
      <c r="I1979" s="3" t="str">
        <f ca="1">IFERROR(__xludf.DUMMYFUNCTION("googletranslate(F1979,""en"",""ja"")"),"強制吸気流量 75%")</f>
        <v>強制吸気流量 75%</v>
      </c>
    </row>
    <row r="1980" spans="1:9" ht="30">
      <c r="A1980" s="3" t="s">
        <v>490</v>
      </c>
      <c r="B1980" s="3" t="s">
        <v>8292</v>
      </c>
      <c r="C1980" s="3" t="s">
        <v>8293</v>
      </c>
      <c r="D1980" s="3" t="s">
        <v>8293</v>
      </c>
      <c r="E1980" s="3" t="s">
        <v>8294</v>
      </c>
      <c r="F1980" s="3" t="s">
        <v>8293</v>
      </c>
      <c r="G1980" s="3" t="str">
        <f ca="1">IFERROR(__xludf.DUMMYFUNCTION("googletranslate(D1980,""en"",""ja"")"),"最大強制吸気流量")</f>
        <v>最大強制吸気流量</v>
      </c>
      <c r="H1980" s="3" t="str">
        <f ca="1">IFERROR(__xludf.DUMMYFUNCTION("googletranslate(E1980,""en"",""ja"")"),"強制吸気操作中に達成される吸入空気の最速速度。")</f>
        <v>強制吸気操作中に達成される吸入空気の最速速度。</v>
      </c>
      <c r="I1980" s="3" t="str">
        <f ca="1">IFERROR(__xludf.DUMMYFUNCTION("googletranslate(F1980,""en"",""ja"")"),"最大強制吸気流量")</f>
        <v>最大強制吸気流量</v>
      </c>
    </row>
    <row r="1981" spans="1:9" ht="60">
      <c r="A1981" s="3" t="s">
        <v>490</v>
      </c>
      <c r="B1981" s="3" t="s">
        <v>8295</v>
      </c>
      <c r="C1981" s="3" t="s">
        <v>8296</v>
      </c>
      <c r="D1981" s="3" t="s">
        <v>8296</v>
      </c>
      <c r="E1981" s="3" t="s">
        <v>8297</v>
      </c>
      <c r="F1981" s="3" t="s">
        <v>8298</v>
      </c>
      <c r="G1981" s="3" t="str">
        <f ca="1">IFERROR(__xludf.DUMMYFUNCTION("googletranslate(D1981,""en"",""ja"")"),"予測FIFmaxのパーセント")</f>
        <v>予測FIFmaxのパーセント</v>
      </c>
      <c r="H1981" s="3" t="str">
        <f ca="1">IFERROR(__xludf.DUMMYFUNCTION("googletranslate(E1981,""en"",""ja"")"),"強制吸気操作中に達成される吸気の最速速度。同様の特性を持つ健康な個人の予想結果値のパーセンテージとして表されます。")</f>
        <v>強制吸気操作中に達成される吸気の最速速度。同様の特性を持つ健康な個人の予想結果値のパーセンテージとして表されます。</v>
      </c>
      <c r="I1981" s="3" t="str">
        <f ca="1">IFERROR(__xludf.DUMMYFUNCTION("googletranslate(F1981,""en"",""ja"")"),"予測最大努力吸気流量のパーセント")</f>
        <v>予測最大努力吸気流量のパーセント</v>
      </c>
    </row>
    <row r="1982" spans="1:9" ht="30">
      <c r="A1982" s="3" t="s">
        <v>490</v>
      </c>
      <c r="B1982" s="3" t="s">
        <v>8299</v>
      </c>
      <c r="C1982" s="3" t="s">
        <v>8300</v>
      </c>
      <c r="D1982" s="3" t="s">
        <v>8300</v>
      </c>
      <c r="E1982" s="3" t="s">
        <v>8301</v>
      </c>
      <c r="F1982" s="3" t="s">
        <v>8300</v>
      </c>
      <c r="G1982" s="3" t="str">
        <f ca="1">IFERROR(__xludf.DUMMYFUNCTION("googletranslate(D1982,""en"",""ja"")"),"吸気された酸素の割合")</f>
        <v>吸気された酸素の割合</v>
      </c>
      <c r="H1982" s="3" t="str">
        <f ca="1">IFERROR(__xludf.DUMMYFUNCTION("googletranslate(E1982,""en"",""ja"")"),"吸入ガス中の酸素の体積分率の測定値。")</f>
        <v>吸入ガス中の酸素の体積分率の測定値。</v>
      </c>
      <c r="I1982" s="3" t="str">
        <f ca="1">IFERROR(__xludf.DUMMYFUNCTION("googletranslate(F1982,""en"",""ja"")"),"吸気された酸素の割合")</f>
        <v>吸気された酸素の割合</v>
      </c>
    </row>
    <row r="1983" spans="1:9" ht="30">
      <c r="A1983" s="3" t="s">
        <v>118</v>
      </c>
      <c r="B1983" s="3" t="s">
        <v>8299</v>
      </c>
      <c r="C1983" s="3" t="s">
        <v>8300</v>
      </c>
      <c r="D1983" s="3" t="s">
        <v>8300</v>
      </c>
      <c r="E1983" s="3" t="s">
        <v>8301</v>
      </c>
      <c r="F1983" s="3" t="s">
        <v>8300</v>
      </c>
      <c r="G1983" s="3" t="str">
        <f ca="1">IFERROR(__xludf.DUMMYFUNCTION("googletranslate(D1983,""en"",""ja"")"),"吸気された酸素の割合")</f>
        <v>吸気された酸素の割合</v>
      </c>
      <c r="H1983" s="3" t="str">
        <f ca="1">IFERROR(__xludf.DUMMYFUNCTION("googletranslate(E1983,""en"",""ja"")"),"吸入ガス中の酸素の体積分率の測定値。")</f>
        <v>吸入ガス中の酸素の体積分率の測定値。</v>
      </c>
      <c r="I1983" s="3" t="str">
        <f ca="1">IFERROR(__xludf.DUMMYFUNCTION("googletranslate(F1983,""en"",""ja"")"),"吸気された酸素の割合")</f>
        <v>吸気された酸素の割合</v>
      </c>
    </row>
    <row r="1984" spans="1:9" ht="30">
      <c r="A1984" s="3" t="s">
        <v>6</v>
      </c>
      <c r="B1984" s="3" t="s">
        <v>8299</v>
      </c>
      <c r="C1984" s="3" t="s">
        <v>8300</v>
      </c>
      <c r="D1984" s="3" t="s">
        <v>8300</v>
      </c>
      <c r="E1984" s="3" t="s">
        <v>8301</v>
      </c>
      <c r="F1984" s="3" t="s">
        <v>8300</v>
      </c>
      <c r="G1984" s="3" t="str">
        <f ca="1">IFERROR(__xludf.DUMMYFUNCTION("googletranslate(D1984,""en"",""ja"")"),"吸気された酸素の割合")</f>
        <v>吸気された酸素の割合</v>
      </c>
      <c r="H1984" s="3" t="str">
        <f ca="1">IFERROR(__xludf.DUMMYFUNCTION("googletranslate(E1984,""en"",""ja"")"),"吸入ガス中の酸素の体積分率の測定値。")</f>
        <v>吸入ガス中の酸素の体積分率の測定値。</v>
      </c>
      <c r="I1984" s="3" t="str">
        <f ca="1">IFERROR(__xludf.DUMMYFUNCTION("googletranslate(F1984,""en"",""ja"")"),"吸気された酸素の割合")</f>
        <v>吸気された酸素の割合</v>
      </c>
    </row>
    <row r="1985" spans="1:9" ht="45">
      <c r="A1985" s="3" t="s">
        <v>67</v>
      </c>
      <c r="B1985" s="3" t="s">
        <v>8302</v>
      </c>
      <c r="C1985" s="3" t="s">
        <v>8303</v>
      </c>
      <c r="D1985" s="3" t="s">
        <v>8303</v>
      </c>
      <c r="E1985" s="3" t="s">
        <v>8304</v>
      </c>
      <c r="F1985" s="3" t="s">
        <v>8305</v>
      </c>
      <c r="G1985" s="3" t="str">
        <f ca="1">IFERROR(__xludf.DUMMYFUNCTION("googletranslate(D1985,""en"",""ja"")"),"ファーミクテス/バクテロイデス比")</f>
        <v>ファーミクテス/バクテロイデス比</v>
      </c>
      <c r="H1985" s="3" t="str">
        <f ca="1">IFERROR(__xludf.DUMMYFUNCTION("googletranslate(E1985,""en"",""ja"")"),"生物学的標本におけるファーミクテス門のメンバーとバクテロイデス門のメンバーの比率の測定。")</f>
        <v>生物学的標本におけるファーミクテス門のメンバーとバクテロイデス門のメンバーの比率の測定。</v>
      </c>
      <c r="I1985" s="3" t="str">
        <f ca="1">IFERROR(__xludf.DUMMYFUNCTION("googletranslate(F1985,""en"",""ja"")"),"ファーミクテス対バクテロイデス比の測定")</f>
        <v>ファーミクテス対バクテロイデス比の測定</v>
      </c>
    </row>
    <row r="1986" spans="1:9" ht="30">
      <c r="A1986" s="3" t="s">
        <v>185</v>
      </c>
      <c r="B1986" s="3" t="s">
        <v>8306</v>
      </c>
      <c r="C1986" s="3" t="s">
        <v>8307</v>
      </c>
      <c r="D1986" s="3" t="s">
        <v>8307</v>
      </c>
      <c r="E1986" s="3" t="s">
        <v>8308</v>
      </c>
      <c r="F1986" s="3" t="s">
        <v>8309</v>
      </c>
      <c r="G1986" s="3" t="str">
        <f ca="1">IFERROR(__xludf.DUMMYFUNCTION("googletranslate(D1986,""en"",""ja"")"),"瘻孔の解剖学的タイプ")</f>
        <v>瘻孔の解剖学的タイプ</v>
      </c>
      <c r="H1986" s="3" t="str">
        <f ca="1">IFERROR(__xludf.DUMMYFUNCTION("googletranslate(E1986,""en"",""ja"")"),"瘻孔の解剖学的位置に基づく分類。")</f>
        <v>瘻孔の解剖学的位置に基づく分類。</v>
      </c>
      <c r="I1986" s="3" t="str">
        <f ca="1">IFERROR(__xludf.DUMMYFUNCTION("googletranslate(F1986,""en"",""ja"")"),"瘻孔の解剖学的部位")</f>
        <v>瘻孔の解剖学的部位</v>
      </c>
    </row>
    <row r="1987" spans="1:9">
      <c r="A1987" s="3" t="s">
        <v>185</v>
      </c>
      <c r="B1987" s="3" t="s">
        <v>8310</v>
      </c>
      <c r="C1987" s="3" t="s">
        <v>8311</v>
      </c>
      <c r="D1987" s="3" t="s">
        <v>8311</v>
      </c>
      <c r="E1987" s="3" t="s">
        <v>8312</v>
      </c>
      <c r="F1987" s="3" t="s">
        <v>8311</v>
      </c>
      <c r="G1987" s="3" t="str">
        <f ca="1">IFERROR(__xludf.DUMMYFUNCTION("googletranslate(D1987,""en"",""ja"")"),"瘻孔の数")</f>
        <v>瘻孔の数</v>
      </c>
      <c r="H1987" s="3" t="str">
        <f ca="1">IFERROR(__xludf.DUMMYFUNCTION("googletranslate(E1987,""en"",""ja"")"),"観察された瘻孔の数。")</f>
        <v>観察された瘻孔の数。</v>
      </c>
      <c r="I1987" s="3" t="str">
        <f ca="1">IFERROR(__xludf.DUMMYFUNCTION("googletranslate(F1987,""en"",""ja"")"),"瘻孔の数")</f>
        <v>瘻孔の数</v>
      </c>
    </row>
    <row r="1988" spans="1:9" ht="30">
      <c r="A1988" s="3" t="s">
        <v>490</v>
      </c>
      <c r="B1988" s="3" t="s">
        <v>8313</v>
      </c>
      <c r="C1988" s="3" t="s">
        <v>8314</v>
      </c>
      <c r="D1988" s="3" t="s">
        <v>8314</v>
      </c>
      <c r="E1988" s="3" t="s">
        <v>8315</v>
      </c>
      <c r="F1988" s="3" t="s">
        <v>8314</v>
      </c>
      <c r="G1988" s="3" t="str">
        <f ca="1">IFERROR(__xludf.DUMMYFUNCTION("googletranslate(D1988,""en"",""ja"")"),"1秒間の強制吸気量")</f>
        <v>1秒間の強制吸気量</v>
      </c>
      <c r="H1988" s="3" t="str">
        <f ca="1">IFERROR(__xludf.DUMMYFUNCTION("googletranslate(E1988,""en"",""ja"")"),"被験者が最大限に吐き出した後の吸気の最初の 1 秒間に吸い込むことができる空気の量。")</f>
        <v>被験者が最大限に吐き出した後の吸気の最初の 1 秒間に吸い込むことができる空気の量。</v>
      </c>
      <c r="I1988" s="3" t="str">
        <f ca="1">IFERROR(__xludf.DUMMYFUNCTION("googletranslate(F1988,""en"",""ja"")"),"1秒間の強制吸気量")</f>
        <v>1秒間の強制吸気量</v>
      </c>
    </row>
    <row r="1989" spans="1:9" ht="45">
      <c r="A1989" s="3" t="s">
        <v>490</v>
      </c>
      <c r="B1989" s="3" t="s">
        <v>8316</v>
      </c>
      <c r="C1989" s="3" t="s">
        <v>8317</v>
      </c>
      <c r="D1989" s="3" t="s">
        <v>8317</v>
      </c>
      <c r="E1989" s="3" t="s">
        <v>8318</v>
      </c>
      <c r="F1989" s="3" t="s">
        <v>8319</v>
      </c>
      <c r="G1989" s="3" t="str">
        <f ca="1">IFERROR(__xludf.DUMMYFUNCTION("googletranslate(D1989,""en"",""ja"")"),"予測された FIV1 の割合")</f>
        <v>予測された FIV1 の割合</v>
      </c>
      <c r="H1989" s="3" t="str">
        <f ca="1">IFERROR(__xludf.DUMMYFUNCTION("googletranslate(E1989,""en"",""ja"")"),"被験者が最大限に吐き出した後の最初の 1 秒間に吸い込むことができる空気の量を、予測された正常値の割合として表したもの。")</f>
        <v>被験者が最大限に吐き出した後の最初の 1 秒間に吸い込むことができる空気の量を、予測された正常値の割合として表したもの。</v>
      </c>
      <c r="I1989" s="3" t="str">
        <f ca="1">IFERROR(__xludf.DUMMYFUNCTION("googletranslate(F1989,""en"",""ja"")"),"1 秒間の予測努力吸気量のパーセント")</f>
        <v>1 秒間の予測努力吸気量のパーセント</v>
      </c>
    </row>
    <row r="1990" spans="1:9" ht="45">
      <c r="A1990" s="3" t="s">
        <v>490</v>
      </c>
      <c r="B1990" s="3" t="s">
        <v>8320</v>
      </c>
      <c r="C1990" s="3" t="s">
        <v>8321</v>
      </c>
      <c r="D1990" s="3" t="s">
        <v>8321</v>
      </c>
      <c r="E1990" s="3" t="s">
        <v>8322</v>
      </c>
      <c r="F1990" s="3" t="s">
        <v>8321</v>
      </c>
      <c r="G1990" s="3" t="str">
        <f ca="1">IFERROR(__xludf.DUMMYFUNCTION("googletranslate(D1990,""en"",""ja"")"),"努力吸気肺活量")</f>
        <v>努力吸気肺活量</v>
      </c>
      <c r="H1990" s="3" t="str">
        <f ca="1">IFERROR(__xludf.DUMMYFUNCTION("googletranslate(E1990,""en"",""ja"")"),"最大呼気時と、その直後の完全吸気時の残存量と、力強く吸入した際の総肺容量との間の肺容積の差。")</f>
        <v>最大呼気時と、その直後の完全吸気時の残存量と、力強く吸入した際の総肺容量との間の肺容積の差。</v>
      </c>
      <c r="I1990" s="3" t="str">
        <f ca="1">IFERROR(__xludf.DUMMYFUNCTION("googletranslate(F1990,""en"",""ja"")"),"努力吸気肺活量")</f>
        <v>努力吸気肺活量</v>
      </c>
    </row>
    <row r="1991" spans="1:9" ht="60">
      <c r="A1991" s="3" t="s">
        <v>6</v>
      </c>
      <c r="B1991" s="3" t="s">
        <v>8323</v>
      </c>
      <c r="C1991" s="3" t="s">
        <v>8324</v>
      </c>
      <c r="D1991" s="3" t="s">
        <v>8325</v>
      </c>
      <c r="E1991" s="3" t="s">
        <v>8326</v>
      </c>
      <c r="F1991" s="3" t="s">
        <v>8327</v>
      </c>
      <c r="G1991" s="3" t="str">
        <f ca="1">IFERROR(__xludf.DUMMYFUNCTION("googletranslate(D1991,""en"",""ja"")"),"第 IX 因子活動の実際/対照。第 IX 因子活動実際/第 IX 因子活動制御。第 IX 因子活動の実際/正常")</f>
        <v>第 IX 因子活動の実際/対照。第 IX 因子活動実際/第 IX 因子活動制御。第 IX 因子活動の実際/正常</v>
      </c>
      <c r="H1991" s="3" t="str">
        <f ca="1">IFERROR(__xludf.DUMMYFUNCTION("googletranslate(E1991,""en"",""ja"")"),"対照検体における同じ活性と比較した場合の、被験者の検体における第 IX 因子依存性凝固の生物学的活性の相対測定値 (比率またはパーセンテージ)。")</f>
        <v>対照検体における同じ活性と比較した場合の、被験者の検体における第 IX 因子依存性凝固の生物学的活性の相対測定値 (比率またはパーセンテージ)。</v>
      </c>
      <c r="I1991" s="3" t="str">
        <f ca="1">IFERROR(__xludf.DUMMYFUNCTION("googletranslate(F1991,""en"",""ja"")"),"第 IX 因子活動の実際対対照比の測定")</f>
        <v>第 IX 因子活動の実際対対照比の測定</v>
      </c>
    </row>
    <row r="1992" spans="1:9" ht="30">
      <c r="A1992" s="3" t="s">
        <v>33</v>
      </c>
      <c r="B1992" s="3" t="s">
        <v>8328</v>
      </c>
      <c r="C1992" s="3" t="s">
        <v>8329</v>
      </c>
      <c r="D1992" s="3" t="s">
        <v>8329</v>
      </c>
      <c r="E1992" s="3" t="s">
        <v>8330</v>
      </c>
      <c r="F1992" s="3" t="s">
        <v>8331</v>
      </c>
      <c r="G1992" s="3" t="str">
        <f ca="1">IFERROR(__xludf.DUMMYFUNCTION("googletranslate(D1992,""en"",""ja"")"),"固定剤の名前")</f>
        <v>固定剤の名前</v>
      </c>
      <c r="H1992" s="3" t="str">
        <f ca="1">IFERROR(__xludf.DUMMYFUNCTION("googletranslate(E1992,""en"",""ja"")"),"研究のために組織や細胞を保存する物質または材料の名前。")</f>
        <v>研究のために組織や細胞を保存する物質または材料の名前。</v>
      </c>
      <c r="I1992" s="3" t="str">
        <f ca="1">IFERROR(__xludf.DUMMYFUNCTION("googletranslate(F1992,""en"",""ja"")"),"固定剤の名前")</f>
        <v>固定剤の名前</v>
      </c>
    </row>
    <row r="1993" spans="1:9" ht="30">
      <c r="A1993" s="3" t="s">
        <v>67</v>
      </c>
      <c r="B1993" s="3" t="s">
        <v>8332</v>
      </c>
      <c r="C1993" s="3" t="s">
        <v>8333</v>
      </c>
      <c r="D1993" s="3" t="s">
        <v>8333</v>
      </c>
      <c r="E1993" s="3" t="s">
        <v>8334</v>
      </c>
      <c r="F1993" s="3" t="s">
        <v>8335</v>
      </c>
      <c r="G1993" s="3" t="str">
        <f ca="1">IFERROR(__xludf.DUMMYFUNCTION("googletranslate(D1993,""en"",""ja"")"),"鞭毛虫")</f>
        <v>鞭毛虫</v>
      </c>
      <c r="H1993" s="3" t="str">
        <f ca="1">IFERROR(__xludf.DUMMYFUNCTION("googletranslate(E1993,""en"",""ja"")"),"生物学的標本中の鞭毛（鞭毛を持つ原生動物）の測定。")</f>
        <v>生物学的標本中の鞭毛（鞭毛を持つ原生動物）の測定。</v>
      </c>
      <c r="I1993" s="3" t="str">
        <f ca="1">IFERROR(__xludf.DUMMYFUNCTION("googletranslate(F1993,""en"",""ja"")"),"鞭毛の測定")</f>
        <v>鞭毛の測定</v>
      </c>
    </row>
    <row r="1994" spans="1:9" ht="30">
      <c r="A1994" s="3" t="s">
        <v>185</v>
      </c>
      <c r="B1994" s="3" t="s">
        <v>8336</v>
      </c>
      <c r="C1994" s="3" t="s">
        <v>8337</v>
      </c>
      <c r="D1994" s="3" t="s">
        <v>8337</v>
      </c>
      <c r="E1994" s="3" t="s">
        <v>8338</v>
      </c>
      <c r="F1994" s="3" t="s">
        <v>8339</v>
      </c>
      <c r="G1994" s="3" t="str">
        <f ca="1">IFERROR(__xludf.DUMMYFUNCTION("googletranslate(D1994,""en"",""ja"")"),"フレアサイズ")</f>
        <v>フレアサイズ</v>
      </c>
      <c r="H1994" s="3" t="str">
        <f ca="1">IFERROR(__xludf.DUMMYFUNCTION("googletranslate(E1994,""en"",""ja"")"),"皮膚に対する抗原攻撃部位の周囲に形成される発赤の領域のサイズ。")</f>
        <v>皮膚に対する抗原攻撃部位の周囲に形成される発赤の領域のサイズ。</v>
      </c>
      <c r="I1994" s="3" t="str">
        <f ca="1">IFERROR(__xludf.DUMMYFUNCTION("googletranslate(F1994,""en"",""ja"")"),"抗原性皮膚フレアのサイズ")</f>
        <v>抗原性皮膚フレアのサイズ</v>
      </c>
    </row>
    <row r="1995" spans="1:9" ht="30">
      <c r="A1995" s="3" t="s">
        <v>1535</v>
      </c>
      <c r="B1995" s="3" t="s">
        <v>8336</v>
      </c>
      <c r="C1995" s="3" t="s">
        <v>8337</v>
      </c>
      <c r="D1995" s="3" t="s">
        <v>8337</v>
      </c>
      <c r="E1995" s="3" t="s">
        <v>8338</v>
      </c>
      <c r="F1995" s="3" t="s">
        <v>8339</v>
      </c>
      <c r="G1995" s="3" t="str">
        <f ca="1">IFERROR(__xludf.DUMMYFUNCTION("googletranslate(D1995,""en"",""ja"")"),"フレアサイズ")</f>
        <v>フレアサイズ</v>
      </c>
      <c r="H1995" s="3" t="str">
        <f ca="1">IFERROR(__xludf.DUMMYFUNCTION("googletranslate(E1995,""en"",""ja"")"),"皮膚に対する抗原攻撃部位の周囲に形成される発赤の領域のサイズ。")</f>
        <v>皮膚に対する抗原攻撃部位の周囲に形成される発赤の領域のサイズ。</v>
      </c>
      <c r="I1995" s="3" t="str">
        <f ca="1">IFERROR(__xludf.DUMMYFUNCTION("googletranslate(F1995,""en"",""ja"")"),"抗原性皮膚フレアのサイズ")</f>
        <v>抗原性皮膚フレアのサイズ</v>
      </c>
    </row>
    <row r="1996" spans="1:9">
      <c r="A1996" s="3" t="s">
        <v>1255</v>
      </c>
      <c r="B1996" s="3" t="s">
        <v>8340</v>
      </c>
      <c r="C1996" s="3" t="s">
        <v>8341</v>
      </c>
      <c r="D1996" s="3" t="s">
        <v>8341</v>
      </c>
      <c r="E1996" s="3" t="s">
        <v>8342</v>
      </c>
      <c r="F1996" s="3" t="s">
        <v>8341</v>
      </c>
      <c r="G1996" s="3" t="str">
        <f ca="1">IFERROR(__xludf.DUMMYFUNCTION("googletranslate(D1996,""en"",""ja"")"),"視野")</f>
        <v>視野</v>
      </c>
      <c r="H1996" s="3" t="str">
        <f ca="1">IFERROR(__xludf.DUMMYFUNCTION("googletranslate(E1996,""en"",""ja"")"),"表示される領域の範囲。 (NCI)")</f>
        <v>表示される領域の範囲。 (NCI)</v>
      </c>
      <c r="I1996" s="3" t="str">
        <f ca="1">IFERROR(__xludf.DUMMYFUNCTION("googletranslate(F1996,""en"",""ja"")"),"視野")</f>
        <v>視野</v>
      </c>
    </row>
    <row r="1997" spans="1:9" ht="45">
      <c r="A1997" s="3" t="s">
        <v>1255</v>
      </c>
      <c r="B1997" s="3" t="s">
        <v>8343</v>
      </c>
      <c r="C1997" s="3" t="s">
        <v>8344</v>
      </c>
      <c r="D1997" s="3" t="s">
        <v>8344</v>
      </c>
      <c r="E1997" s="3" t="s">
        <v>8345</v>
      </c>
      <c r="F1997" s="3" t="s">
        <v>8344</v>
      </c>
      <c r="G1997" s="3" t="str">
        <f ca="1">IFERROR(__xludf.DUMMYFUNCTION("googletranslate(D1997,""en"",""ja"")"),"フリップ角度")</f>
        <v>フリップ角度</v>
      </c>
      <c r="H1997" s="3" t="str">
        <f ca="1">IFERROR(__xludf.DUMMYFUNCTION("googletranslate(E1997,""en"",""ja"")"),"磁気共鳴イメージングにおいて、高周波信号によって引き起こされる、主磁場の方向に対する陽子の平均軸の回転。 (NCI)")</f>
        <v>磁気共鳴イメージングにおいて、高周波信号によって引き起こされる、主磁場の方向に対する陽子の平均軸の回転。 (NCI)</v>
      </c>
      <c r="I1997" s="3" t="str">
        <f ca="1">IFERROR(__xludf.DUMMYFUNCTION("googletranslate(F1997,""en"",""ja"")"),"フリップ角度")</f>
        <v>フリップ角度</v>
      </c>
    </row>
    <row r="1998" spans="1:9" ht="30">
      <c r="A1998" s="3" t="s">
        <v>6394</v>
      </c>
      <c r="B1998" s="3" t="s">
        <v>8346</v>
      </c>
      <c r="C1998" s="3" t="s">
        <v>8347</v>
      </c>
      <c r="D1998" s="3" t="s">
        <v>8347</v>
      </c>
      <c r="E1998" s="3" t="s">
        <v>8348</v>
      </c>
      <c r="F1998" s="3" t="s">
        <v>8347</v>
      </c>
      <c r="G1998" s="3" t="str">
        <f ca="1">IFERROR(__xludf.DUMMYFUNCTION("googletranslate(D1998,""en"",""ja"")"),"フラグ付き変異存在インジケーター")</f>
        <v>フラグ付き変異存在インジケーター</v>
      </c>
      <c r="H1998" s="3" t="str">
        <f ca="1">IFERROR(__xludf.DUMMYFUNCTION("googletranslate(E1998,""en"",""ja"")"),"対象となる事前に指定された変異が対象者に存在するかどうかの指標。")</f>
        <v>対象となる事前に指定された変異が対象者に存在するかどうかの指標。</v>
      </c>
      <c r="I1998" s="3" t="str">
        <f ca="1">IFERROR(__xludf.DUMMYFUNCTION("googletranslate(F1998,""en"",""ja"")"),"フラグ付き変異存在インジケーター")</f>
        <v>フラグ付き変異存在インジケーター</v>
      </c>
    </row>
    <row r="1999" spans="1:9" ht="30">
      <c r="A1999" s="3" t="s">
        <v>6</v>
      </c>
      <c r="B1999" s="3" t="s">
        <v>8349</v>
      </c>
      <c r="C1999" s="3" t="s">
        <v>8350</v>
      </c>
      <c r="D1999" s="3" t="s">
        <v>8350</v>
      </c>
      <c r="E1999" s="3" t="s">
        <v>8351</v>
      </c>
      <c r="F1999" s="3" t="s">
        <v>8352</v>
      </c>
      <c r="G1999" s="3" t="str">
        <f ca="1">IFERROR(__xludf.DUMMYFUNCTION("googletranslate(D1999,""en"",""ja"")"),"フルニトラゼパム")</f>
        <v>フルニトラゼパム</v>
      </c>
      <c r="H1999" s="3" t="str">
        <f ca="1">IFERROR(__xludf.DUMMYFUNCTION("googletranslate(E1999,""en"",""ja"")"),"生物学的標本中に存在するフルニトラゼパムの測定。")</f>
        <v>生物学的標本中に存在するフルニトラゼパムの測定。</v>
      </c>
      <c r="I1999" s="3" t="str">
        <f ca="1">IFERROR(__xludf.DUMMYFUNCTION("googletranslate(F1999,""en"",""ja"")"),"フルニトラゼパムの測定")</f>
        <v>フルニトラゼパムの測定</v>
      </c>
    </row>
    <row r="2000" spans="1:9" ht="30">
      <c r="A2000" s="3" t="s">
        <v>185</v>
      </c>
      <c r="B2000" s="3" t="s">
        <v>8353</v>
      </c>
      <c r="C2000" s="3" t="s">
        <v>8354</v>
      </c>
      <c r="D2000" s="3" t="s">
        <v>8354</v>
      </c>
      <c r="E2000" s="3" t="s">
        <v>8355</v>
      </c>
      <c r="F2000" s="3" t="s">
        <v>8356</v>
      </c>
      <c r="G2000" s="3" t="str">
        <f ca="1">IFERROR(__xludf.DUMMYFUNCTION("googletranslate(D2000,""en"",""ja"")"),"フレア最長直径")</f>
        <v>フレア最長直径</v>
      </c>
      <c r="H2000" s="3" t="str">
        <f ca="1">IFERROR(__xludf.DUMMYFUNCTION("googletranslate(E2000,""en"",""ja"")"),"皮膚に対する抗原攻撃部位の周囲に形成される発赤領域の最長直径。")</f>
        <v>皮膚に対する抗原攻撃部位の周囲に形成される発赤領域の最長直径。</v>
      </c>
      <c r="I2000" s="3" t="str">
        <f ca="1">IFERROR(__xludf.DUMMYFUNCTION("googletranslate(F2000,""en"",""ja"")"),"抗原性皮膚フレアの最長直径")</f>
        <v>抗原性皮膚フレアの最長直径</v>
      </c>
    </row>
    <row r="2001" spans="1:9" ht="30">
      <c r="A2001" s="3" t="s">
        <v>1535</v>
      </c>
      <c r="B2001" s="3" t="s">
        <v>8353</v>
      </c>
      <c r="C2001" s="3" t="s">
        <v>8354</v>
      </c>
      <c r="D2001" s="3" t="s">
        <v>8354</v>
      </c>
      <c r="E2001" s="3" t="s">
        <v>8355</v>
      </c>
      <c r="F2001" s="3" t="s">
        <v>8356</v>
      </c>
      <c r="G2001" s="3" t="str">
        <f ca="1">IFERROR(__xludf.DUMMYFUNCTION("googletranslate(D2001,""en"",""ja"")"),"フレア最長直径")</f>
        <v>フレア最長直径</v>
      </c>
      <c r="H2001" s="3" t="str">
        <f ca="1">IFERROR(__xludf.DUMMYFUNCTION("googletranslate(E2001,""en"",""ja"")"),"皮膚に対する抗原攻撃部位の周囲に形成される発赤領域の最長直径。")</f>
        <v>皮膚に対する抗原攻撃部位の周囲に形成される発赤領域の最長直径。</v>
      </c>
      <c r="I2001" s="3" t="str">
        <f ca="1">IFERROR(__xludf.DUMMYFUNCTION("googletranslate(F2001,""en"",""ja"")"),"抗原性皮膚フレアの最長直径")</f>
        <v>抗原性皮膚フレアの最長直径</v>
      </c>
    </row>
    <row r="2002" spans="1:9" ht="30">
      <c r="A2002" s="3" t="s">
        <v>1535</v>
      </c>
      <c r="B2002" s="3" t="s">
        <v>8357</v>
      </c>
      <c r="C2002" s="3" t="s">
        <v>8358</v>
      </c>
      <c r="D2002" s="3" t="s">
        <v>8358</v>
      </c>
      <c r="E2002" s="3" t="s">
        <v>8359</v>
      </c>
      <c r="F2002" s="3" t="s">
        <v>8360</v>
      </c>
      <c r="G2002" s="3" t="str">
        <f ca="1">IFERROR(__xludf.DUMMYFUNCTION("googletranslate(D2002,""en"",""ja"")"),"フレア平均直径")</f>
        <v>フレア平均直径</v>
      </c>
      <c r="H2002" s="3" t="str">
        <f ca="1">IFERROR(__xludf.DUMMYFUNCTION("googletranslate(E2002,""en"",""ja"")"),"皮膚に対する抗原攻撃部位の周囲に形成される発赤領域の平均直径。")</f>
        <v>皮膚に対する抗原攻撃部位の周囲に形成される発赤領域の平均直径。</v>
      </c>
      <c r="I2002" s="3" t="str">
        <f ca="1">IFERROR(__xludf.DUMMYFUNCTION("googletranslate(F2002,""en"",""ja"")"),"抗原性皮膚フレアの平均直径")</f>
        <v>抗原性皮膚フレアの平均直径</v>
      </c>
    </row>
    <row r="2003" spans="1:9" ht="30">
      <c r="A2003" s="3" t="s">
        <v>185</v>
      </c>
      <c r="B2003" s="3" t="s">
        <v>8357</v>
      </c>
      <c r="C2003" s="3" t="s">
        <v>8358</v>
      </c>
      <c r="D2003" s="3" t="s">
        <v>8358</v>
      </c>
      <c r="E2003" s="3" t="s">
        <v>8359</v>
      </c>
      <c r="F2003" s="3" t="s">
        <v>8360</v>
      </c>
      <c r="G2003" s="3" t="str">
        <f ca="1">IFERROR(__xludf.DUMMYFUNCTION("googletranslate(D2003,""en"",""ja"")"),"フレア平均直径")</f>
        <v>フレア平均直径</v>
      </c>
      <c r="H2003" s="3" t="str">
        <f ca="1">IFERROR(__xludf.DUMMYFUNCTION("googletranslate(E2003,""en"",""ja"")"),"皮膚に対する抗原攻撃部位の周囲に形成される発赤領域の平均直径。")</f>
        <v>皮膚に対する抗原攻撃部位の周囲に形成される発赤領域の平均直径。</v>
      </c>
      <c r="I2003" s="3" t="str">
        <f ca="1">IFERROR(__xludf.DUMMYFUNCTION("googletranslate(F2003,""en"",""ja"")"),"抗原性皮膚フレアの平均直径")</f>
        <v>抗原性皮膚フレアの平均直径</v>
      </c>
    </row>
    <row r="2004" spans="1:9" ht="30">
      <c r="A2004" s="3" t="s">
        <v>6</v>
      </c>
      <c r="B2004" s="3" t="s">
        <v>8361</v>
      </c>
      <c r="C2004" s="3" t="s">
        <v>8362</v>
      </c>
      <c r="D2004" s="3" t="s">
        <v>8362</v>
      </c>
      <c r="E2004" s="3" t="s">
        <v>8363</v>
      </c>
      <c r="F2004" s="3" t="s">
        <v>8364</v>
      </c>
      <c r="G2004" s="3" t="str">
        <f ca="1">IFERROR(__xludf.DUMMYFUNCTION("googletranslate(D2004,""en"",""ja"")"),"フルラゼパム")</f>
        <v>フルラゼパム</v>
      </c>
      <c r="H2004" s="3" t="str">
        <f ca="1">IFERROR(__xludf.DUMMYFUNCTION("googletranslate(E2004,""en"",""ja"")"),"生物学的標本中に存在するフルラゼパムの測定。")</f>
        <v>生物学的標本中に存在するフルラゼパムの測定。</v>
      </c>
      <c r="I2004" s="3" t="str">
        <f ca="1">IFERROR(__xludf.DUMMYFUNCTION("googletranslate(F2004,""en"",""ja"")"),"フルラゼパムの測定")</f>
        <v>フルラゼパムの測定</v>
      </c>
    </row>
    <row r="2005" spans="1:9" ht="30">
      <c r="A2005" s="3" t="s">
        <v>6</v>
      </c>
      <c r="B2005" s="3" t="s">
        <v>8365</v>
      </c>
      <c r="C2005" s="3" t="s">
        <v>8366</v>
      </c>
      <c r="D2005" s="3" t="s">
        <v>8367</v>
      </c>
      <c r="E2005" s="3" t="s">
        <v>8368</v>
      </c>
      <c r="F2005" s="3" t="s">
        <v>8369</v>
      </c>
      <c r="G2005" s="3" t="str">
        <f ca="1">IFERROR(__xludf.DUMMYFUNCTION("googletranslate(D2005,""en"",""ja"")"),"FMS 様受容体チロシンキナーゼ 3;可溶性CD135")</f>
        <v>FMS 様受容体チロシンキナーゼ 3;可溶性CD135</v>
      </c>
      <c r="H2005" s="3" t="str">
        <f ca="1">IFERROR(__xludf.DUMMYFUNCTION("googletranslate(E2005,""en"",""ja"")"),"生物学的標本における FMS 様受容体チロシンキナーゼ 3 の測定。")</f>
        <v>生物学的標本における FMS 様受容体チロシンキナーゼ 3 の測定。</v>
      </c>
      <c r="I2005" s="3" t="str">
        <f ca="1">IFERROR(__xludf.DUMMYFUNCTION("googletranslate(F2005,""en"",""ja"")"),"FMS 様受容体チロシンキナーゼ 3 の測定")</f>
        <v>FMS 様受容体チロシンキナーゼ 3 の測定</v>
      </c>
    </row>
    <row r="2006" spans="1:9" ht="30">
      <c r="A2006" s="3" t="s">
        <v>6</v>
      </c>
      <c r="B2006" s="3" t="s">
        <v>8370</v>
      </c>
      <c r="C2006" s="3" t="s">
        <v>8371</v>
      </c>
      <c r="D2006" s="3" t="s">
        <v>8371</v>
      </c>
      <c r="E2006" s="3" t="s">
        <v>8372</v>
      </c>
      <c r="F2006" s="3" t="s">
        <v>8373</v>
      </c>
      <c r="G2006" s="3" t="str">
        <f ca="1">IFERROR(__xludf.DUMMYFUNCTION("googletranslate(D2006,""en"",""ja"")"),"FMS 様チロシンキナーゼ 3 リガンド")</f>
        <v>FMS 様チロシンキナーゼ 3 リガンド</v>
      </c>
      <c r="H2006" s="3" t="str">
        <f ca="1">IFERROR(__xludf.DUMMYFUNCTION("googletranslate(E2006,""en"",""ja"")"),"生物学的標本中の FMS 様チロシンキナーゼ 3 リガンドの測定。")</f>
        <v>生物学的標本中の FMS 様チロシンキナーゼ 3 リガンドの測定。</v>
      </c>
      <c r="I2006" s="3" t="str">
        <f ca="1">IFERROR(__xludf.DUMMYFUNCTION("googletranslate(F2006,""en"",""ja"")"),"FMS 様チロシンキナーゼ 3 リガンドの測定")</f>
        <v>FMS 様チロシンキナーゼ 3 リガンドの測定</v>
      </c>
    </row>
    <row r="2007" spans="1:9">
      <c r="A2007" s="3" t="s">
        <v>51</v>
      </c>
      <c r="B2007" s="3" t="s">
        <v>8374</v>
      </c>
      <c r="C2007" s="3" t="s">
        <v>8375</v>
      </c>
      <c r="D2007" s="3" t="s">
        <v>8375</v>
      </c>
      <c r="E2007" s="3" t="s">
        <v>8376</v>
      </c>
      <c r="F2007" s="3" t="s">
        <v>8375</v>
      </c>
      <c r="G2007" s="3" t="str">
        <f ca="1">IFERROR(__xludf.DUMMYFUNCTION("googletranslate(D2007,""en"",""ja"")"),"フィルター密度")</f>
        <v>フィルター密度</v>
      </c>
      <c r="H2007" s="3" t="str">
        <f ca="1">IFERROR(__xludf.DUMMYFUNCTION("googletranslate(E2007,""en"",""ja"")"),"単位体積あたりの濾材の質量。")</f>
        <v>単位体積あたりの濾材の質量。</v>
      </c>
      <c r="I2007" s="3" t="str">
        <f ca="1">IFERROR(__xludf.DUMMYFUNCTION("googletranslate(F2007,""en"",""ja"")"),"フィルター密度")</f>
        <v>フィルター密度</v>
      </c>
    </row>
    <row r="2008" spans="1:9">
      <c r="A2008" s="3" t="s">
        <v>51</v>
      </c>
      <c r="B2008" s="3" t="s">
        <v>8377</v>
      </c>
      <c r="C2008" s="3" t="s">
        <v>8378</v>
      </c>
      <c r="D2008" s="3" t="s">
        <v>8378</v>
      </c>
      <c r="E2008" s="3" t="s">
        <v>8379</v>
      </c>
      <c r="F2008" s="3" t="s">
        <v>8378</v>
      </c>
      <c r="G2008" s="3" t="str">
        <f ca="1">IFERROR(__xludf.DUMMYFUNCTION("googletranslate(D2008,""en"",""ja"")"),"フィルターの圧力損失")</f>
        <v>フィルターの圧力損失</v>
      </c>
      <c r="H2008" s="3" t="str">
        <f ca="1">IFERROR(__xludf.DUMMYFUNCTION("googletranslate(E2008,""en"",""ja"")"),"フィルターの空気の流れに対する抵抗の尺度。")</f>
        <v>フィルターの空気の流れに対する抵抗の尺度。</v>
      </c>
      <c r="I2008" s="3" t="str">
        <f ca="1">IFERROR(__xludf.DUMMYFUNCTION("googletranslate(F2008,""en"",""ja"")"),"フィルターの圧力損失")</f>
        <v>フィルターの圧力損失</v>
      </c>
    </row>
    <row r="2009" spans="1:9" ht="30">
      <c r="A2009" s="3" t="s">
        <v>51</v>
      </c>
      <c r="B2009" s="3" t="s">
        <v>8380</v>
      </c>
      <c r="C2009" s="3" t="s">
        <v>8381</v>
      </c>
      <c r="D2009" s="3" t="s">
        <v>8381</v>
      </c>
      <c r="E2009" s="3" t="s">
        <v>8382</v>
      </c>
      <c r="F2009" s="3" t="s">
        <v>8381</v>
      </c>
      <c r="G2009" s="3" t="str">
        <f ca="1">IFERROR(__xludf.DUMMYFUNCTION("googletranslate(D2009,""en"",""ja"")"),"フィルター効率")</f>
        <v>フィルター効率</v>
      </c>
      <c r="H2009" s="3" t="str">
        <f ca="1">IFERROR(__xludf.DUMMYFUNCTION("googletranslate(E2009,""en"",""ja"")"),"フィルター媒体によって除去された汚染物質のパーセンテージ。")</f>
        <v>フィルター媒体によって除去された汚染物質のパーセンテージ。</v>
      </c>
      <c r="I2009" s="3" t="str">
        <f ca="1">IFERROR(__xludf.DUMMYFUNCTION("googletranslate(F2009,""en"",""ja"")"),"フィルター効率")</f>
        <v>フィルター効率</v>
      </c>
    </row>
    <row r="2010" spans="1:9">
      <c r="A2010" s="3" t="s">
        <v>51</v>
      </c>
      <c r="B2010" s="3" t="s">
        <v>8383</v>
      </c>
      <c r="C2010" s="3" t="s">
        <v>8384</v>
      </c>
      <c r="D2010" s="3" t="s">
        <v>8384</v>
      </c>
      <c r="E2010" s="3" t="s">
        <v>8385</v>
      </c>
      <c r="F2010" s="3" t="s">
        <v>8386</v>
      </c>
      <c r="G2010" s="3" t="str">
        <f ca="1">IFERROR(__xludf.DUMMYFUNCTION("googletranslate(D2010,""en"",""ja"")"),"フィルターの長さ")</f>
        <v>フィルターの長さ</v>
      </c>
      <c r="H2010" s="3" t="str">
        <f ca="1">IFERROR(__xludf.DUMMYFUNCTION("googletranslate(E2010,""en"",""ja"")"),"製品フィルターの長さ。")</f>
        <v>製品フィルターの長さ。</v>
      </c>
      <c r="I2010" s="3" t="str">
        <f ca="1">IFERROR(__xludf.DUMMYFUNCTION("googletranslate(F2010,""en"",""ja"")"),"製品フィルターの長さ")</f>
        <v>製品フィルターの長さ</v>
      </c>
    </row>
    <row r="2011" spans="1:9" ht="30">
      <c r="A2011" s="3" t="s">
        <v>6</v>
      </c>
      <c r="B2011" s="3" t="s">
        <v>8387</v>
      </c>
      <c r="C2011" s="3" t="s">
        <v>8388</v>
      </c>
      <c r="D2011" s="3" t="s">
        <v>8388</v>
      </c>
      <c r="E2011" s="3" t="s">
        <v>8389</v>
      </c>
      <c r="F2011" s="3" t="s">
        <v>8390</v>
      </c>
      <c r="G2011" s="3" t="str">
        <f ca="1">IFERROR(__xludf.DUMMYFUNCTION("googletranslate(D2011,""en"",""ja"")"),"推定流体出力")</f>
        <v>推定流体出力</v>
      </c>
      <c r="H2011" s="3" t="str">
        <f ca="1">IFERROR(__xludf.DUMMYFUNCTION("googletranslate(E2011,""en"",""ja"")"),"設定期間中に排出される液体の総量の推定値。")</f>
        <v>設定期間中に排出される液体の総量の推定値。</v>
      </c>
      <c r="I2011" s="3" t="str">
        <f ca="1">IFERROR(__xludf.DUMMYFUNCTION("googletranslate(F2011,""en"",""ja"")"),"推定流体出力")</f>
        <v>推定流体出力</v>
      </c>
    </row>
    <row r="2012" spans="1:9">
      <c r="A2012" s="3" t="s">
        <v>1557</v>
      </c>
      <c r="B2012" s="3" t="s">
        <v>8391</v>
      </c>
      <c r="C2012" s="3" t="s">
        <v>8392</v>
      </c>
      <c r="D2012" s="3" t="s">
        <v>8392</v>
      </c>
      <c r="E2012" s="3" t="s">
        <v>8393</v>
      </c>
      <c r="F2012" s="3" t="s">
        <v>8394</v>
      </c>
      <c r="G2012" s="3" t="str">
        <f ca="1">IFERROR(__xludf.DUMMYFUNCTION("googletranslate(D2012,""en"",""ja"")"),"流体")</f>
        <v>流体</v>
      </c>
      <c r="H2012" s="3" t="str">
        <f ca="1">IFERROR(__xludf.DUMMYFUNCTION("googletranslate(E2012,""en"",""ja"")"),"生物学的標本または場所内の流体の評価。")</f>
        <v>生物学的標本または場所内の流体の評価。</v>
      </c>
      <c r="I2012" s="3" t="str">
        <f ca="1">IFERROR(__xludf.DUMMYFUNCTION("googletranslate(F2012,""en"",""ja"")"),"流体の評価")</f>
        <v>流体の評価</v>
      </c>
    </row>
    <row r="2013" spans="1:9" ht="30">
      <c r="A2013" s="3" t="s">
        <v>6</v>
      </c>
      <c r="B2013" s="3" t="s">
        <v>8395</v>
      </c>
      <c r="C2013" s="3" t="s">
        <v>8396</v>
      </c>
      <c r="D2013" s="3" t="s">
        <v>8396</v>
      </c>
      <c r="E2013" s="3" t="s">
        <v>8397</v>
      </c>
      <c r="F2013" s="3" t="s">
        <v>8396</v>
      </c>
      <c r="G2013" s="3" t="str">
        <f ca="1">IFERROR(__xludf.DUMMYFUNCTION("googletranslate(D2013,""en"",""ja"")"),"流体出力")</f>
        <v>流体出力</v>
      </c>
      <c r="H2013" s="3" t="str">
        <f ca="1">IFERROR(__xludf.DUMMYFUNCTION("googletranslate(E2013,""en"",""ja"")"),"設定された期間にわたって排出された液体の総量の測定値。")</f>
        <v>設定された期間にわたって排出された液体の総量の測定値。</v>
      </c>
      <c r="I2013" s="3" t="str">
        <f ca="1">IFERROR(__xludf.DUMMYFUNCTION("googletranslate(F2013,""en"",""ja"")"),"流体出力")</f>
        <v>流体出力</v>
      </c>
    </row>
    <row r="2014" spans="1:9">
      <c r="A2014" s="3" t="s">
        <v>6</v>
      </c>
      <c r="B2014" s="3" t="s">
        <v>8398</v>
      </c>
      <c r="C2014" s="3" t="s">
        <v>8399</v>
      </c>
      <c r="D2014" s="3" t="s">
        <v>8399</v>
      </c>
      <c r="E2014" s="3" t="s">
        <v>8400</v>
      </c>
      <c r="F2014" s="3" t="s">
        <v>8401</v>
      </c>
      <c r="G2014" s="3" t="str">
        <f ca="1">IFERROR(__xludf.DUMMYFUNCTION("googletranslate(D2014,""en"",""ja"")"),"フッ素")</f>
        <v>フッ素</v>
      </c>
      <c r="H2014" s="3" t="str">
        <f ca="1">IFERROR(__xludf.DUMMYFUNCTION("googletranslate(E2014,""en"",""ja"")"),"生物学的標本中のフッ化物の測定。")</f>
        <v>生物学的標本中のフッ化物の測定。</v>
      </c>
      <c r="I2014" s="3" t="str">
        <f ca="1">IFERROR(__xludf.DUMMYFUNCTION("googletranslate(F2014,""en"",""ja"")"),"フッ素測定")</f>
        <v>フッ素測定</v>
      </c>
    </row>
    <row r="2015" spans="1:9" ht="30">
      <c r="A2015" s="3" t="s">
        <v>33</v>
      </c>
      <c r="B2015" s="3" t="s">
        <v>8402</v>
      </c>
      <c r="C2015" s="3" t="s">
        <v>8403</v>
      </c>
      <c r="D2015" s="3" t="s">
        <v>8403</v>
      </c>
      <c r="E2015" s="3" t="s">
        <v>8404</v>
      </c>
      <c r="F2015" s="3" t="s">
        <v>8405</v>
      </c>
      <c r="G2015" s="3" t="str">
        <f ca="1">IFERROR(__xludf.DUMMYFUNCTION("googletranslate(D2015,""en"",""ja"")"),"蛍光ラベル")</f>
        <v>蛍光ラベル</v>
      </c>
      <c r="H2015" s="3" t="str">
        <f ca="1">IFERROR(__xludf.DUMMYFUNCTION("googletranslate(E2015,""en"",""ja"")"),"蛍光ベースのアッセイで使用される蛍光標識または色素のタイプ。")</f>
        <v>蛍光ベースのアッセイで使用される蛍光標識または色素のタイプ。</v>
      </c>
      <c r="I2015" s="3" t="str">
        <f ca="1">IFERROR(__xludf.DUMMYFUNCTION("googletranslate(F2015,""en"",""ja"")"),"蛍光タグの種類")</f>
        <v>蛍光タグの種類</v>
      </c>
    </row>
    <row r="2016" spans="1:9" ht="30">
      <c r="A2016" s="3" t="s">
        <v>6</v>
      </c>
      <c r="B2016" s="3" t="s">
        <v>8406</v>
      </c>
      <c r="C2016" s="3" t="s">
        <v>8407</v>
      </c>
      <c r="D2016" s="3" t="s">
        <v>8407</v>
      </c>
      <c r="E2016" s="3" t="s">
        <v>8408</v>
      </c>
      <c r="F2016" s="3" t="s">
        <v>8409</v>
      </c>
      <c r="G2016" s="3" t="str">
        <f ca="1">IFERROR(__xludf.DUMMYFUNCTION("googletranslate(D2016,""en"",""ja"")"),"フルオキセチン")</f>
        <v>フルオキセチン</v>
      </c>
      <c r="H2016" s="3" t="str">
        <f ca="1">IFERROR(__xludf.DUMMYFUNCTION("googletranslate(E2016,""en"",""ja"")"),"生物学的標本中に存在するフルオキセチン薬剤の測定。")</f>
        <v>生物学的標本中に存在するフルオキセチン薬剤の測定。</v>
      </c>
      <c r="I2016" s="3" t="str">
        <f ca="1">IFERROR(__xludf.DUMMYFUNCTION("googletranslate(F2016,""en"",""ja"")"),"フルオキセチンの測定")</f>
        <v>フルオキセチンの測定</v>
      </c>
    </row>
    <row r="2017" spans="1:9">
      <c r="A2017" s="3" t="s">
        <v>6</v>
      </c>
      <c r="B2017" s="3" t="s">
        <v>8410</v>
      </c>
      <c r="C2017" s="3" t="s">
        <v>8411</v>
      </c>
      <c r="D2017" s="3" t="s">
        <v>8411</v>
      </c>
      <c r="E2017" s="3" t="s">
        <v>8412</v>
      </c>
      <c r="F2017" s="3" t="s">
        <v>8413</v>
      </c>
      <c r="G2017" s="3" t="str">
        <f ca="1">IFERROR(__xludf.DUMMYFUNCTION("googletranslate(D2017,""en"",""ja"")"),"ノルフルオキセチン")</f>
        <v>ノルフルオキセチン</v>
      </c>
      <c r="H2017" s="3" t="str">
        <f ca="1">IFERROR(__xludf.DUMMYFUNCTION("googletranslate(E2017,""en"",""ja"")"),"生物学的標本中のノルフルオキセチンの測定。")</f>
        <v>生物学的標本中のノルフルオキセチンの測定。</v>
      </c>
      <c r="I2017" s="3" t="str">
        <f ca="1">IFERROR(__xludf.DUMMYFUNCTION("googletranslate(F2017,""en"",""ja"")"),"ノルフルオキセチンの測定")</f>
        <v>ノルフルオキセチンの測定</v>
      </c>
    </row>
    <row r="2018" spans="1:9">
      <c r="A2018" s="3" t="s">
        <v>6</v>
      </c>
      <c r="B2018" s="3" t="s">
        <v>8414</v>
      </c>
      <c r="C2018" s="3" t="s">
        <v>8415</v>
      </c>
      <c r="D2018" s="3" t="s">
        <v>8415</v>
      </c>
      <c r="E2018" s="3" t="s">
        <v>8416</v>
      </c>
      <c r="F2018" s="3" t="s">
        <v>8417</v>
      </c>
      <c r="G2018" s="3" t="str">
        <f ca="1">IFERROR(__xludf.DUMMYFUNCTION("googletranslate(D2018,""en"",""ja"")"),"フルフェナジン")</f>
        <v>フルフェナジン</v>
      </c>
      <c r="H2018" s="3" t="str">
        <f ca="1">IFERROR(__xludf.DUMMYFUNCTION("googletranslate(E2018,""en"",""ja"")"),"生物学的標本中のフルフェナジンの測定。")</f>
        <v>生物学的標本中のフルフェナジンの測定。</v>
      </c>
      <c r="I2018" s="3" t="str">
        <f ca="1">IFERROR(__xludf.DUMMYFUNCTION("googletranslate(F2018,""en"",""ja"")"),"フルフェナジンの測定")</f>
        <v>フルフェナジンの測定</v>
      </c>
    </row>
    <row r="2019" spans="1:9" ht="30">
      <c r="A2019" s="3" t="s">
        <v>6</v>
      </c>
      <c r="B2019" s="3" t="s">
        <v>8418</v>
      </c>
      <c r="C2019" s="3" t="s">
        <v>8419</v>
      </c>
      <c r="D2019" s="3" t="s">
        <v>8419</v>
      </c>
      <c r="E2019" s="3" t="s">
        <v>8420</v>
      </c>
      <c r="F2019" s="3" t="s">
        <v>8421</v>
      </c>
      <c r="G2019" s="3" t="str">
        <f ca="1">IFERROR(__xludf.DUMMYFUNCTION("googletranslate(D2019,""en"",""ja"")"),"フルボキサミン")</f>
        <v>フルボキサミン</v>
      </c>
      <c r="H2019" s="3" t="str">
        <f ca="1">IFERROR(__xludf.DUMMYFUNCTION("googletranslate(E2019,""en"",""ja"")"),"生物学的標本中に存在するフルボキサミンの測定。")</f>
        <v>生物学的標本中に存在するフルボキサミンの測定。</v>
      </c>
      <c r="I2019" s="3" t="str">
        <f ca="1">IFERROR(__xludf.DUMMYFUNCTION("googletranslate(F2019,""en"",""ja"")"),"フルボキサミンの測定")</f>
        <v>フルボキサミンの測定</v>
      </c>
    </row>
    <row r="2020" spans="1:9" ht="30">
      <c r="A2020" s="3" t="s">
        <v>6</v>
      </c>
      <c r="B2020" s="3" t="s">
        <v>8422</v>
      </c>
      <c r="C2020" s="3" t="s">
        <v>8423</v>
      </c>
      <c r="D2020" s="3" t="s">
        <v>8423</v>
      </c>
      <c r="E2020" s="3" t="s">
        <v>8424</v>
      </c>
      <c r="F2020" s="3" t="s">
        <v>8425</v>
      </c>
      <c r="G2020" s="3" t="str">
        <f ca="1">IFERROR(__xludf.DUMMYFUNCTION("googletranslate(D2020,""en"",""ja"")"),"フルオキシメステロン")</f>
        <v>フルオキシメステロン</v>
      </c>
      <c r="H2020" s="3" t="str">
        <f ca="1">IFERROR(__xludf.DUMMYFUNCTION("googletranslate(E2020,""en"",""ja"")"),"生物学的標本中のフルオキシメステロンの測定。")</f>
        <v>生物学的標本中のフルオキシメステロンの測定。</v>
      </c>
      <c r="I2020" s="3" t="str">
        <f ca="1">IFERROR(__xludf.DUMMYFUNCTION("googletranslate(F2020,""en"",""ja"")"),"フルオキシメステロンの測定")</f>
        <v>フルオキシメステロンの測定</v>
      </c>
    </row>
    <row r="2021" spans="1:9" ht="30">
      <c r="A2021" s="3" t="s">
        <v>142</v>
      </c>
      <c r="B2021" s="3" t="s">
        <v>8426</v>
      </c>
      <c r="C2021" s="3" t="s">
        <v>8427</v>
      </c>
      <c r="D2021" s="3" t="s">
        <v>8427</v>
      </c>
      <c r="E2021" s="3" t="s">
        <v>8428</v>
      </c>
      <c r="F2021" s="3" t="s">
        <v>8427</v>
      </c>
      <c r="G2021" s="3" t="str">
        <f ca="1">IFERROR(__xludf.DUMMYFUNCTION("googletranslate(D2021,""en"",""ja"")"),"最初の月経開始日")</f>
        <v>最初の月経開始日</v>
      </c>
      <c r="H2021" s="3" t="str">
        <f ca="1">IFERROR(__xludf.DUMMYFUNCTION("googletranslate(E2021,""en"",""ja"")"),"最初の月経周期の初日の日付。")</f>
        <v>最初の月経周期の初日の日付。</v>
      </c>
      <c r="I2021" s="3" t="str">
        <f ca="1">IFERROR(__xludf.DUMMYFUNCTION("googletranslate(F2021,""en"",""ja"")"),"最初の月経開始日")</f>
        <v>最初の月経開始日</v>
      </c>
    </row>
    <row r="2022" spans="1:9" ht="30">
      <c r="A2022" s="3" t="s">
        <v>185</v>
      </c>
      <c r="B2022" s="3" t="s">
        <v>8429</v>
      </c>
      <c r="C2022" s="3" t="s">
        <v>8430</v>
      </c>
      <c r="D2022" s="3" t="s">
        <v>8430</v>
      </c>
      <c r="E2022" s="3" t="s">
        <v>8431</v>
      </c>
      <c r="F2022" s="3" t="s">
        <v>8430</v>
      </c>
      <c r="G2022" s="3" t="str">
        <f ca="1">IFERROR(__xludf.DUMMYFUNCTION("googletranslate(D2022,""en"",""ja"")"),"最終線量")</f>
        <v>最終線量</v>
      </c>
      <c r="H2022" s="3" t="str">
        <f ca="1">IFERROR(__xludf.DUMMYFUNCTION("googletranslate(E2022,""en"",""ja"")"),"被験者が用量として摂取した物質の最終量の決定。")</f>
        <v>被験者が用量として摂取した物質の最終量の決定。</v>
      </c>
      <c r="I2022" s="3" t="str">
        <f ca="1">IFERROR(__xludf.DUMMYFUNCTION("googletranslate(F2022,""en"",""ja"")"),"最終線量")</f>
        <v>最終線量</v>
      </c>
    </row>
    <row r="2023" spans="1:9" ht="30">
      <c r="A2023" s="3" t="s">
        <v>185</v>
      </c>
      <c r="B2023" s="3" t="s">
        <v>8432</v>
      </c>
      <c r="C2023" s="3" t="s">
        <v>8433</v>
      </c>
      <c r="D2023" s="3" t="s">
        <v>8433</v>
      </c>
      <c r="E2023" s="3" t="s">
        <v>8434</v>
      </c>
      <c r="F2023" s="3" t="s">
        <v>8433</v>
      </c>
      <c r="G2023" s="3" t="str">
        <f ca="1">IFERROR(__xludf.DUMMYFUNCTION("googletranslate(D2023,""en"",""ja"")"),"最終投与量の頻度")</f>
        <v>最終投与量の頻度</v>
      </c>
      <c r="H2023" s="3" t="str">
        <f ca="1">IFERROR(__xludf.DUMMYFUNCTION("googletranslate(E2023,""en"",""ja"")"),"被験者が最終用量で物質を摂取する頻度の決定。")</f>
        <v>被験者が最終用量で物質を摂取する頻度の決定。</v>
      </c>
      <c r="I2023" s="3" t="str">
        <f ca="1">IFERROR(__xludf.DUMMYFUNCTION("googletranslate(F2023,""en"",""ja"")"),"最終投与量の頻度")</f>
        <v>最終投与量の頻度</v>
      </c>
    </row>
    <row r="2024" spans="1:9" ht="30">
      <c r="A2024" s="3" t="s">
        <v>67</v>
      </c>
      <c r="B2024" s="3" t="s">
        <v>8435</v>
      </c>
      <c r="C2024" s="3" t="s">
        <v>8436</v>
      </c>
      <c r="D2024" s="3" t="s">
        <v>8436</v>
      </c>
      <c r="E2024" s="3" t="s">
        <v>8437</v>
      </c>
      <c r="F2024" s="3" t="s">
        <v>8438</v>
      </c>
      <c r="G2024" s="3" t="str">
        <f ca="1">IFERROR(__xludf.DUMMYFUNCTION("googletranslate(D2024,""en"",""ja"")"),"フソバクテリウム・ヌクレアタム")</f>
        <v>フソバクテリウム・ヌクレアタム</v>
      </c>
      <c r="H2024" s="3" t="str">
        <f ca="1">IFERROR(__xludf.DUMMYFUNCTION("googletranslate(E2024,""en"",""ja"")"),"生物学的標本中の Fusobacterium nucleatum の測定。")</f>
        <v>生物学的標本中の Fusobacterium nucleatum の測定。</v>
      </c>
      <c r="I2024" s="3" t="str">
        <f ca="1">IFERROR(__xludf.DUMMYFUNCTION("googletranslate(F2024,""en"",""ja"")"),"フソバクテリウム・ヌクレアタムの測定")</f>
        <v>フソバクテリウム・ヌクレアタムの測定</v>
      </c>
    </row>
    <row r="2025" spans="1:9" ht="60">
      <c r="A2025" s="3" t="s">
        <v>6</v>
      </c>
      <c r="B2025" s="3" t="s">
        <v>8439</v>
      </c>
      <c r="C2025" s="3" t="s">
        <v>8440</v>
      </c>
      <c r="D2025" s="3" t="s">
        <v>8440</v>
      </c>
      <c r="E2025" s="3" t="s">
        <v>8441</v>
      </c>
      <c r="F2025" s="3" t="s">
        <v>8442</v>
      </c>
      <c r="G2025" s="3" t="str">
        <f ca="1">IFERROR(__xludf.DUMMYFUNCTION("googletranslate(D2025,""en"",""ja"")"),"フルニトラゼパムおよび/または代謝物")</f>
        <v>フルニトラゼパムおよび/または代謝物</v>
      </c>
      <c r="H2025" s="3" t="str">
        <f ca="1">IFERROR(__xludf.DUMMYFUNCTION("googletranslate(E2025,""en"",""ja"")"),"フルニトラゼパムとその代謝物の両方を測定できるアッセイのための、生物学的検体に存在するフルニトラゼパムおよび/またはその代謝物の測定。")</f>
        <v>フルニトラゼパムとその代謝物の両方を測定できるアッセイのための、生物学的検体に存在するフルニトラゼパムおよび/またはその代謝物の測定。</v>
      </c>
      <c r="I2025" s="3" t="str">
        <f ca="1">IFERROR(__xludf.DUMMYFUNCTION("googletranslate(F2025,""en"",""ja"")"),"フルニトラゼパムおよび/または代謝物の測定")</f>
        <v>フルニトラゼパムおよび/または代謝物の測定</v>
      </c>
    </row>
    <row r="2026" spans="1:9" ht="30">
      <c r="A2026" s="3" t="s">
        <v>6</v>
      </c>
      <c r="B2026" s="3" t="s">
        <v>8443</v>
      </c>
      <c r="C2026" s="3" t="s">
        <v>8444</v>
      </c>
      <c r="D2026" s="3" t="s">
        <v>8444</v>
      </c>
      <c r="E2026" s="3" t="s">
        <v>8445</v>
      </c>
      <c r="F2026" s="3" t="s">
        <v>8446</v>
      </c>
      <c r="G2026" s="3" t="str">
        <f ca="1">IFERROR(__xludf.DUMMYFUNCTION("googletranslate(D2026,""en"",""ja"")"),"葉酸加水分解酵素 mRNA")</f>
        <v>葉酸加水分解酵素 mRNA</v>
      </c>
      <c r="H2026" s="3" t="str">
        <f ca="1">IFERROR(__xludf.DUMMYFUNCTION("googletranslate(E2026,""en"",""ja"")"),"生物学的標本中の葉酸加水分解酵素 mRNA の測定。")</f>
        <v>生物学的標本中の葉酸加水分解酵素 mRNA の測定。</v>
      </c>
      <c r="I2026" s="3" t="str">
        <f ca="1">IFERROR(__xludf.DUMMYFUNCTION("googletranslate(F2026,""en"",""ja"")"),"葉酸加水分解酵素mRNAの測定")</f>
        <v>葉酸加水分解酵素mRNAの測定</v>
      </c>
    </row>
    <row r="2027" spans="1:9" ht="30">
      <c r="A2027" s="3" t="s">
        <v>51</v>
      </c>
      <c r="B2027" s="3" t="s">
        <v>8447</v>
      </c>
      <c r="C2027" s="3" t="s">
        <v>8448</v>
      </c>
      <c r="D2027" s="3" t="s">
        <v>8449</v>
      </c>
      <c r="E2027" s="3" t="s">
        <v>8450</v>
      </c>
      <c r="F2027" s="3" t="s">
        <v>8451</v>
      </c>
      <c r="G2027" s="3" t="str">
        <f ca="1">IFERROR(__xludf.DUMMYFUNCTION("googletranslate(D2027,""en"",""ja"")"),"ホルムアルデヒド;ギ酸アルデヒド;メタナル")</f>
        <v>ホルムアルデヒド;ギ酸アルデヒド;メタナル</v>
      </c>
      <c r="H2027" s="3" t="str">
        <f ca="1">IFERROR(__xludf.DUMMYFUNCTION("googletranslate(E2027,""en"",""ja"")"),"試験片中のホルムアルデヒドの測定。")</f>
        <v>試験片中のホルムアルデヒドの測定。</v>
      </c>
      <c r="I2027" s="3" t="str">
        <f ca="1">IFERROR(__xludf.DUMMYFUNCTION("googletranslate(F2027,""en"",""ja"")"),"ホルムアルデヒド測定")</f>
        <v>ホルムアルデヒド測定</v>
      </c>
    </row>
    <row r="2028" spans="1:9" ht="30">
      <c r="A2028" s="3" t="s">
        <v>6</v>
      </c>
      <c r="B2028" s="3" t="s">
        <v>8447</v>
      </c>
      <c r="C2028" s="3" t="s">
        <v>8448</v>
      </c>
      <c r="D2028" s="3" t="s">
        <v>8449</v>
      </c>
      <c r="E2028" s="3" t="s">
        <v>8450</v>
      </c>
      <c r="F2028" s="3" t="s">
        <v>8451</v>
      </c>
      <c r="G2028" s="3" t="str">
        <f ca="1">IFERROR(__xludf.DUMMYFUNCTION("googletranslate(D2028,""en"",""ja"")"),"ホルムアルデヒド;ギ酸アルデヒド;メタナル")</f>
        <v>ホルムアルデヒド;ギ酸アルデヒド;メタナル</v>
      </c>
      <c r="H2028" s="3" t="str">
        <f ca="1">IFERROR(__xludf.DUMMYFUNCTION("googletranslate(E2028,""en"",""ja"")"),"試験片中のホルムアルデヒドの測定。")</f>
        <v>試験片中のホルムアルデヒドの測定。</v>
      </c>
      <c r="I2028" s="3" t="str">
        <f ca="1">IFERROR(__xludf.DUMMYFUNCTION("googletranslate(F2028,""en"",""ja"")"),"ホルムアルデヒド測定")</f>
        <v>ホルムアルデヒド測定</v>
      </c>
    </row>
    <row r="2029" spans="1:9" ht="30">
      <c r="A2029" s="3" t="s">
        <v>103</v>
      </c>
      <c r="B2029" s="3" t="s">
        <v>8452</v>
      </c>
      <c r="C2029" s="3" t="s">
        <v>8453</v>
      </c>
      <c r="D2029" s="3" t="s">
        <v>8454</v>
      </c>
      <c r="E2029" s="3" t="s">
        <v>8455</v>
      </c>
      <c r="F2029" s="3" t="s">
        <v>8456</v>
      </c>
      <c r="G2029" s="3" t="str">
        <f ca="1">IFERROR(__xludf.DUMMYFUNCTION("googletranslate(D2029,""en"",""ja"")"),"FoxP3 発現。 FP3 式")</f>
        <v>FoxP3 発現。 FP3 式</v>
      </c>
      <c r="H2029" s="3" t="str">
        <f ca="1">IFERROR(__xludf.DUMMYFUNCTION("googletranslate(E2029,""en"",""ja"")"),"生物学的標本における細胞の FoxP3 発現の測定。")</f>
        <v>生物学的標本における細胞の FoxP3 発現の測定。</v>
      </c>
      <c r="I2029" s="3" t="str">
        <f ca="1">IFERROR(__xludf.DUMMYFUNCTION("googletranslate(F2029,""en"",""ja"")"),"FoxP3発現測定")</f>
        <v>FoxP3発現測定</v>
      </c>
    </row>
    <row r="2030" spans="1:9" ht="30">
      <c r="A2030" s="3" t="s">
        <v>6</v>
      </c>
      <c r="B2030" s="3" t="s">
        <v>8457</v>
      </c>
      <c r="C2030" s="3" t="s">
        <v>8458</v>
      </c>
      <c r="D2030" s="3" t="s">
        <v>8458</v>
      </c>
      <c r="E2030" s="3" t="s">
        <v>8459</v>
      </c>
      <c r="F2030" s="3" t="s">
        <v>8460</v>
      </c>
      <c r="G2030" s="3" t="str">
        <f ca="1">IFERROR(__xludf.DUMMYFUNCTION("googletranslate(D2030,""en"",""ja"")"),"プロトポルフィリン、フリー")</f>
        <v>プロトポルフィリン、フリー</v>
      </c>
      <c r="H2030" s="3" t="str">
        <f ca="1">IFERROR(__xludf.DUMMYFUNCTION("googletranslate(E2030,""en"",""ja"")"),"生物学的標本中の遊離プロトポルフィリン（ヘモグロビン中の鉄と結合していない）の測定。")</f>
        <v>生物学的標本中の遊離プロトポルフィリン（ヘモグロビン中の鉄と結合していない）の測定。</v>
      </c>
      <c r="I2030" s="3" t="str">
        <f ca="1">IFERROR(__xludf.DUMMYFUNCTION("googletranslate(F2030,""en"",""ja"")"),"無料のプロトポルフィリン測定")</f>
        <v>無料のプロトポルフィリン測定</v>
      </c>
    </row>
    <row r="2031" spans="1:9" ht="30">
      <c r="A2031" s="3" t="s">
        <v>490</v>
      </c>
      <c r="B2031" s="3" t="s">
        <v>8461</v>
      </c>
      <c r="C2031" s="3" t="s">
        <v>8462</v>
      </c>
      <c r="D2031" s="3" t="s">
        <v>8462</v>
      </c>
      <c r="E2031" s="3" t="s">
        <v>8463</v>
      </c>
      <c r="F2031" s="3" t="s">
        <v>8462</v>
      </c>
      <c r="G2031" s="3" t="str">
        <f ca="1">IFERROR(__xludf.DUMMYFUNCTION("googletranslate(D2031,""en"",""ja"")"),"機能残存容量")</f>
        <v>機能残存容量</v>
      </c>
      <c r="H2031" s="3" t="str">
        <f ca="1">IFERROR(__xludf.DUMMYFUNCTION("googletranslate(E2031,""en"",""ja"")"),"通常の呼気後に肺内に残る空気の量。 (NCI)")</f>
        <v>通常の呼気後に肺内に残る空気の量。 (NCI)</v>
      </c>
      <c r="I2031" s="3" t="str">
        <f ca="1">IFERROR(__xludf.DUMMYFUNCTION("googletranslate(F2031,""en"",""ja"")"),"機能残存容量")</f>
        <v>機能残存容量</v>
      </c>
    </row>
    <row r="2032" spans="1:9" ht="30">
      <c r="A2032" s="3" t="s">
        <v>490</v>
      </c>
      <c r="B2032" s="3" t="s">
        <v>8464</v>
      </c>
      <c r="C2032" s="3" t="s">
        <v>8465</v>
      </c>
      <c r="D2032" s="3" t="s">
        <v>8465</v>
      </c>
      <c r="E2032" s="3" t="s">
        <v>8466</v>
      </c>
      <c r="F2032" s="3" t="s">
        <v>8467</v>
      </c>
      <c r="G2032" s="3" t="str">
        <f ca="1">IFERROR(__xludf.DUMMYFUNCTION("googletranslate(D2032,""en"",""ja"")"),"予測された FRC の割合")</f>
        <v>予測された FRC の割合</v>
      </c>
      <c r="H2032" s="3" t="str">
        <f ca="1">IFERROR(__xludf.DUMMYFUNCTION("googletranslate(E2032,""en"",""ja"")"),"予測された正常値に対する機能的残気の割合。")</f>
        <v>予測された正常値に対する機能的残気の割合。</v>
      </c>
      <c r="I2032" s="3" t="str">
        <f ca="1">IFERROR(__xludf.DUMMYFUNCTION("googletranslate(F2032,""en"",""ja"")"),"予測機能残気容量のパーセント")</f>
        <v>予測機能残気容量のパーセント</v>
      </c>
    </row>
    <row r="2033" spans="1:9" ht="45">
      <c r="A2033" s="3" t="s">
        <v>6</v>
      </c>
      <c r="B2033" s="3" t="s">
        <v>8468</v>
      </c>
      <c r="C2033" s="3" t="s">
        <v>8469</v>
      </c>
      <c r="D2033" s="3" t="s">
        <v>8469</v>
      </c>
      <c r="E2033" s="3" t="s">
        <v>8470</v>
      </c>
      <c r="F2033" s="3" t="s">
        <v>8469</v>
      </c>
      <c r="G2033" s="3" t="str">
        <f ca="1">IFERROR(__xludf.DUMMYFUNCTION("googletranslate(D2033,""en"",""ja"")"),"部分的鉄吸収")</f>
        <v>部分的鉄吸収</v>
      </c>
      <c r="H2033" s="3" t="str">
        <f ca="1">IFERROR(__xludf.DUMMYFUNCTION("googletranslate(E2033,""en"",""ja"")"),"利用可能な鉄の総量に対する、組織または細胞に吸収された鉄の相対的な測定値 (比率またはパーセンテージ)。")</f>
        <v>利用可能な鉄の総量に対する、組織または細胞に吸収された鉄の相対的な測定値 (比率またはパーセンテージ)。</v>
      </c>
      <c r="I2033" s="3" t="str">
        <f ca="1">IFERROR(__xludf.DUMMYFUNCTION("googletranslate(F2033,""en"",""ja"")"),"部分的鉄吸収")</f>
        <v>部分的鉄吸収</v>
      </c>
    </row>
    <row r="2034" spans="1:9" ht="45">
      <c r="A2034" s="3" t="s">
        <v>118</v>
      </c>
      <c r="B2034" s="3" t="s">
        <v>8471</v>
      </c>
      <c r="C2034" s="3" t="s">
        <v>8472</v>
      </c>
      <c r="D2034" s="3" t="s">
        <v>8472</v>
      </c>
      <c r="E2034" s="3" t="s">
        <v>8473</v>
      </c>
      <c r="F2034" s="3" t="s">
        <v>8472</v>
      </c>
      <c r="G2034" s="3" t="str">
        <f ca="1">IFERROR(__xludf.DUMMYFUNCTION("googletranslate(D2034,""en"",""ja"")"),"ボディフレームサイズ")</f>
        <v>ボディフレームサイズ</v>
      </c>
      <c r="H2034" s="3" t="str">
        <f ca="1">IFERROR(__xludf.DUMMYFUNCTION("googletranslate(E2034,""en"",""ja"")"),"手首の周囲または肘の幅の測定に基づいて、人の体格を小、中、大に分類すること。 (NCI)")</f>
        <v>手首の周囲または肘の幅の測定に基づいて、人の体格を小、中、大に分類すること。 (NCI)</v>
      </c>
      <c r="I2034" s="3" t="str">
        <f ca="1">IFERROR(__xludf.DUMMYFUNCTION("googletranslate(F2034,""en"",""ja"")"),"ボディフレームサイズ")</f>
        <v>ボディフレームサイズ</v>
      </c>
    </row>
    <row r="2035" spans="1:9" ht="30">
      <c r="A2035" s="3" t="s">
        <v>6</v>
      </c>
      <c r="B2035" s="3" t="s">
        <v>8474</v>
      </c>
      <c r="C2035" s="3" t="s">
        <v>8475</v>
      </c>
      <c r="D2035" s="3" t="s">
        <v>8475</v>
      </c>
      <c r="E2035" s="3" t="s">
        <v>8476</v>
      </c>
      <c r="F2035" s="3" t="s">
        <v>8477</v>
      </c>
      <c r="G2035" s="3" t="str">
        <f ca="1">IFERROR(__xludf.DUMMYFUNCTION("googletranslate(D2035,""en"",""ja"")"),"糖化フェリチン")</f>
        <v>糖化フェリチン</v>
      </c>
      <c r="H2035" s="3" t="str">
        <f ca="1">IFERROR(__xludf.DUMMYFUNCTION("googletranslate(E2035,""en"",""ja"")"),"生体試料中の糖化フェリチンの測定。")</f>
        <v>生体試料中の糖化フェリチンの測定。</v>
      </c>
      <c r="I2035" s="3" t="str">
        <f ca="1">IFERROR(__xludf.DUMMYFUNCTION("googletranslate(F2035,""en"",""ja"")"),"糖化フェリチンの測定")</f>
        <v>糖化フェリチンの測定</v>
      </c>
    </row>
    <row r="2036" spans="1:9" ht="45">
      <c r="A2036" s="3" t="s">
        <v>6</v>
      </c>
      <c r="B2036" s="3" t="s">
        <v>8478</v>
      </c>
      <c r="C2036" s="3" t="s">
        <v>8479</v>
      </c>
      <c r="D2036" s="3" t="s">
        <v>8479</v>
      </c>
      <c r="E2036" s="3" t="s">
        <v>8480</v>
      </c>
      <c r="F2036" s="3" t="s">
        <v>8481</v>
      </c>
      <c r="G2036" s="3" t="str">
        <f ca="1">IFERROR(__xludf.DUMMYFUNCTION("googletranslate(D2036,""en"",""ja"")"),"糖化フェリチン/フェリチン")</f>
        <v>糖化フェリチン/フェリチン</v>
      </c>
      <c r="H2036" s="3" t="str">
        <f ca="1">IFERROR(__xludf.DUMMYFUNCTION("googletranslate(E2036,""en"",""ja"")"),"生物学的標本中の総フェリチンに対する糖化フェリチンの相対測定値 (比率またはパーセンテージ)。")</f>
        <v>生物学的標本中の総フェリチンに対する糖化フェリチンの相対測定値 (比率またはパーセンテージ)。</v>
      </c>
      <c r="I2036" s="3" t="str">
        <f ca="1">IFERROR(__xludf.DUMMYFUNCTION("googletranslate(F2036,""en"",""ja"")"),"糖化フェリチンとフェリチンの比率測定")</f>
        <v>糖化フェリチンとフェリチンの比率測定</v>
      </c>
    </row>
    <row r="2037" spans="1:9" ht="30">
      <c r="A2037" s="3" t="s">
        <v>6</v>
      </c>
      <c r="B2037" s="3" t="s">
        <v>8482</v>
      </c>
      <c r="C2037" s="3" t="s">
        <v>8483</v>
      </c>
      <c r="D2037" s="3" t="s">
        <v>8483</v>
      </c>
      <c r="E2037" s="3" t="s">
        <v>8484</v>
      </c>
      <c r="F2037" s="3" t="s">
        <v>8485</v>
      </c>
      <c r="G2037" s="3" t="str">
        <f ca="1">IFERROR(__xludf.DUMMYFUNCTION("googletranslate(D2037,""en"",""ja"")"),"グリコシル化フェリチン")</f>
        <v>グリコシル化フェリチン</v>
      </c>
      <c r="H2037" s="3" t="str">
        <f ca="1">IFERROR(__xludf.DUMMYFUNCTION("googletranslate(E2037,""en"",""ja"")"),"生物学的標本中のグリコシル化フェリチンの測定。")</f>
        <v>生物学的標本中のグリコシル化フェリチンの測定。</v>
      </c>
      <c r="I2037" s="3" t="str">
        <f ca="1">IFERROR(__xludf.DUMMYFUNCTION("googletranslate(F2037,""en"",""ja"")"),"糖化フェリチンの測定")</f>
        <v>糖化フェリチンの測定</v>
      </c>
    </row>
    <row r="2038" spans="1:9" ht="45">
      <c r="A2038" s="3" t="s">
        <v>6</v>
      </c>
      <c r="B2038" s="3" t="s">
        <v>8486</v>
      </c>
      <c r="C2038" s="3" t="s">
        <v>8487</v>
      </c>
      <c r="D2038" s="3" t="s">
        <v>8487</v>
      </c>
      <c r="E2038" s="3" t="s">
        <v>8488</v>
      </c>
      <c r="F2038" s="3" t="s">
        <v>8489</v>
      </c>
      <c r="G2038" s="3" t="str">
        <f ca="1">IFERROR(__xludf.DUMMYFUNCTION("googletranslate(D2038,""en"",""ja"")"),"グリコシル化フェリチン/フェリチン")</f>
        <v>グリコシル化フェリチン/フェリチン</v>
      </c>
      <c r="H2038" s="3" t="str">
        <f ca="1">IFERROR(__xludf.DUMMYFUNCTION("googletranslate(E2038,""en"",""ja"")"),"生物学的標本中の総フェリチンに対するグリコシル化フェリチンの相対測定値 (比率またはパーセンテージ)。")</f>
        <v>生物学的標本中の総フェリチンに対するグリコシル化フェリチンの相対測定値 (比率またはパーセンテージ)。</v>
      </c>
      <c r="I2038" s="3" t="str">
        <f ca="1">IFERROR(__xludf.DUMMYFUNCTION("googletranslate(F2038,""en"",""ja"")"),"グリコシル化フェリチンとフェリチンの比率の測定")</f>
        <v>グリコシル化フェリチンとフェリチンの比率の測定</v>
      </c>
    </row>
    <row r="2039" spans="1:9" ht="30">
      <c r="A2039" s="3" t="s">
        <v>503</v>
      </c>
      <c r="B2039" s="3" t="s">
        <v>8490</v>
      </c>
      <c r="C2039" s="3" t="s">
        <v>8491</v>
      </c>
      <c r="D2039" s="3" t="s">
        <v>8491</v>
      </c>
      <c r="E2039" s="3" t="s">
        <v>8492</v>
      </c>
      <c r="F2039" s="3" t="s">
        <v>8491</v>
      </c>
      <c r="G2039" s="3" t="str">
        <f ca="1">IFERROR(__xludf.DUMMYFUNCTION("googletranslate(D2039,""en"",""ja"")"),"受胎能力のステータス")</f>
        <v>受胎能力のステータス</v>
      </c>
      <c r="H2039" s="3" t="str">
        <f ca="1">IFERROR(__xludf.DUMMYFUNCTION("googletranslate(E2039,""en"",""ja"")"),"子孫を残す能力に関する個人のステータス。")</f>
        <v>子孫を残す能力に関する個人のステータス。</v>
      </c>
      <c r="I2039" s="3" t="str">
        <f ca="1">IFERROR(__xludf.DUMMYFUNCTION("googletranslate(F2039,""en"",""ja"")"),"受胎能力のステータス")</f>
        <v>受胎能力のステータス</v>
      </c>
    </row>
    <row r="2040" spans="1:9" ht="30">
      <c r="A2040" s="3" t="s">
        <v>6</v>
      </c>
      <c r="B2040" s="3" t="s">
        <v>8493</v>
      </c>
      <c r="C2040" s="3" t="s">
        <v>8494</v>
      </c>
      <c r="D2040" s="3" t="s">
        <v>8495</v>
      </c>
      <c r="E2040" s="3" t="s">
        <v>8496</v>
      </c>
      <c r="F2040" s="3" t="s">
        <v>8497</v>
      </c>
      <c r="G2040" s="3" t="str">
        <f ca="1">IFERROR(__xludf.DUMMYFUNCTION("googletranslate(D2040,""en"",""ja"")"),"アポフェリチン;フェリチン重鎖; FTH; FTH1")</f>
        <v>アポフェリチン;フェリチン重鎖; FTH; FTH1</v>
      </c>
      <c r="H2040" s="3" t="str">
        <f ca="1">IFERROR(__xludf.DUMMYFUNCTION("googletranslate(E2040,""en"",""ja"")"),"生物学的標本中のフェリチン重鎖の測定。")</f>
        <v>生物学的標本中のフェリチン重鎖の測定。</v>
      </c>
      <c r="I2040" s="3" t="str">
        <f ca="1">IFERROR(__xludf.DUMMYFUNCTION("googletranslate(F2040,""en"",""ja"")"),"フェリチン重鎖の測定")</f>
        <v>フェリチン重鎖の測定</v>
      </c>
    </row>
    <row r="2041" spans="1:9" ht="30">
      <c r="A2041" s="3" t="s">
        <v>6</v>
      </c>
      <c r="B2041" s="3" t="s">
        <v>8498</v>
      </c>
      <c r="C2041" s="3" t="s">
        <v>8499</v>
      </c>
      <c r="D2041" s="3" t="s">
        <v>8500</v>
      </c>
      <c r="E2041" s="3" t="s">
        <v>8501</v>
      </c>
      <c r="F2041" s="3" t="s">
        <v>8502</v>
      </c>
      <c r="G2041" s="3" t="str">
        <f ca="1">IFERROR(__xludf.DUMMYFUNCTION("googletranslate(D2041,""en"",""ja"")"),"フェリチン軽鎖; FTL; Lアポフェリチン")</f>
        <v>フェリチン軽鎖; FTL; Lアポフェリチン</v>
      </c>
      <c r="H2041" s="3" t="str">
        <f ca="1">IFERROR(__xludf.DUMMYFUNCTION("googletranslate(E2041,""en"",""ja"")"),"生物学的標本中のフェリチン軽鎖の測定。")</f>
        <v>生物学的標本中のフェリチン軽鎖の測定。</v>
      </c>
      <c r="I2041" s="3" t="str">
        <f ca="1">IFERROR(__xludf.DUMMYFUNCTION("googletranslate(F2041,""en"",""ja"")"),"フェリチン軽鎖の測定")</f>
        <v>フェリチン軽鎖の測定</v>
      </c>
    </row>
    <row r="2042" spans="1:9" ht="30">
      <c r="A2042" s="3" t="s">
        <v>6</v>
      </c>
      <c r="B2042" s="3" t="s">
        <v>8503</v>
      </c>
      <c r="C2042" s="3" t="s">
        <v>8504</v>
      </c>
      <c r="D2042" s="3" t="s">
        <v>8505</v>
      </c>
      <c r="E2042" s="3" t="s">
        <v>8506</v>
      </c>
      <c r="F2042" s="3" t="s">
        <v>8507</v>
      </c>
      <c r="G2042" s="3" t="str">
        <f ca="1">IFERROR(__xludf.DUMMYFUNCTION("googletranslate(D2042,""en"",""ja"")"),"フルクトサミン;糖化血清タンパク質")</f>
        <v>フルクトサミン;糖化血清タンパク質</v>
      </c>
      <c r="H2042" s="3" t="str">
        <f ca="1">IFERROR(__xludf.DUMMYFUNCTION("googletranslate(E2042,""en"",""ja"")"),"生物学的標本中のフルクトサミンの測定。")</f>
        <v>生物学的標本中のフルクトサミンの測定。</v>
      </c>
      <c r="I2042" s="3" t="str">
        <f ca="1">IFERROR(__xludf.DUMMYFUNCTION("googletranslate(F2042,""en"",""ja"")"),"フルクトサミンの測定")</f>
        <v>フルクトサミンの測定</v>
      </c>
    </row>
    <row r="2043" spans="1:9">
      <c r="A2043" s="3" t="s">
        <v>6</v>
      </c>
      <c r="B2043" s="3" t="s">
        <v>8508</v>
      </c>
      <c r="C2043" s="3" t="s">
        <v>8509</v>
      </c>
      <c r="D2043" s="3" t="s">
        <v>8509</v>
      </c>
      <c r="E2043" s="3" t="s">
        <v>8510</v>
      </c>
      <c r="F2043" s="3" t="s">
        <v>8511</v>
      </c>
      <c r="G2043" s="3" t="str">
        <f ca="1">IFERROR(__xludf.DUMMYFUNCTION("googletranslate(D2043,""en"",""ja"")"),"フルクトース")</f>
        <v>フルクトース</v>
      </c>
      <c r="H2043" s="3" t="str">
        <f ca="1">IFERROR(__xludf.DUMMYFUNCTION("googletranslate(E2043,""en"",""ja"")"),"生物学的標本中のフルクトースの測定。")</f>
        <v>生物学的標本中のフルクトースの測定。</v>
      </c>
      <c r="I2043" s="3" t="str">
        <f ca="1">IFERROR(__xludf.DUMMYFUNCTION("googletranslate(F2043,""en"",""ja"")"),"フルクトース測定")</f>
        <v>フルクトース測定</v>
      </c>
    </row>
    <row r="2044" spans="1:9" ht="30">
      <c r="A2044" s="3" t="s">
        <v>6</v>
      </c>
      <c r="B2044" s="3" t="s">
        <v>8512</v>
      </c>
      <c r="C2044" s="3" t="s">
        <v>8513</v>
      </c>
      <c r="D2044" s="3" t="s">
        <v>8513</v>
      </c>
      <c r="E2044" s="3" t="s">
        <v>8514</v>
      </c>
      <c r="F2044" s="3" t="s">
        <v>8515</v>
      </c>
      <c r="G2044" s="3" t="str">
        <f ca="1">IFERROR(__xludf.DUMMYFUNCTION("googletranslate(D2044,""en"",""ja"")"),"総タンパク質を補正したフルクトサミン")</f>
        <v>総タンパク質を補正したフルクトサミン</v>
      </c>
      <c r="H2044" s="3" t="str">
        <f ca="1">IFERROR(__xludf.DUMMYFUNCTION("googletranslate(E2044,""en"",""ja"")"),"生物学的標本中の総タンパク質について補正されたフルクトサミンの測定。")</f>
        <v>生物学的標本中の総タンパク質について補正されたフルクトサミンの測定。</v>
      </c>
      <c r="I2044" s="3" t="str">
        <f ca="1">IFERROR(__xludf.DUMMYFUNCTION("googletranslate(F2044,""en"",""ja"")"),"総タンパク質測定用に補正されたフルクトサミン")</f>
        <v>総タンパク質測定用に補正されたフルクトサミン</v>
      </c>
    </row>
    <row r="2045" spans="1:9" ht="45">
      <c r="A2045" s="3" t="s">
        <v>6</v>
      </c>
      <c r="B2045" s="3" t="s">
        <v>8516</v>
      </c>
      <c r="C2045" s="3" t="s">
        <v>8517</v>
      </c>
      <c r="D2045" s="3" t="s">
        <v>8517</v>
      </c>
      <c r="E2045" s="3" t="s">
        <v>8518</v>
      </c>
      <c r="F2045" s="3" t="s">
        <v>8519</v>
      </c>
      <c r="G2045" s="3" t="str">
        <f ca="1">IFERROR(__xludf.DUMMYFUNCTION("googletranslate(D2045,""en"",""ja"")"),"フルラゼパムおよび/または代謝物")</f>
        <v>フルラゼパムおよび/または代謝物</v>
      </c>
      <c r="H2045" s="3" t="str">
        <f ca="1">IFERROR(__xludf.DUMMYFUNCTION("googletranslate(E2045,""en"",""ja"")"),"フルラゼパムとその代謝物の両方を測定できるアッセイのための、生物学的標本中に存在するフルラゼパムおよび/またはその代謝物の測定。")</f>
        <v>フルラゼパムとその代謝物の両方を測定できるアッセイのための、生物学的標本中に存在するフルラゼパムおよび/またはその代謝物の測定。</v>
      </c>
      <c r="I2045" s="3" t="str">
        <f ca="1">IFERROR(__xludf.DUMMYFUNCTION("googletranslate(F2045,""en"",""ja"")"),"フルラゼパムおよび/または代謝物の測定")</f>
        <v>フルラゼパムおよび/または代謝物の測定</v>
      </c>
    </row>
    <row r="2046" spans="1:9" ht="30">
      <c r="A2046" s="3" t="s">
        <v>6</v>
      </c>
      <c r="B2046" s="3" t="s">
        <v>8520</v>
      </c>
      <c r="C2046" s="3" t="s">
        <v>8521</v>
      </c>
      <c r="D2046" s="3" t="s">
        <v>8521</v>
      </c>
      <c r="E2046" s="3" t="s">
        <v>8522</v>
      </c>
      <c r="F2046" s="3" t="s">
        <v>8523</v>
      </c>
      <c r="G2046" s="3" t="str">
        <f ca="1">IFERROR(__xludf.DUMMYFUNCTION("googletranslate(D2046,""en"",""ja"")"),"卵胞刺激ホルモン")</f>
        <v>卵胞刺激ホルモン</v>
      </c>
      <c r="H2046" s="3" t="str">
        <f ca="1">IFERROR(__xludf.DUMMYFUNCTION("googletranslate(E2046,""en"",""ja"")"),"生物学的標本中の卵胞刺激ホルモン (FSH) の測定。")</f>
        <v>生物学的標本中の卵胞刺激ホルモン (FSH) の測定。</v>
      </c>
      <c r="I2046" s="3" t="str">
        <f ca="1">IFERROR(__xludf.DUMMYFUNCTION("googletranslate(F2046,""en"",""ja"")"),"卵胞刺激ホルモンの測定")</f>
        <v>卵胞刺激ホルモンの測定</v>
      </c>
    </row>
    <row r="2047" spans="1:9">
      <c r="A2047" s="3" t="s">
        <v>142</v>
      </c>
      <c r="B2047" s="3" t="s">
        <v>8524</v>
      </c>
      <c r="C2047" s="3" t="s">
        <v>8525</v>
      </c>
      <c r="D2047" s="3" t="s">
        <v>8525</v>
      </c>
      <c r="E2047" s="3" t="s">
        <v>8526</v>
      </c>
      <c r="F2047" s="3" t="s">
        <v>8525</v>
      </c>
      <c r="G2047" s="3" t="str">
        <f ca="1">IFERROR(__xludf.DUMMYFUNCTION("googletranslate(D2047,""en"",""ja"")"),"初性交年齢")</f>
        <v>初性交年齢</v>
      </c>
      <c r="H2047" s="3" t="str">
        <f ca="1">IFERROR(__xludf.DUMMYFUNCTION("googletranslate(E2047,""en"",""ja"")"),"初めて性交をした年齢。")</f>
        <v>初めて性交をした年齢。</v>
      </c>
      <c r="I2047" s="3" t="str">
        <f ca="1">IFERROR(__xludf.DUMMYFUNCTION("googletranslate(F2047,""en"",""ja"")"),"初性交年齢")</f>
        <v>初性交年齢</v>
      </c>
    </row>
    <row r="2048" spans="1:9" ht="30">
      <c r="A2048" s="3" t="s">
        <v>142</v>
      </c>
      <c r="B2048" s="3" t="s">
        <v>8527</v>
      </c>
      <c r="C2048" s="3" t="s">
        <v>8528</v>
      </c>
      <c r="D2048" s="3" t="s">
        <v>8528</v>
      </c>
      <c r="E2048" s="3" t="s">
        <v>8529</v>
      </c>
      <c r="F2048" s="3" t="s">
        <v>8528</v>
      </c>
      <c r="G2048" s="3" t="str">
        <f ca="1">IFERROR(__xludf.DUMMYFUNCTION("googletranslate(D2048,""en"",""ja"")"),"初めてのオーラルセックスの年齢")</f>
        <v>初めてのオーラルセックスの年齢</v>
      </c>
      <c r="H2048" s="3" t="str">
        <f ca="1">IFERROR(__xludf.DUMMYFUNCTION("googletranslate(E2048,""en"",""ja"")"),"初めてオーラルセックスが行われた年齢。")</f>
        <v>初めてオーラルセックスが行われた年齢。</v>
      </c>
      <c r="I2048" s="3" t="str">
        <f ca="1">IFERROR(__xludf.DUMMYFUNCTION("googletranslate(F2048,""en"",""ja"")"),"初めてのオーラルセックスの年齢")</f>
        <v>初めてのオーラルセックスの年齢</v>
      </c>
    </row>
    <row r="2049" spans="1:9">
      <c r="A2049" s="3" t="s">
        <v>118</v>
      </c>
      <c r="B2049" s="3" t="s">
        <v>8530</v>
      </c>
      <c r="C2049" s="3" t="s">
        <v>8531</v>
      </c>
      <c r="D2049" s="3" t="s">
        <v>8531</v>
      </c>
      <c r="E2049" s="3" t="s">
        <v>8532</v>
      </c>
      <c r="F2049" s="3" t="s">
        <v>8531</v>
      </c>
      <c r="G2049" s="3" t="str">
        <f ca="1">IFERROR(__xludf.DUMMYFUNCTION("googletranslate(D2049,""en"",""ja"")"),"推定胎児体重")</f>
        <v>推定胎児体重</v>
      </c>
      <c r="H2049" s="3" t="str">
        <f ca="1">IFERROR(__xludf.DUMMYFUNCTION("googletranslate(E2049,""en"",""ja"")"),"胎児のおおよその体重を測定します。")</f>
        <v>胎児のおおよその体重を測定します。</v>
      </c>
      <c r="I2049" s="3" t="str">
        <f ca="1">IFERROR(__xludf.DUMMYFUNCTION("googletranslate(F2049,""en"",""ja"")"),"推定胎児体重")</f>
        <v>推定胎児体重</v>
      </c>
    </row>
    <row r="2050" spans="1:9" ht="30">
      <c r="A2050" s="3" t="s">
        <v>118</v>
      </c>
      <c r="B2050" s="3" t="s">
        <v>8533</v>
      </c>
      <c r="C2050" s="3" t="s">
        <v>8534</v>
      </c>
      <c r="D2050" s="3" t="s">
        <v>8534</v>
      </c>
      <c r="E2050" s="3" t="s">
        <v>8535</v>
      </c>
      <c r="F2050" s="3" t="s">
        <v>8534</v>
      </c>
      <c r="G2050" s="3" t="str">
        <f ca="1">IFERROR(__xludf.DUMMYFUNCTION("googletranslate(D2050,""en"",""ja"")"),"児頭周囲")</f>
        <v>児頭周囲</v>
      </c>
      <c r="H2050" s="3" t="str">
        <f ca="1">IFERROR(__xludf.DUMMYFUNCTION("googletranslate(E2050,""en"",""ja"")"),"児頭の最も広い部分の周方向の測定値。")</f>
        <v>児頭の最も広い部分の周方向の測定値。</v>
      </c>
      <c r="I2050" s="3" t="str">
        <f ca="1">IFERROR(__xludf.DUMMYFUNCTION("googletranslate(F2050,""en"",""ja"")"),"児頭周囲")</f>
        <v>児頭周囲</v>
      </c>
    </row>
    <row r="2051" spans="1:9">
      <c r="A2051" s="3" t="s">
        <v>118</v>
      </c>
      <c r="B2051" s="3" t="s">
        <v>8536</v>
      </c>
      <c r="C2051" s="3" t="s">
        <v>8537</v>
      </c>
      <c r="D2051" s="3" t="s">
        <v>8538</v>
      </c>
      <c r="E2051" s="3" t="s">
        <v>8539</v>
      </c>
      <c r="F2051" s="3" t="s">
        <v>8537</v>
      </c>
      <c r="G2051" s="3" t="str">
        <f ca="1">IFERROR(__xludf.DUMMYFUNCTION("googletranslate(D2051,""en"",""ja"")"),"胎児心拍数;胎児の心拍数")</f>
        <v>胎児心拍数;胎児の心拍数</v>
      </c>
      <c r="H2051" s="3" t="str">
        <f ca="1">IFERROR(__xludf.DUMMYFUNCTION("googletranslate(E2051,""en"",""ja"")"),"単位時間あたりの胎児の心拍数。")</f>
        <v>単位時間あたりの胎児の心拍数。</v>
      </c>
      <c r="I2051" s="3" t="str">
        <f ca="1">IFERROR(__xludf.DUMMYFUNCTION("googletranslate(F2051,""en"",""ja"")"),"胎児心拍数")</f>
        <v>胎児心拍数</v>
      </c>
    </row>
    <row r="2052" spans="1:9">
      <c r="A2052" s="3" t="s">
        <v>118</v>
      </c>
      <c r="B2052" s="3" t="s">
        <v>8540</v>
      </c>
      <c r="C2052" s="3" t="s">
        <v>8541</v>
      </c>
      <c r="D2052" s="3" t="s">
        <v>8541</v>
      </c>
      <c r="E2052" s="3" t="s">
        <v>8542</v>
      </c>
      <c r="F2052" s="3" t="s">
        <v>8541</v>
      </c>
      <c r="G2052" s="3" t="str">
        <f ca="1">IFERROR(__xludf.DUMMYFUNCTION("googletranslate(D2052,""en"",""ja"")"),"胎児の下顎の長さ")</f>
        <v>胎児の下顎の長さ</v>
      </c>
      <c r="H2052" s="3" t="str">
        <f ca="1">IFERROR(__xludf.DUMMYFUNCTION("googletranslate(E2052,""en"",""ja"")"),"胎児の下顎の長さの測定。")</f>
        <v>胎児の下顎の長さの測定。</v>
      </c>
      <c r="I2052" s="3" t="str">
        <f ca="1">IFERROR(__xludf.DUMMYFUNCTION("googletranslate(F2052,""en"",""ja"")"),"胎児の下顎の長さ")</f>
        <v>胎児の下顎の長さ</v>
      </c>
    </row>
    <row r="2053" spans="1:9" ht="30">
      <c r="A2053" s="3" t="s">
        <v>118</v>
      </c>
      <c r="B2053" s="3" t="s">
        <v>8543</v>
      </c>
      <c r="C2053" s="3" t="s">
        <v>8544</v>
      </c>
      <c r="D2053" s="3" t="s">
        <v>8545</v>
      </c>
      <c r="E2053" s="3" t="s">
        <v>8546</v>
      </c>
      <c r="F2053" s="3" t="s">
        <v>8544</v>
      </c>
      <c r="G2053" s="3" t="str">
        <f ca="1">IFERROR(__xludf.DUMMYFUNCTION("googletranslate(D2053,""en"",""ja"")"),"胎児のSAD。胎児矢状腹部直径")</f>
        <v>胎児のSAD。胎児矢状腹部直径</v>
      </c>
      <c r="H2053" s="3" t="str">
        <f ca="1">IFERROR(__xludf.DUMMYFUNCTION("googletranslate(E2053,""en"",""ja"")"),"胎児の矢状腹部直径の測定。")</f>
        <v>胎児の矢状腹部直径の測定。</v>
      </c>
      <c r="I2053" s="3" t="str">
        <f ca="1">IFERROR(__xludf.DUMMYFUNCTION("googletranslate(F2053,""en"",""ja"")"),"胎児矢状腹部直径")</f>
        <v>胎児矢状腹部直径</v>
      </c>
    </row>
    <row r="2054" spans="1:9" ht="30">
      <c r="A2054" s="3" t="s">
        <v>503</v>
      </c>
      <c r="B2054" s="3" t="s">
        <v>8547</v>
      </c>
      <c r="C2054" s="3" t="s">
        <v>8548</v>
      </c>
      <c r="D2054" s="3" t="s">
        <v>8548</v>
      </c>
      <c r="E2054" s="3" t="s">
        <v>8549</v>
      </c>
      <c r="F2054" s="3" t="s">
        <v>8548</v>
      </c>
      <c r="G2054" s="3" t="str">
        <f ca="1">IFERROR(__xludf.DUMMYFUNCTION("googletranslate(D2054,""en"",""ja"")"),"全日制学生指標")</f>
        <v>全日制学生指標</v>
      </c>
      <c r="H2054" s="3" t="str">
        <f ca="1">IFERROR(__xludf.DUMMYFUNCTION("googletranslate(E2054,""en"",""ja"")"),"対象者がフルタイムの学生であるかどうかを示すもの。")</f>
        <v>対象者がフルタイムの学生であるかどうかを示すもの。</v>
      </c>
      <c r="I2054" s="3" t="str">
        <f ca="1">IFERROR(__xludf.DUMMYFUNCTION("googletranslate(F2054,""en"",""ja"")"),"全日制学生指標")</f>
        <v>全日制学生指標</v>
      </c>
    </row>
    <row r="2055" spans="1:9" ht="30">
      <c r="A2055" s="3" t="s">
        <v>118</v>
      </c>
      <c r="B2055" s="3" t="s">
        <v>8550</v>
      </c>
      <c r="C2055" s="3" t="s">
        <v>8551</v>
      </c>
      <c r="D2055" s="3" t="s">
        <v>8551</v>
      </c>
      <c r="E2055" s="3" t="s">
        <v>8552</v>
      </c>
      <c r="F2055" s="3" t="s">
        <v>8551</v>
      </c>
      <c r="G2055" s="3" t="str">
        <f ca="1">IFERROR(__xludf.DUMMYFUNCTION("googletranslate(D2055,""en"",""ja"")"),"在胎週数に対する胎児の大きさのカテゴリー")</f>
        <v>在胎週数に対する胎児の大きさのカテゴリー</v>
      </c>
      <c r="H2055" s="3" t="str">
        <f ca="1">IFERROR(__xludf.DUMMYFUNCTION("googletranslate(E2055,""en"",""ja"")"),"胎児の大きさおよび在胎週数と参照集団のそれとの関係を評価し、カテゴリーとして表したもの。")</f>
        <v>胎児の大きさおよび在胎週数と参照集団のそれとの関係を評価し、カテゴリーとして表したもの。</v>
      </c>
      <c r="I2055" s="3" t="str">
        <f ca="1">IFERROR(__xludf.DUMMYFUNCTION("googletranslate(F2055,""en"",""ja"")"),"在胎週数に対する胎児の大きさのカテゴリー")</f>
        <v>在胎週数に対する胎児の大きさのカテゴリー</v>
      </c>
    </row>
    <row r="2056" spans="1:9" ht="60">
      <c r="A2056" s="3" t="s">
        <v>118</v>
      </c>
      <c r="B2056" s="3" t="s">
        <v>8553</v>
      </c>
      <c r="C2056" s="3" t="s">
        <v>8554</v>
      </c>
      <c r="D2056" s="3" t="s">
        <v>8555</v>
      </c>
      <c r="E2056" s="3" t="s">
        <v>8556</v>
      </c>
      <c r="F2056" s="3" t="s">
        <v>8557</v>
      </c>
      <c r="G2056" s="3" t="str">
        <f ca="1">IFERROR(__xludf.DUMMYFUNCTION("googletranslate(D2056,""en"",""ja"")"),"妊娠年齢に対する胎児体重のパーセンタイル。在胎週数に対する胎児体重のパーセンタイル")</f>
        <v>妊娠年齢に対する胎児体重のパーセンタイル。在胎週数に対する胎児体重のパーセンタイル</v>
      </c>
      <c r="H2056" s="3" t="str">
        <f ca="1">IFERROR(__xludf.DUMMYFUNCTION("googletranslate(E2056,""en"",""ja"")"),"胎児の体重および在胎週数と参照集団のそれとの関係を評価し、パーセンタイルで表します。")</f>
        <v>胎児の体重および在胎週数と参照集団のそれとの関係を評価し、パーセンタイルで表します。</v>
      </c>
      <c r="I2056" s="3" t="str">
        <f ca="1">IFERROR(__xludf.DUMMYFUNCTION("googletranslate(F2056,""en"",""ja"")"),"在胎週数に対する胎児体重のパーセンタイル")</f>
        <v>在胎週数に対する胎児体重のパーセンタイル</v>
      </c>
    </row>
    <row r="2057" spans="1:9" ht="45">
      <c r="A2057" s="3" t="s">
        <v>8558</v>
      </c>
      <c r="B2057" s="3" t="s">
        <v>8559</v>
      </c>
      <c r="C2057" s="3" t="s">
        <v>8560</v>
      </c>
      <c r="D2057" s="3" t="s">
        <v>8560</v>
      </c>
      <c r="E2057" s="3" t="s">
        <v>8561</v>
      </c>
      <c r="F2057" s="3" t="s">
        <v>8560</v>
      </c>
      <c r="G2057" s="3" t="str">
        <f ca="1">IFERROR(__xludf.DUMMYFUNCTION("googletranslate(D2057,""en"",""ja"")"),"フォローアップの可用性ステータス")</f>
        <v>フォローアップの可用性ステータス</v>
      </c>
      <c r="H2057" s="3" t="str">
        <f ca="1">IFERROR(__xludf.DUMMYFUNCTION("googletranslate(E2057,""en"",""ja"")"),"被験者が治験治療を受けなくなった後、健康状態に関する情報を提供できる状態または状態。")</f>
        <v>被験者が治験治療を受けなくなった後、健康状態に関する情報を提供できる状態または状態。</v>
      </c>
      <c r="I2057" s="3" t="str">
        <f ca="1">IFERROR(__xludf.DUMMYFUNCTION("googletranslate(F2057,""en"",""ja"")"),"フォローアップの可用性ステータス")</f>
        <v>フォローアップの可用性ステータス</v>
      </c>
    </row>
    <row r="2058" spans="1:9" ht="45">
      <c r="A2058" s="3" t="s">
        <v>142</v>
      </c>
      <c r="B2058" s="3" t="s">
        <v>8562</v>
      </c>
      <c r="C2058" s="3" t="s">
        <v>8563</v>
      </c>
      <c r="D2058" s="3" t="s">
        <v>8563</v>
      </c>
      <c r="E2058" s="3" t="s">
        <v>8564</v>
      </c>
      <c r="F2058" s="3" t="s">
        <v>8563</v>
      </c>
      <c r="G2058" s="3" t="str">
        <f ca="1">IFERROR(__xludf.DUMMYFUNCTION("googletranslate(D2058,""en"",""ja"")"),"正期産の数")</f>
        <v>正期産の数</v>
      </c>
      <c r="H2058" s="3" t="str">
        <f ca="1">IFERROR(__xludf.DUMMYFUNCTION("googletranslate(E2058,""en"",""ja"")"),"新生児の在胎期間が 39 週 0 日から 40 週 6 日までの出産イベント (生死の両方) の総数の測定値。")</f>
        <v>新生児の在胎期間が 39 週 0 日から 40 週 6 日までの出産イベント (生死の両方) の総数の測定値。</v>
      </c>
      <c r="I2058" s="3" t="str">
        <f ca="1">IFERROR(__xludf.DUMMYFUNCTION("googletranslate(F2058,""en"",""ja"")"),"正期産の数")</f>
        <v>正期産の数</v>
      </c>
    </row>
    <row r="2059" spans="1:9" ht="30">
      <c r="A2059" s="3" t="s">
        <v>142</v>
      </c>
      <c r="B2059" s="3" t="s">
        <v>8565</v>
      </c>
      <c r="C2059" s="3" t="s">
        <v>8566</v>
      </c>
      <c r="D2059" s="3" t="s">
        <v>8566</v>
      </c>
      <c r="E2059" s="3" t="s">
        <v>8567</v>
      </c>
      <c r="F2059" s="3" t="s">
        <v>8566</v>
      </c>
      <c r="G2059" s="3" t="str">
        <f ca="1">IFERROR(__xludf.DUMMYFUNCTION("googletranslate(D2059,""en"",""ja"")"),"底部の高さ")</f>
        <v>底部の高さ</v>
      </c>
      <c r="H2059" s="3" t="str">
        <f ca="1">IFERROR(__xludf.DUMMYFUNCTION("googletranslate(E2059,""en"",""ja"")"),"恥骨結合と触知できる子宮の上部との間の距離の測定値。")</f>
        <v>恥骨結合と触知できる子宮の上部との間の距離の測定値。</v>
      </c>
      <c r="I2059" s="3" t="str">
        <f ca="1">IFERROR(__xludf.DUMMYFUNCTION("googletranslate(F2059,""en"",""ja"")"),"底部の高さ")</f>
        <v>底部の高さ</v>
      </c>
    </row>
    <row r="2060" spans="1:9">
      <c r="A2060" s="3" t="s">
        <v>67</v>
      </c>
      <c r="B2060" s="3" t="s">
        <v>8568</v>
      </c>
      <c r="C2060" s="3" t="s">
        <v>8569</v>
      </c>
      <c r="D2060" s="3" t="s">
        <v>8570</v>
      </c>
      <c r="E2060" s="3" t="s">
        <v>8571</v>
      </c>
      <c r="F2060" s="3" t="s">
        <v>8572</v>
      </c>
      <c r="G2060" s="3" t="str">
        <f ca="1">IFERROR(__xludf.DUMMYFUNCTION("googletranslate(D2060,""en"",""ja"")"),"菌類;真菌")</f>
        <v>菌類;真菌</v>
      </c>
      <c r="H2060" s="3" t="str">
        <f ca="1">IFERROR(__xludf.DUMMYFUNCTION("googletranslate(E2060,""en"",""ja"")"),"生物学的標本中の真菌の測定。")</f>
        <v>生物学的標本中の真菌の測定。</v>
      </c>
      <c r="I2060" s="3" t="str">
        <f ca="1">IFERROR(__xludf.DUMMYFUNCTION("googletranslate(F2060,""en"",""ja"")"),"菌類の測定")</f>
        <v>菌類の測定</v>
      </c>
    </row>
    <row r="2061" spans="1:9">
      <c r="A2061" s="3" t="s">
        <v>6</v>
      </c>
      <c r="B2061" s="3" t="s">
        <v>8568</v>
      </c>
      <c r="C2061" s="3" t="s">
        <v>8569</v>
      </c>
      <c r="D2061" s="3" t="s">
        <v>8570</v>
      </c>
      <c r="E2061" s="3" t="s">
        <v>8571</v>
      </c>
      <c r="F2061" s="3" t="s">
        <v>8572</v>
      </c>
      <c r="G2061" s="3" t="str">
        <f ca="1">IFERROR(__xludf.DUMMYFUNCTION("googletranslate(D2061,""en"",""ja"")"),"菌類;真菌")</f>
        <v>菌類;真菌</v>
      </c>
      <c r="H2061" s="3" t="str">
        <f ca="1">IFERROR(__xludf.DUMMYFUNCTION("googletranslate(E2061,""en"",""ja"")"),"生物学的標本中の真菌の測定。")</f>
        <v>生物学的標本中の真菌の測定。</v>
      </c>
      <c r="I2061" s="3" t="str">
        <f ca="1">IFERROR(__xludf.DUMMYFUNCTION("googletranslate(F2061,""en"",""ja"")"),"菌類の測定")</f>
        <v>菌類の測定</v>
      </c>
    </row>
    <row r="2062" spans="1:9" ht="30">
      <c r="A2062" s="3" t="s">
        <v>67</v>
      </c>
      <c r="B2062" s="3" t="s">
        <v>8573</v>
      </c>
      <c r="C2062" s="3" t="s">
        <v>8574</v>
      </c>
      <c r="D2062" s="3" t="s">
        <v>8574</v>
      </c>
      <c r="E2062" s="3" t="s">
        <v>8575</v>
      </c>
      <c r="F2062" s="3" t="s">
        <v>8576</v>
      </c>
      <c r="G2062" s="3" t="str">
        <f ca="1">IFERROR(__xludf.DUMMYFUNCTION("googletranslate(D2062,""en"",""ja"")"),"菌類、糸状菌")</f>
        <v>菌類、糸状菌</v>
      </c>
      <c r="H2062" s="3" t="str">
        <f ca="1">IFERROR(__xludf.DUMMYFUNCTION("googletranslate(E2062,""en"",""ja"")"),"生物学的標本中の糸状菌の測定。")</f>
        <v>生物学的標本中の糸状菌の測定。</v>
      </c>
      <c r="I2062" s="3" t="str">
        <f ca="1">IFERROR(__xludf.DUMMYFUNCTION("googletranslate(F2062,""en"",""ja"")"),"糸状菌数")</f>
        <v>糸状菌数</v>
      </c>
    </row>
    <row r="2063" spans="1:9" ht="30">
      <c r="A2063" s="3" t="s">
        <v>6</v>
      </c>
      <c r="B2063" s="3" t="s">
        <v>8573</v>
      </c>
      <c r="C2063" s="3" t="s">
        <v>8574</v>
      </c>
      <c r="D2063" s="3" t="s">
        <v>8574</v>
      </c>
      <c r="E2063" s="3" t="s">
        <v>8575</v>
      </c>
      <c r="F2063" s="3" t="s">
        <v>8576</v>
      </c>
      <c r="G2063" s="3" t="str">
        <f ca="1">IFERROR(__xludf.DUMMYFUNCTION("googletranslate(D2063,""en"",""ja"")"),"菌類、糸状菌")</f>
        <v>菌類、糸状菌</v>
      </c>
      <c r="H2063" s="3" t="str">
        <f ca="1">IFERROR(__xludf.DUMMYFUNCTION("googletranslate(E2063,""en"",""ja"")"),"生物学的標本中の糸状菌の測定。")</f>
        <v>生物学的標本中の糸状菌の測定。</v>
      </c>
      <c r="I2063" s="3" t="str">
        <f ca="1">IFERROR(__xludf.DUMMYFUNCTION("googletranslate(F2063,""en"",""ja"")"),"糸状菌数")</f>
        <v>糸状菌数</v>
      </c>
    </row>
    <row r="2064" spans="1:9" ht="30">
      <c r="A2064" s="3" t="s">
        <v>6</v>
      </c>
      <c r="B2064" s="3" t="s">
        <v>8577</v>
      </c>
      <c r="C2064" s="3" t="s">
        <v>8578</v>
      </c>
      <c r="D2064" s="3" t="s">
        <v>8578</v>
      </c>
      <c r="E2064" s="3" t="s">
        <v>8579</v>
      </c>
      <c r="F2064" s="3" t="s">
        <v>8580</v>
      </c>
      <c r="G2064" s="3" t="str">
        <f ca="1">IFERROR(__xludf.DUMMYFUNCTION("googletranslate(D2064,""en"",""ja"")"),"菌類、酵母様")</f>
        <v>菌類、酵母様</v>
      </c>
      <c r="H2064" s="3" t="str">
        <f ca="1">IFERROR(__xludf.DUMMYFUNCTION("googletranslate(E2064,""en"",""ja"")"),"生物学的標本中の酵母様真菌の測定。")</f>
        <v>生物学的標本中の酵母様真菌の測定。</v>
      </c>
      <c r="I2064" s="3" t="str">
        <f ca="1">IFERROR(__xludf.DUMMYFUNCTION("googletranslate(F2064,""en"",""ja"")"),"酵母様菌数")</f>
        <v>酵母様菌数</v>
      </c>
    </row>
    <row r="2065" spans="1:9" ht="30">
      <c r="A2065" s="3" t="s">
        <v>67</v>
      </c>
      <c r="B2065" s="3" t="s">
        <v>8577</v>
      </c>
      <c r="C2065" s="3" t="s">
        <v>8578</v>
      </c>
      <c r="D2065" s="3" t="s">
        <v>8578</v>
      </c>
      <c r="E2065" s="3" t="s">
        <v>8579</v>
      </c>
      <c r="F2065" s="3" t="s">
        <v>8580</v>
      </c>
      <c r="G2065" s="3" t="str">
        <f ca="1">IFERROR(__xludf.DUMMYFUNCTION("googletranslate(D2065,""en"",""ja"")"),"菌類、酵母様")</f>
        <v>菌類、酵母様</v>
      </c>
      <c r="H2065" s="3" t="str">
        <f ca="1">IFERROR(__xludf.DUMMYFUNCTION("googletranslate(E2065,""en"",""ja"")"),"生物学的標本中の酵母様真菌の測定。")</f>
        <v>生物学的標本中の酵母様真菌の測定。</v>
      </c>
      <c r="I2065" s="3" t="str">
        <f ca="1">IFERROR(__xludf.DUMMYFUNCTION("googletranslate(F2065,""en"",""ja"")"),"酵母様菌数")</f>
        <v>酵母様菌数</v>
      </c>
    </row>
    <row r="2066" spans="1:9">
      <c r="A2066" s="3" t="s">
        <v>51</v>
      </c>
      <c r="B2066" s="3" t="s">
        <v>8581</v>
      </c>
      <c r="C2066" s="3" t="s">
        <v>8582</v>
      </c>
      <c r="D2066" s="3" t="s">
        <v>8582</v>
      </c>
      <c r="E2066" s="3" t="s">
        <v>8583</v>
      </c>
      <c r="F2066" s="3" t="s">
        <v>8584</v>
      </c>
      <c r="G2066" s="3" t="str">
        <f ca="1">IFERROR(__xludf.DUMMYFUNCTION("googletranslate(D2066,""en"",""ja"")"),"フラン")</f>
        <v>フラン</v>
      </c>
      <c r="H2066" s="3" t="str">
        <f ca="1">IFERROR(__xludf.DUMMYFUNCTION("googletranslate(E2066,""en"",""ja"")"),"標本中のフランの測定。")</f>
        <v>標本中のフランの測定。</v>
      </c>
      <c r="I2066" s="3" t="str">
        <f ca="1">IFERROR(__xludf.DUMMYFUNCTION("googletranslate(F2066,""en"",""ja"")"),"フラン測定")</f>
        <v>フラン測定</v>
      </c>
    </row>
    <row r="2067" spans="1:9">
      <c r="A2067" s="3" t="s">
        <v>6</v>
      </c>
      <c r="B2067" s="3" t="s">
        <v>8585</v>
      </c>
      <c r="C2067" s="3" t="s">
        <v>8586</v>
      </c>
      <c r="D2067" s="3" t="s">
        <v>8586</v>
      </c>
      <c r="E2067" s="3" t="s">
        <v>8587</v>
      </c>
      <c r="F2067" s="3" t="s">
        <v>8588</v>
      </c>
      <c r="G2067" s="3" t="str">
        <f ca="1">IFERROR(__xludf.DUMMYFUNCTION("googletranslate(D2067,""en"",""ja"")"),"フラザボル")</f>
        <v>フラザボル</v>
      </c>
      <c r="H2067" s="3" t="str">
        <f ca="1">IFERROR(__xludf.DUMMYFUNCTION("googletranslate(E2067,""en"",""ja"")"),"生物学的標本中のフラザボルの測定。")</f>
        <v>生物学的標本中のフラザボルの測定。</v>
      </c>
      <c r="I2067" s="3" t="str">
        <f ca="1">IFERROR(__xludf.DUMMYFUNCTION("googletranslate(F2067,""en"",""ja"")"),"フラザボルの測定")</f>
        <v>フラザボルの測定</v>
      </c>
    </row>
    <row r="2068" spans="1:9">
      <c r="A2068" s="3" t="s">
        <v>51</v>
      </c>
      <c r="B2068" s="3" t="s">
        <v>8589</v>
      </c>
      <c r="C2068" s="3" t="s">
        <v>8590</v>
      </c>
      <c r="D2068" s="3" t="s">
        <v>8591</v>
      </c>
      <c r="E2068" s="3" t="s">
        <v>8592</v>
      </c>
      <c r="F2068" s="3" t="s">
        <v>8593</v>
      </c>
      <c r="G2068" s="3" t="str">
        <f ca="1">IFERROR(__xludf.DUMMYFUNCTION("googletranslate(D2068,""en"",""ja"")"),"2-フルアルデヒド;フルフラル")</f>
        <v>2-フルアルデヒド;フルフラル</v>
      </c>
      <c r="H2068" s="3" t="str">
        <f ca="1">IFERROR(__xludf.DUMMYFUNCTION("googletranslate(E2068,""en"",""ja"")"),"標本中のフルフラールの測定。")</f>
        <v>標本中のフルフラールの測定。</v>
      </c>
      <c r="I2068" s="3" t="str">
        <f ca="1">IFERROR(__xludf.DUMMYFUNCTION("googletranslate(F2068,""en"",""ja"")"),"フルフラール測定")</f>
        <v>フルフラール測定</v>
      </c>
    </row>
    <row r="2069" spans="1:9" ht="60">
      <c r="A2069" s="3" t="s">
        <v>6</v>
      </c>
      <c r="B2069" s="3" t="s">
        <v>8594</v>
      </c>
      <c r="C2069" s="3" t="s">
        <v>8595</v>
      </c>
      <c r="D2069" s="3" t="s">
        <v>8596</v>
      </c>
      <c r="E2069" s="3" t="s">
        <v>8597</v>
      </c>
      <c r="F2069" s="3" t="s">
        <v>8598</v>
      </c>
      <c r="G2069" s="3" t="str">
        <f ca="1">IFERROR(__xludf.DUMMYFUNCTION("googletranslate(D2069,""en"",""ja"")"),"第 V 因子活動の実際/対照。第 V 因子活動実際/第 V 因子活動制御。第 V 因子活動の実際/正常")</f>
        <v>第 V 因子活動の実際/対照。第 V 因子活動実際/第 V 因子活動制御。第 V 因子活動の実際/正常</v>
      </c>
      <c r="H2069" s="3" t="str">
        <f ca="1">IFERROR(__xludf.DUMMYFUNCTION("googletranslate(E2069,""en"",""ja"")"),"対照検体における同じ活性と比較した場合の、被験者の検体における第 V 因子依存性凝固の生物学的活性の相対測定値 (比率またはパーセンテージ)。")</f>
        <v>対照検体における同じ活性と比較した場合の、被験者の検体における第 V 因子依存性凝固の生物学的活性の相対測定値 (比率またはパーセンテージ)。</v>
      </c>
      <c r="I2069" s="3" t="str">
        <f ca="1">IFERROR(__xludf.DUMMYFUNCTION("googletranslate(F2069,""en"",""ja"")"),"第 V 因子アクティビティの実際対コントロール比の測定")</f>
        <v>第 V 因子アクティビティの実際対コントロール比の測定</v>
      </c>
    </row>
    <row r="2070" spans="1:9" ht="30">
      <c r="A2070" s="3" t="s">
        <v>490</v>
      </c>
      <c r="B2070" s="3" t="s">
        <v>8599</v>
      </c>
      <c r="C2070" s="3" t="s">
        <v>8600</v>
      </c>
      <c r="D2070" s="3" t="s">
        <v>8600</v>
      </c>
      <c r="E2070" s="3" t="s">
        <v>8601</v>
      </c>
      <c r="F2070" s="3" t="s">
        <v>8600</v>
      </c>
      <c r="G2070" s="3" t="str">
        <f ca="1">IFERROR(__xludf.DUMMYFUNCTION("googletranslate(D2070,""en"",""ja"")"),"強制肺活量")</f>
        <v>強制肺活量</v>
      </c>
      <c r="H2070" s="3" t="str">
        <f ca="1">IFERROR(__xludf.DUMMYFUNCTION("googletranslate(E2070,""en"",""ja"")"),"最大限に吸った後に強制的に吐き出すことができる空気の量。")</f>
        <v>最大限に吸った後に強制的に吐き出すことができる空気の量。</v>
      </c>
      <c r="I2070" s="3" t="str">
        <f ca="1">IFERROR(__xludf.DUMMYFUNCTION("googletranslate(F2070,""en"",""ja"")"),"強制肺活量")</f>
        <v>強制肺活量</v>
      </c>
    </row>
    <row r="2071" spans="1:9" ht="30">
      <c r="A2071" s="3" t="s">
        <v>490</v>
      </c>
      <c r="B2071" s="3" t="s">
        <v>8602</v>
      </c>
      <c r="C2071" s="3" t="s">
        <v>8603</v>
      </c>
      <c r="D2071" s="3" t="s">
        <v>8603</v>
      </c>
      <c r="E2071" s="3" t="s">
        <v>8214</v>
      </c>
      <c r="F2071" s="3" t="s">
        <v>8603</v>
      </c>
      <c r="G2071" s="3" t="str">
        <f ca="1">IFERROR(__xludf.DUMMYFUNCTION("googletranslate(D2071,""en"",""ja"")"),"6秒での強制肺活量")</f>
        <v>6秒での強制肺活量</v>
      </c>
      <c r="H2071" s="3" t="str">
        <f ca="1">IFERROR(__xludf.DUMMYFUNCTION("googletranslate(E2071,""en"",""ja"")"),"最大限に吸入した後の最初の 6 秒間に強制的に吐き出すことができる空気の量。")</f>
        <v>最大限に吸入した後の最初の 6 秒間に強制的に吐き出すことができる空気の量。</v>
      </c>
      <c r="I2071" s="3" t="str">
        <f ca="1">IFERROR(__xludf.DUMMYFUNCTION("googletranslate(F2071,""en"",""ja"")"),"6秒での強制肺活量")</f>
        <v>6秒での強制肺活量</v>
      </c>
    </row>
    <row r="2072" spans="1:9" ht="30">
      <c r="A2072" s="3" t="s">
        <v>490</v>
      </c>
      <c r="B2072" s="3" t="s">
        <v>8604</v>
      </c>
      <c r="C2072" s="3" t="s">
        <v>8605</v>
      </c>
      <c r="D2072" s="3" t="s">
        <v>8605</v>
      </c>
      <c r="E2072" s="3" t="s">
        <v>8606</v>
      </c>
      <c r="F2072" s="3" t="s">
        <v>8605</v>
      </c>
      <c r="G2072" s="3" t="str">
        <f ca="1">IFERROR(__xludf.DUMMYFUNCTION("googletranslate(D2072,""en"",""ja"")"),"予測努力肺活量のパーセント")</f>
        <v>予測努力肺活量のパーセント</v>
      </c>
      <c r="H2072" s="3" t="str">
        <f ca="1">IFERROR(__xludf.DUMMYFUNCTION("googletranslate(E2072,""en"",""ja"")"),"予測された正常値に対する割合としての努力肺活量。")</f>
        <v>予測された正常値に対する割合としての努力肺活量。</v>
      </c>
      <c r="I2072" s="3" t="str">
        <f ca="1">IFERROR(__xludf.DUMMYFUNCTION("googletranslate(F2072,""en"",""ja"")"),"予測努力肺活量のパーセント")</f>
        <v>予測努力肺活量のパーセント</v>
      </c>
    </row>
    <row r="2073" spans="1:9" ht="60">
      <c r="A2073" s="3" t="s">
        <v>6</v>
      </c>
      <c r="B2073" s="3" t="s">
        <v>8607</v>
      </c>
      <c r="C2073" s="3" t="s">
        <v>8608</v>
      </c>
      <c r="D2073" s="3" t="s">
        <v>8609</v>
      </c>
      <c r="E2073" s="3" t="s">
        <v>8610</v>
      </c>
      <c r="F2073" s="3" t="s">
        <v>8611</v>
      </c>
      <c r="G2073" s="3" t="str">
        <f ca="1">IFERROR(__xludf.DUMMYFUNCTION("googletranslate(D2073,""en"",""ja"")"),"第 VII 因子活動の実際/対照。第 VII 因子活動の実際/第 VII 因子活動の制御。第 VII 因子活動の実際/正常")</f>
        <v>第 VII 因子活動の実際/対照。第 VII 因子活動の実際/第 VII 因子活動の制御。第 VII 因子活動の実際/正常</v>
      </c>
      <c r="H2073" s="3" t="str">
        <f ca="1">IFERROR(__xludf.DUMMYFUNCTION("googletranslate(E2073,""en"",""ja"")"),"対照標本における同じ活性と比較した場合の、被験者の標本における第 VII 因子依存性凝固の生物学的活性の相対測定値 (比率またはパーセンテージ)。")</f>
        <v>対照標本における同じ活性と比較した場合の、被験者の標本における第 VII 因子依存性凝固の生物学的活性の相対測定値 (比率またはパーセンテージ)。</v>
      </c>
      <c r="I2073" s="3" t="str">
        <f ca="1">IFERROR(__xludf.DUMMYFUNCTION("googletranslate(F2073,""en"",""ja"")"),"第 VII 因子活動の実際対対照比の測定")</f>
        <v>第 VII 因子活動の実際対対照比の測定</v>
      </c>
    </row>
    <row r="2074" spans="1:9" ht="60">
      <c r="A2074" s="3" t="s">
        <v>6</v>
      </c>
      <c r="B2074" s="3" t="s">
        <v>8612</v>
      </c>
      <c r="C2074" s="3" t="s">
        <v>8613</v>
      </c>
      <c r="D2074" s="3" t="s">
        <v>8614</v>
      </c>
      <c r="E2074" s="3" t="s">
        <v>8615</v>
      </c>
      <c r="F2074" s="3" t="s">
        <v>8616</v>
      </c>
      <c r="G2074" s="3" t="str">
        <f ca="1">IFERROR(__xludf.DUMMYFUNCTION("googletranslate(D2074,""en"",""ja"")"),"第 VIII 因子活性の実際/対照。第 VIII 因子活性の実際/第 VIII 因子活性のコントロール。第 VIII 因子活動の実際/正常")</f>
        <v>第 VIII 因子活性の実際/対照。第 VIII 因子活性の実際/第 VIII 因子活性のコントロール。第 VIII 因子活動の実際/正常</v>
      </c>
      <c r="H2074" s="3" t="str">
        <f ca="1">IFERROR(__xludf.DUMMYFUNCTION("googletranslate(E2074,""en"",""ja"")"),"対照検体における同じ活性と比較した場合の、被験者の検体における第 VIII 因子依存性凝固の生物学的活性の相対測定値 (比率またはパーセンテージ)。")</f>
        <v>対照検体における同じ活性と比較した場合の、被験者の検体における第 VIII 因子依存性凝固の生物学的活性の相対測定値 (比率またはパーセンテージ)。</v>
      </c>
      <c r="I2074" s="3" t="str">
        <f ca="1">IFERROR(__xludf.DUMMYFUNCTION("googletranslate(F2074,""en"",""ja"")"),"第 VIII 因子活性の実際対対照比の測定")</f>
        <v>第 VIII 因子活性の実際対対照比の測定</v>
      </c>
    </row>
    <row r="2075" spans="1:9" ht="90">
      <c r="A2075" s="3" t="s">
        <v>6</v>
      </c>
      <c r="B2075" s="3" t="s">
        <v>8617</v>
      </c>
      <c r="C2075" s="3" t="s">
        <v>8618</v>
      </c>
      <c r="D2075" s="3" t="s">
        <v>8619</v>
      </c>
      <c r="E2075" s="3" t="s">
        <v>8620</v>
      </c>
      <c r="F2075" s="3" t="s">
        <v>8621</v>
      </c>
      <c r="G2075" s="3" t="str">
        <f ca="1">IFERROR(__xludf.DUMMYFUNCTION("googletranslate(D2075,""en"",""ja"")"),"ファクター X アクティビティの実際/対照。ファクター X アクティビティの実際/ファクター X アクティビティの制御。ファクター X アクティビティの実際/通常")</f>
        <v>ファクター X アクティビティの実際/対照。ファクター X アクティビティの実際/ファクター X アクティビティの制御。ファクター X アクティビティの実際/通常</v>
      </c>
      <c r="H2075" s="3" t="str">
        <f ca="1">IFERROR(__xludf.DUMMYFUNCTION("googletranslate(E2075,""en"",""ja"")"),"対照検体における同じ活性と比較した場合の、被験者の検体における第 X 因子依存性凝固の生物学的活性の相対測定値 (比率またはパーセンテージ)。")</f>
        <v>対照検体における同じ活性と比較した場合の、被験者の検体における第 X 因子依存性凝固の生物学的活性の相対測定値 (比率またはパーセンテージ)。</v>
      </c>
      <c r="I2075" s="3" t="str">
        <f ca="1">IFERROR(__xludf.DUMMYFUNCTION("googletranslate(F2075,""en"",""ja"")"),"ファクター X アクティビティの実際/制御比の測定")</f>
        <v>ファクター X アクティビティの実際/制御比の測定</v>
      </c>
    </row>
    <row r="2076" spans="1:9" ht="45">
      <c r="A2076" s="3" t="s">
        <v>6</v>
      </c>
      <c r="B2076" s="3" t="s">
        <v>8622</v>
      </c>
      <c r="C2076" s="3" t="s">
        <v>8623</v>
      </c>
      <c r="D2076" s="3" t="s">
        <v>8624</v>
      </c>
      <c r="E2076" s="3" t="s">
        <v>8625</v>
      </c>
      <c r="F2076" s="3" t="s">
        <v>8626</v>
      </c>
      <c r="G2076" s="3" t="str">
        <f ca="1">IFERROR(__xludf.DUMMYFUNCTION("googletranslate(D2076,""en"",""ja"")"),"ファクター X の実際/コントロール。ファクターXの実際/通常")</f>
        <v>ファクター X の実際/コントロール。ファクターXの実際/通常</v>
      </c>
      <c r="H2076" s="3" t="str">
        <f ca="1">IFERROR(__xludf.DUMMYFUNCTION("googletranslate(E2076,""en"",""ja"")"),"対照検体と比較した場合の、被験者の検体における因子 X の相対測定値 (比率またはパーセンテージ)。")</f>
        <v>対照検体と比較した場合の、被験者の検体における因子 X の相対測定値 (比率またはパーセンテージ)。</v>
      </c>
      <c r="I2076" s="3" t="str">
        <f ca="1">IFERROR(__xludf.DUMMYFUNCTION("googletranslate(F2076,""en"",""ja"")"),"ファクター X 実対制御比の測定")</f>
        <v>ファクター X 実対制御比の測定</v>
      </c>
    </row>
    <row r="2077" spans="1:9" ht="75">
      <c r="A2077" s="3" t="s">
        <v>6</v>
      </c>
      <c r="B2077" s="3" t="s">
        <v>8627</v>
      </c>
      <c r="C2077" s="3" t="s">
        <v>8628</v>
      </c>
      <c r="D2077" s="3" t="s">
        <v>8629</v>
      </c>
      <c r="E2077" s="3" t="s">
        <v>8630</v>
      </c>
      <c r="F2077" s="3" t="s">
        <v>8631</v>
      </c>
      <c r="G2077" s="3" t="str">
        <f ca="1">IFERROR(__xludf.DUMMYFUNCTION("googletranslate(D2077,""en"",""ja"")"),"第 XIV 因子活動の実際/対照。第 XIV 因子活性の実際/第 XIV 因子活性の制御。第 XIV 因子活動の実際/正常。プロテイン C 活性の実際/対照")</f>
        <v>第 XIV 因子活動の実際/対照。第 XIV 因子活性の実際/第 XIV 因子活性の制御。第 XIV 因子活動の実際/正常。プロテイン C 活性の実際/対照</v>
      </c>
      <c r="H2077" s="3" t="str">
        <f ca="1">IFERROR(__xludf.DUMMYFUNCTION("googletranslate(E2077,""en"",""ja"")"),"対照標本における同じ活性と比較した場合の、被験者の標本における第 XIV 因子依存性凝固の生物学的活性の相対測定値 (比率またはパーセンテージ)。")</f>
        <v>対照標本における同じ活性と比較した場合の、被験者の標本における第 XIV 因子依存性凝固の生物学的活性の相対測定値 (比率またはパーセンテージ)。</v>
      </c>
      <c r="I2077" s="3" t="str">
        <f ca="1">IFERROR(__xludf.DUMMYFUNCTION("googletranslate(F2077,""en"",""ja"")"),"第 XIV 因子活動の実際対対照比の測定")</f>
        <v>第 XIV 因子活動の実際対対照比の測定</v>
      </c>
    </row>
    <row r="2078" spans="1:9" ht="45">
      <c r="A2078" s="3" t="s">
        <v>6</v>
      </c>
      <c r="B2078" s="3" t="s">
        <v>8632</v>
      </c>
      <c r="C2078" s="3" t="s">
        <v>8633</v>
      </c>
      <c r="D2078" s="3" t="s">
        <v>8634</v>
      </c>
      <c r="E2078" s="3" t="s">
        <v>8635</v>
      </c>
      <c r="F2078" s="3" t="s">
        <v>8636</v>
      </c>
      <c r="G2078" s="3" t="str">
        <f ca="1">IFERROR(__xludf.DUMMYFUNCTION("googletranslate(D2078,""en"",""ja"")"),"第 XIV 因子の実際/対照。プロテイン C 実体/対照")</f>
        <v>第 XIV 因子の実際/対照。プロテイン C 実体/対照</v>
      </c>
      <c r="H2078" s="3" t="str">
        <f ca="1">IFERROR(__xludf.DUMMYFUNCTION("googletranslate(E2078,""en"",""ja"")"),"対照検体と比較した場合の、被験者の検体中の第 XIV 因子の相対測定値 (比率またはパーセンテージ)。")</f>
        <v>対照検体と比較した場合の、被験者の検体中の第 XIV 因子の相対測定値 (比率またはパーセンテージ)。</v>
      </c>
      <c r="I2078" s="3" t="str">
        <f ca="1">IFERROR(__xludf.DUMMYFUNCTION("googletranslate(F2078,""en"",""ja"")"),"Factor XIV 実対制御比測定")</f>
        <v>Factor XIV 実対制御比測定</v>
      </c>
    </row>
    <row r="2079" spans="1:9" ht="30">
      <c r="A2079" s="3" t="s">
        <v>6</v>
      </c>
      <c r="B2079" s="3" t="s">
        <v>8637</v>
      </c>
      <c r="C2079" s="3" t="s">
        <v>8638</v>
      </c>
      <c r="D2079" s="3" t="s">
        <v>8638</v>
      </c>
      <c r="E2079" s="3" t="s">
        <v>8639</v>
      </c>
      <c r="F2079" s="3" t="s">
        <v>8640</v>
      </c>
      <c r="G2079" s="3" t="str">
        <f ca="1">IFERROR(__xludf.DUMMYFUNCTION("googletranslate(D2079,""en"",""ja"")"),"グルコース-6-リン酸デヒドロゲナーゼ")</f>
        <v>グルコース-6-リン酸デヒドロゲナーゼ</v>
      </c>
      <c r="H2079" s="3" t="str">
        <f ca="1">IFERROR(__xludf.DUMMYFUNCTION("googletranslate(E2079,""en"",""ja"")"),"生物学的標本中のグルコース-6-リン酸デヒドロゲナーゼの測定。")</f>
        <v>生物学的標本中のグルコース-6-リン酸デヒドロゲナーゼの測定。</v>
      </c>
      <c r="I2079" s="3" t="str">
        <f ca="1">IFERROR(__xludf.DUMMYFUNCTION("googletranslate(F2079,""en"",""ja"")"),"グルコース-6-リン酸デヒドロゲナーゼの測定")</f>
        <v>グルコース-6-リン酸デヒドロゲナーゼの測定</v>
      </c>
    </row>
    <row r="2080" spans="1:9" ht="30">
      <c r="A2080" s="3" t="s">
        <v>6</v>
      </c>
      <c r="B2080" s="3" t="s">
        <v>8641</v>
      </c>
      <c r="C2080" s="3" t="s">
        <v>8642</v>
      </c>
      <c r="D2080" s="3" t="s">
        <v>8642</v>
      </c>
      <c r="E2080" s="3" t="s">
        <v>8643</v>
      </c>
      <c r="F2080" s="3" t="s">
        <v>8644</v>
      </c>
      <c r="G2080" s="3" t="str">
        <f ca="1">IFERROR(__xludf.DUMMYFUNCTION("googletranslate(D2080,""en"",""ja"")"),"グルコース-6-リン酸デヒドロゲナーゼ法")</f>
        <v>グルコース-6-リン酸デヒドロゲナーゼ法</v>
      </c>
      <c r="H2080" s="3" t="str">
        <f ca="1">IFERROR(__xludf.DUMMYFUNCTION("googletranslate(E2080,""en"",""ja"")"),"生物学的標本中のグルコース-6-リン酸デヒドロゲナーゼの生物学的活性の測定。")</f>
        <v>生物学的標本中のグルコース-6-リン酸デヒドロゲナーゼの生物学的活性の測定。</v>
      </c>
      <c r="I2080" s="3" t="str">
        <f ca="1">IFERROR(__xludf.DUMMYFUNCTION("googletranslate(F2080,""en"",""ja"")"),"グルコース-6-リン酸デヒドロゲナーゼ活性")</f>
        <v>グルコース-6-リン酸デヒドロゲナーゼ活性</v>
      </c>
    </row>
    <row r="2081" spans="1:9" ht="30">
      <c r="A2081" s="3" t="s">
        <v>6</v>
      </c>
      <c r="B2081" s="3" t="s">
        <v>8645</v>
      </c>
      <c r="C2081" s="3" t="s">
        <v>8646</v>
      </c>
      <c r="D2081" s="3" t="s">
        <v>8646</v>
      </c>
      <c r="E2081" s="3" t="s">
        <v>8647</v>
      </c>
      <c r="F2081" s="3" t="s">
        <v>8648</v>
      </c>
      <c r="G2081" s="3" t="str">
        <f ca="1">IFERROR(__xludf.DUMMYFUNCTION("googletranslate(D2081,""en"",""ja"")"),"G6PD欠損赤血球")</f>
        <v>G6PD欠損赤血球</v>
      </c>
      <c r="H2081" s="3" t="str">
        <f ca="1">IFERROR(__xludf.DUMMYFUNCTION("googletranslate(E2081,""en"",""ja"")"),"生物学的標本中のグルコース-6-リン酸デヒドロゲナーゼ欠損赤血球の測定。")</f>
        <v>生物学的標本中のグルコース-6-リン酸デヒドロゲナーゼ欠損赤血球の測定。</v>
      </c>
      <c r="I2081" s="3" t="str">
        <f ca="1">IFERROR(__xludf.DUMMYFUNCTION("googletranslate(F2081,""en"",""ja"")"),"G6PD欠損赤血球数")</f>
        <v>G6PD欠損赤血球数</v>
      </c>
    </row>
    <row r="2082" spans="1:9" ht="45">
      <c r="A2082" s="3" t="s">
        <v>6</v>
      </c>
      <c r="B2082" s="3" t="s">
        <v>8649</v>
      </c>
      <c r="C2082" s="3" t="s">
        <v>8650</v>
      </c>
      <c r="D2082" s="3" t="s">
        <v>8650</v>
      </c>
      <c r="E2082" s="3" t="s">
        <v>8651</v>
      </c>
      <c r="F2082" s="3" t="s">
        <v>8652</v>
      </c>
      <c r="G2082" s="3" t="str">
        <f ca="1">IFERROR(__xludf.DUMMYFUNCTION("googletranslate(D2082,""en"",""ja"")"),"G6PD欠損赤血球/赤血球")</f>
        <v>G6PD欠損赤血球/赤血球</v>
      </c>
      <c r="H2082" s="3" t="str">
        <f ca="1">IFERROR(__xludf.DUMMYFUNCTION("googletranslate(E2082,""en"",""ja"")"),"生物学的標本中の総赤血球に対する G6PD 欠損赤血球の相対測定値 (比率またはパーセンテージ)。")</f>
        <v>生物学的標本中の総赤血球に対する G6PD 欠損赤血球の相対測定値 (比率またはパーセンテージ)。</v>
      </c>
      <c r="I2082" s="3" t="str">
        <f ca="1">IFERROR(__xludf.DUMMYFUNCTION("googletranslate(F2082,""en"",""ja"")"),"G6PD欠損赤血球と赤血球の比率の測定")</f>
        <v>G6PD欠損赤血球と赤血球の比率の測定</v>
      </c>
    </row>
    <row r="2083" spans="1:9" ht="45">
      <c r="A2083" s="3" t="s">
        <v>6</v>
      </c>
      <c r="B2083" s="3" t="s">
        <v>8653</v>
      </c>
      <c r="C2083" s="3" t="s">
        <v>8654</v>
      </c>
      <c r="D2083" s="3" t="s">
        <v>8655</v>
      </c>
      <c r="E2083" s="3" t="s">
        <v>8656</v>
      </c>
      <c r="F2083" s="3" t="s">
        <v>8657</v>
      </c>
      <c r="G2083" s="3" t="str">
        <f ca="1">IFERROR(__xludf.DUMMYFUNCTION("googletranslate(D2083,""en"",""ja"")"),"酸性アルファグルコシダーゼ;酸マルターゼ; α-1,4-グルコシダーゼ")</f>
        <v>酸性アルファグルコシダーゼ;酸マルターゼ; α-1,4-グルコシダーゼ</v>
      </c>
      <c r="H2083" s="3" t="str">
        <f ca="1">IFERROR(__xludf.DUMMYFUNCTION("googletranslate(E2083,""en"",""ja"")"),"生物学的標本中の酸性α-グルコシダーゼの測定。")</f>
        <v>生物学的標本中の酸性α-グルコシダーゼの測定。</v>
      </c>
      <c r="I2083" s="3" t="str">
        <f ca="1">IFERROR(__xludf.DUMMYFUNCTION("googletranslate(F2083,""en"",""ja"")"),"酸性α-グルコシダーゼの測定")</f>
        <v>酸性α-グルコシダーゼの測定</v>
      </c>
    </row>
    <row r="2084" spans="1:9" ht="45">
      <c r="A2084" s="3" t="s">
        <v>6</v>
      </c>
      <c r="B2084" s="3" t="s">
        <v>8658</v>
      </c>
      <c r="C2084" s="3" t="s">
        <v>8659</v>
      </c>
      <c r="D2084" s="3" t="s">
        <v>8660</v>
      </c>
      <c r="E2084" s="3" t="s">
        <v>8661</v>
      </c>
      <c r="F2084" s="3" t="s">
        <v>8662</v>
      </c>
      <c r="G2084" s="3" t="str">
        <f ca="1">IFERROR(__xludf.DUMMYFUNCTION("googletranslate(D2084,""en"",""ja"")"),"グルタミン酸デカルボキシラーゼ 1;グルタミン酸脱炭酸酵素 67")</f>
        <v>グルタミン酸デカルボキシラーゼ 1;グルタミン酸脱炭酸酵素 67</v>
      </c>
      <c r="H2084" s="3" t="str">
        <f ca="1">IFERROR(__xludf.DUMMYFUNCTION("googletranslate(E2084,""en"",""ja"")"),"生体試料中のグルタミン酸デカルボキシラーゼ 1 の測定。")</f>
        <v>生体試料中のグルタミン酸デカルボキシラーゼ 1 の測定。</v>
      </c>
      <c r="I2084" s="3" t="str">
        <f ca="1">IFERROR(__xludf.DUMMYFUNCTION("googletranslate(F2084,""en"",""ja"")"),"グルタミン酸脱炭酸酵素1の測定")</f>
        <v>グルタミン酸脱炭酸酵素1の測定</v>
      </c>
    </row>
    <row r="2085" spans="1:9" ht="45">
      <c r="A2085" s="3" t="s">
        <v>6</v>
      </c>
      <c r="B2085" s="3" t="s">
        <v>8663</v>
      </c>
      <c r="C2085" s="3" t="s">
        <v>8664</v>
      </c>
      <c r="D2085" s="3" t="s">
        <v>8665</v>
      </c>
      <c r="E2085" s="3" t="s">
        <v>8666</v>
      </c>
      <c r="F2085" s="3" t="s">
        <v>8667</v>
      </c>
      <c r="G2085" s="3" t="str">
        <f ca="1">IFERROR(__xludf.DUMMYFUNCTION("googletranslate(D2085,""en"",""ja"")"),"グルタミン酸デカルボキシラーゼ 2;グルタミン酸デカルボキシラーゼ 65")</f>
        <v>グルタミン酸デカルボキシラーゼ 2;グルタミン酸デカルボキシラーゼ 65</v>
      </c>
      <c r="H2085" s="3" t="str">
        <f ca="1">IFERROR(__xludf.DUMMYFUNCTION("googletranslate(E2085,""en"",""ja"")"),"生体試料中のグルタミン酸デカルボキシラーゼ 2 の測定。")</f>
        <v>生体試料中のグルタミン酸デカルボキシラーゼ 2 の測定。</v>
      </c>
      <c r="I2085" s="3" t="str">
        <f ca="1">IFERROR(__xludf.DUMMYFUNCTION("googletranslate(F2085,""en"",""ja"")"),"グルタミン酸脱炭酸酵素2の測定")</f>
        <v>グルタミン酸脱炭酸酵素2の測定</v>
      </c>
    </row>
    <row r="2086" spans="1:9">
      <c r="A2086" s="3" t="s">
        <v>6</v>
      </c>
      <c r="B2086" s="3" t="s">
        <v>8668</v>
      </c>
      <c r="C2086" s="3" t="s">
        <v>8669</v>
      </c>
      <c r="D2086" s="3" t="s">
        <v>8669</v>
      </c>
      <c r="E2086" s="3" t="s">
        <v>8670</v>
      </c>
      <c r="F2086" s="3" t="s">
        <v>8671</v>
      </c>
      <c r="G2086" s="3" t="str">
        <f ca="1">IFERROR(__xludf.DUMMYFUNCTION("googletranslate(D2086,""en"",""ja"")"),"ガラクトース")</f>
        <v>ガラクトース</v>
      </c>
      <c r="H2086" s="3" t="str">
        <f ca="1">IFERROR(__xludf.DUMMYFUNCTION("googletranslate(E2086,""en"",""ja"")"),"生物学的標本中のガラクトースの測定。")</f>
        <v>生物学的標本中のガラクトースの測定。</v>
      </c>
      <c r="I2086" s="3" t="str">
        <f ca="1">IFERROR(__xludf.DUMMYFUNCTION("googletranslate(F2086,""en"",""ja"")"),"ガラクトース測定")</f>
        <v>ガラクトース測定</v>
      </c>
    </row>
    <row r="2087" spans="1:9" ht="30">
      <c r="A2087" s="3" t="s">
        <v>6</v>
      </c>
      <c r="B2087" s="3" t="s">
        <v>8672</v>
      </c>
      <c r="C2087" s="3" t="s">
        <v>8673</v>
      </c>
      <c r="D2087" s="3" t="s">
        <v>8673</v>
      </c>
      <c r="E2087" s="3" t="s">
        <v>8674</v>
      </c>
      <c r="F2087" s="3" t="s">
        <v>8675</v>
      </c>
      <c r="G2087" s="3" t="str">
        <f ca="1">IFERROR(__xludf.DUMMYFUNCTION("googletranslate(D2087,""en"",""ja"")"),"ガラクトース-1-リン酸")</f>
        <v>ガラクトース-1-リン酸</v>
      </c>
      <c r="H2087" s="3" t="str">
        <f ca="1">IFERROR(__xludf.DUMMYFUNCTION("googletranslate(E2087,""en"",""ja"")"),"生物学的標本中のガラクトース-1-リン酸の測定。")</f>
        <v>生物学的標本中のガラクトース-1-リン酸の測定。</v>
      </c>
      <c r="I2087" s="3" t="str">
        <f ca="1">IFERROR(__xludf.DUMMYFUNCTION("googletranslate(F2087,""en"",""ja"")"),"ガラクトース-1-リン酸の測定")</f>
        <v>ガラクトース-1-リン酸の測定</v>
      </c>
    </row>
    <row r="2088" spans="1:9" ht="90">
      <c r="A2088" s="3" t="s">
        <v>6</v>
      </c>
      <c r="B2088" s="3" t="s">
        <v>8676</v>
      </c>
      <c r="C2088" s="3" t="s">
        <v>8677</v>
      </c>
      <c r="D2088" s="3" t="s">
        <v>8678</v>
      </c>
      <c r="E2088" s="3" t="s">
        <v>8679</v>
      </c>
      <c r="F2088" s="3" t="s">
        <v>8680</v>
      </c>
      <c r="G2088" s="3" t="str">
        <f ca="1">IFERROR(__xludf.DUMMYFUNCTION("googletranslate(D2088,""en"",""ja"")"),"G1PUT;ガラクトース 1 リン酸ウリジルトランスフェラーゼ;ガラクトース-1-フォスウリジリルトランスフェラーゼ;ガラクトース-1-リン酸ウリジリルトランスフェラーゼ;ガルト")</f>
        <v>G1PUT;ガラクトース 1 リン酸ウリジルトランスフェラーゼ;ガラクトース-1-フォスウリジリルトランスフェラーゼ;ガラクトース-1-リン酸ウリジリルトランスフェラーゼ;ガルト</v>
      </c>
      <c r="H2088" s="3" t="str">
        <f ca="1">IFERROR(__xludf.DUMMYFUNCTION("googletranslate(E2088,""en"",""ja"")"),"生物学的標本中のガラクトース-1-リン酸ウリジルトランスフェラーゼの測定。")</f>
        <v>生物学的標本中のガラクトース-1-リン酸ウリジルトランスフェラーゼの測定。</v>
      </c>
      <c r="I2088" s="3" t="str">
        <f ca="1">IFERROR(__xludf.DUMMYFUNCTION("googletranslate(F2088,""en"",""ja"")"),"ガラクトース-1-リン酸ウリジルトランスフェラーゼの測定")</f>
        <v>ガラクトース-1-リン酸ウリジルトランスフェラーゼの測定</v>
      </c>
    </row>
    <row r="2089" spans="1:9">
      <c r="A2089" s="3" t="s">
        <v>6</v>
      </c>
      <c r="B2089" s="3" t="s">
        <v>8681</v>
      </c>
      <c r="C2089" s="3" t="s">
        <v>8682</v>
      </c>
      <c r="D2089" s="3" t="s">
        <v>8682</v>
      </c>
      <c r="E2089" s="3" t="s">
        <v>8683</v>
      </c>
      <c r="F2089" s="3" t="s">
        <v>8684</v>
      </c>
      <c r="G2089" s="3" t="str">
        <f ca="1">IFERROR(__xludf.DUMMYFUNCTION("googletranslate(D2089,""en"",""ja"")"),"ガラニン")</f>
        <v>ガラニン</v>
      </c>
      <c r="H2089" s="3" t="str">
        <f ca="1">IFERROR(__xludf.DUMMYFUNCTION("googletranslate(E2089,""en"",""ja"")"),"生物学的標本中のガラニンの測定。")</f>
        <v>生物学的標本中のガラニンの測定。</v>
      </c>
      <c r="I2089" s="3" t="str">
        <f ca="1">IFERROR(__xludf.DUMMYFUNCTION("googletranslate(F2089,""en"",""ja"")"),"ガラニンの測定")</f>
        <v>ガラニンの測定</v>
      </c>
    </row>
    <row r="2090" spans="1:9" ht="30">
      <c r="A2090" s="3" t="s">
        <v>6</v>
      </c>
      <c r="B2090" s="3" t="s">
        <v>8685</v>
      </c>
      <c r="C2090" s="3" t="s">
        <v>8686</v>
      </c>
      <c r="D2090" s="3" t="s">
        <v>8686</v>
      </c>
      <c r="E2090" s="3" t="s">
        <v>8687</v>
      </c>
      <c r="F2090" s="3" t="s">
        <v>8688</v>
      </c>
      <c r="G2090" s="3" t="str">
        <f ca="1">IFERROR(__xludf.DUMMYFUNCTION("googletranslate(D2090,""en"",""ja"")"),"ガラクトース ムタロターゼ")</f>
        <v>ガラクトース ムタロターゼ</v>
      </c>
      <c r="H2090" s="3" t="str">
        <f ca="1">IFERROR(__xludf.DUMMYFUNCTION("googletranslate(E2090,""en"",""ja"")"),"生物学的標本中のガラクトース ムタロターゼの測定。")</f>
        <v>生物学的標本中のガラクトース ムタロターゼの測定。</v>
      </c>
      <c r="I2090" s="3" t="str">
        <f ca="1">IFERROR(__xludf.DUMMYFUNCTION("googletranslate(F2090,""en"",""ja"")"),"ガラクトースムタロターゼの測定")</f>
        <v>ガラクトースムタロターゼの測定</v>
      </c>
    </row>
    <row r="2091" spans="1:9" ht="30">
      <c r="A2091" s="3" t="s">
        <v>6</v>
      </c>
      <c r="B2091" s="3" t="s">
        <v>8689</v>
      </c>
      <c r="C2091" s="3" t="s">
        <v>8690</v>
      </c>
      <c r="D2091" s="3" t="s">
        <v>8691</v>
      </c>
      <c r="E2091" s="3" t="s">
        <v>8692</v>
      </c>
      <c r="F2091" s="3" t="s">
        <v>8693</v>
      </c>
      <c r="G2091" s="3" t="str">
        <f ca="1">IFERROR(__xludf.DUMMYFUNCTION("googletranslate(D2091,""en"",""ja"")"),"ギャバ;ガンマ-アミノ酪酸塩;ガンマ-アミノ酪酸")</f>
        <v>ギャバ;ガンマ-アミノ酪酸塩;ガンマ-アミノ酪酸</v>
      </c>
      <c r="H2091" s="3" t="str">
        <f ca="1">IFERROR(__xludf.DUMMYFUNCTION("googletranslate(E2091,""en"",""ja"")"),"生物学的標本中のガンマ-アミノ酪酸の測定。")</f>
        <v>生物学的標本中のガンマ-アミノ酪酸の測定。</v>
      </c>
      <c r="I2091" s="3" t="str">
        <f ca="1">IFERROR(__xludf.DUMMYFUNCTION("googletranslate(F2091,""en"",""ja"")"),"ガンマアミノ酪酸の測定")</f>
        <v>ガンマアミノ酪酸の測定</v>
      </c>
    </row>
    <row r="2092" spans="1:9" ht="60">
      <c r="A2092" s="3" t="s">
        <v>6</v>
      </c>
      <c r="B2092" s="3" t="s">
        <v>8694</v>
      </c>
      <c r="C2092" s="3" t="s">
        <v>8695</v>
      </c>
      <c r="D2092" s="3" t="s">
        <v>8696</v>
      </c>
      <c r="E2092" s="3" t="s">
        <v>8697</v>
      </c>
      <c r="F2092" s="3" t="s">
        <v>8698</v>
      </c>
      <c r="G2092" s="3" t="str">
        <f ca="1">IFERROR(__xludf.DUMMYFUNCTION("googletranslate(D2092,""en"",""ja"")"),"GAPDH;グリセルアルデヒド 3 リン酸デヒドロゲナーゼ;グリセルアルデヒド-3-リン酸デヒドロゲナーゼ")</f>
        <v>GAPDH;グリセルアルデヒド 3 リン酸デヒドロゲナーゼ;グリセルアルデヒド-3-リン酸デヒドロゲナーゼ</v>
      </c>
      <c r="H2092" s="3" t="str">
        <f ca="1">IFERROR(__xludf.DUMMYFUNCTION("googletranslate(E2092,""en"",""ja"")"),"生物学的標本中のグリセルアルデヒド-3-リン酸デヒドロゲナーゼの測定。")</f>
        <v>生物学的標本中のグリセルアルデヒド-3-リン酸デヒドロゲナーゼの測定。</v>
      </c>
      <c r="I2092" s="3" t="str">
        <f ca="1">IFERROR(__xludf.DUMMYFUNCTION("googletranslate(F2092,""en"",""ja"")"),"グリセルアルデヒド-3-リン酸デヒドロゲナーゼの測定")</f>
        <v>グリセルアルデヒド-3-リン酸デヒドロゲナーゼの測定</v>
      </c>
    </row>
    <row r="2093" spans="1:9" ht="30">
      <c r="A2093" s="3" t="s">
        <v>67</v>
      </c>
      <c r="B2093" s="3" t="s">
        <v>8699</v>
      </c>
      <c r="C2093" s="3" t="s">
        <v>8700</v>
      </c>
      <c r="D2093" s="3" t="s">
        <v>8700</v>
      </c>
      <c r="E2093" s="3" t="s">
        <v>8701</v>
      </c>
      <c r="F2093" s="3" t="s">
        <v>8702</v>
      </c>
      <c r="G2093" s="3" t="str">
        <f ca="1">IFERROR(__xludf.DUMMYFUNCTION("googletranslate(D2093,""en"",""ja"")"),"連鎖球菌グループA")</f>
        <v>連鎖球菌グループA</v>
      </c>
      <c r="H2093" s="3" t="str">
        <f ca="1">IFERROR(__xludf.DUMMYFUNCTION("googletranslate(E2093,""en"",""ja"")"),"生物学的標本中の連鎖球菌グループ A の測定。")</f>
        <v>生物学的標本中の連鎖球菌グループ A の測定。</v>
      </c>
      <c r="I2093" s="3" t="str">
        <f ca="1">IFERROR(__xludf.DUMMYFUNCTION("googletranslate(F2093,""en"",""ja"")"),"A群連鎖球菌の測定")</f>
        <v>A群連鎖球菌の測定</v>
      </c>
    </row>
    <row r="2094" spans="1:9" ht="30">
      <c r="A2094" s="3" t="s">
        <v>6</v>
      </c>
      <c r="B2094" s="3" t="s">
        <v>8703</v>
      </c>
      <c r="C2094" s="3" t="s">
        <v>8704</v>
      </c>
      <c r="D2094" s="3" t="s">
        <v>8704</v>
      </c>
      <c r="E2094" s="3" t="s">
        <v>8705</v>
      </c>
      <c r="F2094" s="3" t="s">
        <v>8706</v>
      </c>
      <c r="G2094" s="3" t="str">
        <f ca="1">IFERROR(__xludf.DUMMYFUNCTION("googletranslate(D2094,""en"",""ja"")"),"ガストリン")</f>
        <v>ガストリン</v>
      </c>
      <c r="H2094" s="3" t="str">
        <f ca="1">IFERROR(__xludf.DUMMYFUNCTION("googletranslate(E2094,""en"",""ja"")"),"生物学的標本中のガストリン ホルモンの測定。")</f>
        <v>生物学的標本中のガストリン ホルモンの測定。</v>
      </c>
      <c r="I2094" s="3" t="str">
        <f ca="1">IFERROR(__xludf.DUMMYFUNCTION("googletranslate(F2094,""en"",""ja"")"),"ガストリン測定")</f>
        <v>ガストリン測定</v>
      </c>
    </row>
    <row r="2095" spans="1:9" ht="30">
      <c r="A2095" s="3" t="s">
        <v>6</v>
      </c>
      <c r="B2095" s="3" t="s">
        <v>8707</v>
      </c>
      <c r="C2095" s="3" t="s">
        <v>8708</v>
      </c>
      <c r="D2095" s="3" t="s">
        <v>8708</v>
      </c>
      <c r="E2095" s="3" t="s">
        <v>8709</v>
      </c>
      <c r="F2095" s="3" t="s">
        <v>8710</v>
      </c>
      <c r="G2095" s="3" t="str">
        <f ca="1">IFERROR(__xludf.DUMMYFUNCTION("googletranslate(D2095,""en"",""ja"")"),"ガンマトコフェロール")</f>
        <v>ガンマトコフェロール</v>
      </c>
      <c r="H2095" s="3" t="str">
        <f ca="1">IFERROR(__xludf.DUMMYFUNCTION("googletranslate(E2095,""en"",""ja"")"),"生物学的標本中のガンマトコフェロールの測定。")</f>
        <v>生物学的標本中のガンマトコフェロールの測定。</v>
      </c>
      <c r="I2095" s="3" t="str">
        <f ca="1">IFERROR(__xludf.DUMMYFUNCTION("googletranslate(F2095,""en"",""ja"")"),"ガンマトコフェロールの測定")</f>
        <v>ガンマトコフェロールの測定</v>
      </c>
    </row>
    <row r="2096" spans="1:9" ht="45">
      <c r="A2096" s="3" t="s">
        <v>490</v>
      </c>
      <c r="B2096" s="3" t="s">
        <v>8711</v>
      </c>
      <c r="C2096" s="3" t="s">
        <v>8712</v>
      </c>
      <c r="D2096" s="3" t="s">
        <v>8712</v>
      </c>
      <c r="E2096" s="3" t="s">
        <v>8713</v>
      </c>
      <c r="F2096" s="3" t="s">
        <v>8712</v>
      </c>
      <c r="G2096" s="3" t="str">
        <f ca="1">IFERROR(__xludf.DUMMYFUNCTION("googletranslate(D2096,""en"",""ja"")"),"気道コンダクタンス")</f>
        <v>気道コンダクタンス</v>
      </c>
      <c r="H2096" s="3" t="str">
        <f ca="1">IFERROR(__xludf.DUMMYFUNCTION("googletranslate(E2096,""en"",""ja"")"),"気道の任意の部分と肺胞の間の圧力差として表される、気道の瞬間的な空気流量。これは気道抵抗の逆数です (生)。")</f>
        <v>気道の任意の部分と肺胞の間の圧力差として表される、気道の瞬間的な空気流量。これは気道抵抗の逆数です (生)。</v>
      </c>
      <c r="I2096" s="3" t="str">
        <f ca="1">IFERROR(__xludf.DUMMYFUNCTION("googletranslate(F2096,""en"",""ja"")"),"気道コンダクタンス")</f>
        <v>気道コンダクタンス</v>
      </c>
    </row>
    <row r="2097" spans="1:9" ht="45">
      <c r="A2097" s="3" t="s">
        <v>6</v>
      </c>
      <c r="B2097" s="3" t="s">
        <v>8714</v>
      </c>
      <c r="C2097" s="3" t="s">
        <v>8715</v>
      </c>
      <c r="D2097" s="3" t="s">
        <v>8716</v>
      </c>
      <c r="E2097" s="3" t="s">
        <v>8717</v>
      </c>
      <c r="F2097" s="3" t="s">
        <v>8718</v>
      </c>
      <c r="G2097" s="3" t="str">
        <f ca="1">IFERROR(__xludf.DUMMYFUNCTION("googletranslate(D2097,""en"",""ja"")"),"Gb3; GL-3; GL3;グロボトリアオシルセラミド; sCD77;可溶性CD77")</f>
        <v>Gb3; GL-3; GL3;グロボトリアオシルセラミド; sCD77;可溶性CD77</v>
      </c>
      <c r="H2097" s="3" t="str">
        <f ca="1">IFERROR(__xludf.DUMMYFUNCTION("googletranslate(E2097,""en"",""ja"")"),"生物学的標本中のグロボトリアオシルセラミドの測定。")</f>
        <v>生物学的標本中のグロボトリアオシルセラミドの測定。</v>
      </c>
      <c r="I2097" s="3" t="str">
        <f ca="1">IFERROR(__xludf.DUMMYFUNCTION("googletranslate(F2097,""en"",""ja"")"),"グロボトリアオシルセラミドの測定")</f>
        <v>グロボトリアオシルセラミドの測定</v>
      </c>
    </row>
    <row r="2098" spans="1:9" ht="75">
      <c r="A2098" s="3" t="s">
        <v>6</v>
      </c>
      <c r="B2098" s="3" t="s">
        <v>8719</v>
      </c>
      <c r="C2098" s="3" t="s">
        <v>8720</v>
      </c>
      <c r="D2098" s="3" t="s">
        <v>8721</v>
      </c>
      <c r="E2098" s="3" t="s">
        <v>8722</v>
      </c>
      <c r="F2098" s="3" t="s">
        <v>8723</v>
      </c>
      <c r="G2098" s="3" t="str">
        <f ca="1">IFERROR(__xludf.DUMMYFUNCTION("googletranslate(D2098,""en"",""ja"")"),"β-グルコセレブロシダーゼ; GBA;グルコセレブロシダーゼ ベータ。グルコシルセラミダーゼ;グルコシルセラミダーゼ ベータ")</f>
        <v>β-グルコセレブロシダーゼ; GBA;グルコセレブロシダーゼ ベータ。グルコシルセラミダーゼ;グルコシルセラミダーゼ ベータ</v>
      </c>
      <c r="H2098" s="3" t="str">
        <f ca="1">IFERROR(__xludf.DUMMYFUNCTION("googletranslate(E2098,""en"",""ja"")"),"生物学的標本中のグルコシルセラミダーゼ ベータの測定。")</f>
        <v>生物学的標本中のグルコシルセラミダーゼ ベータの測定。</v>
      </c>
      <c r="I2098" s="3" t="str">
        <f ca="1">IFERROR(__xludf.DUMMYFUNCTION("googletranslate(F2098,""en"",""ja"")"),"グルコシルセラミダーゼβ測定")</f>
        <v>グルコシルセラミダーゼβ測定</v>
      </c>
    </row>
    <row r="2099" spans="1:9" ht="30">
      <c r="A2099" s="3" t="s">
        <v>6</v>
      </c>
      <c r="B2099" s="3" t="s">
        <v>8724</v>
      </c>
      <c r="C2099" s="3" t="s">
        <v>8725</v>
      </c>
      <c r="D2099" s="3" t="s">
        <v>8725</v>
      </c>
      <c r="E2099" s="3" t="s">
        <v>8726</v>
      </c>
      <c r="F2099" s="3" t="s">
        <v>8727</v>
      </c>
      <c r="G2099" s="3" t="str">
        <f ca="1">IFERROR(__xludf.DUMMYFUNCTION("googletranslate(D2099,""en"",""ja"")"),"グアニル酸結合タンパク質 1")</f>
        <v>グアニル酸結合タンパク質 1</v>
      </c>
      <c r="H2099" s="3" t="str">
        <f ca="1">IFERROR(__xludf.DUMMYFUNCTION("googletranslate(E2099,""en"",""ja"")"),"生物学的標本中のグアニル酸結合タンパク質 1 の測定。")</f>
        <v>生物学的標本中のグアニル酸結合タンパク質 1 の測定。</v>
      </c>
      <c r="I2099" s="3" t="str">
        <f ca="1">IFERROR(__xludf.DUMMYFUNCTION("googletranslate(F2099,""en"",""ja"")"),"グアニル酸結合タンパク質 1 の測定")</f>
        <v>グアニル酸結合タンパク質 1 の測定</v>
      </c>
    </row>
    <row r="2100" spans="1:9" ht="30">
      <c r="A2100" s="3" t="s">
        <v>6</v>
      </c>
      <c r="B2100" s="3" t="s">
        <v>8728</v>
      </c>
      <c r="C2100" s="3" t="s">
        <v>8729</v>
      </c>
      <c r="D2100" s="3" t="s">
        <v>8729</v>
      </c>
      <c r="E2100" s="3" t="s">
        <v>8730</v>
      </c>
      <c r="F2100" s="3" t="s">
        <v>8731</v>
      </c>
      <c r="G2100" s="3" t="str">
        <f ca="1">IFERROR(__xludf.DUMMYFUNCTION("googletranslate(D2100,""en"",""ja"")"),"グアニル酸結合タンパク質 2")</f>
        <v>グアニル酸結合タンパク質 2</v>
      </c>
      <c r="H2100" s="3" t="str">
        <f ca="1">IFERROR(__xludf.DUMMYFUNCTION("googletranslate(E2100,""en"",""ja"")"),"生物学的標本中のグアニル酸結合タンパク質 2 の測定。")</f>
        <v>生物学的標本中のグアニル酸結合タンパク質 2 の測定。</v>
      </c>
      <c r="I2100" s="3" t="str">
        <f ca="1">IFERROR(__xludf.DUMMYFUNCTION("googletranslate(F2100,""en"",""ja"")"),"グアニル酸結合タンパク質 2 の測定")</f>
        <v>グアニル酸結合タンパク質 2 の測定</v>
      </c>
    </row>
    <row r="2101" spans="1:9" ht="30">
      <c r="A2101" s="3" t="s">
        <v>67</v>
      </c>
      <c r="B2101" s="3" t="s">
        <v>8732</v>
      </c>
      <c r="C2101" s="3" t="s">
        <v>8733</v>
      </c>
      <c r="D2101" s="3" t="s">
        <v>8733</v>
      </c>
      <c r="E2101" s="3" t="s">
        <v>8734</v>
      </c>
      <c r="F2101" s="3" t="s">
        <v>8735</v>
      </c>
      <c r="G2101" s="3" t="str">
        <f ca="1">IFERROR(__xludf.DUMMYFUNCTION("googletranslate(D2101,""en"",""ja"")"),"連鎖球菌グループB")</f>
        <v>連鎖球菌グループB</v>
      </c>
      <c r="H2101" s="3" t="str">
        <f ca="1">IFERROR(__xludf.DUMMYFUNCTION("googletranslate(E2101,""en"",""ja"")"),"生物学的標本中の連鎖球菌グループ B の測定。")</f>
        <v>生物学的標本中の連鎖球菌グループ B の測定。</v>
      </c>
      <c r="I2101" s="3" t="str">
        <f ca="1">IFERROR(__xludf.DUMMYFUNCTION("googletranslate(F2101,""en"",""ja"")"),"B群連鎖球菌の測定")</f>
        <v>B群連鎖球菌の測定</v>
      </c>
    </row>
    <row r="2102" spans="1:9" ht="30">
      <c r="A2102" s="3" t="s">
        <v>6</v>
      </c>
      <c r="B2102" s="3" t="s">
        <v>8736</v>
      </c>
      <c r="C2102" s="3" t="s">
        <v>8737</v>
      </c>
      <c r="D2102" s="3" t="s">
        <v>8738</v>
      </c>
      <c r="E2102" s="3" t="s">
        <v>8739</v>
      </c>
      <c r="F2102" s="3" t="s">
        <v>8740</v>
      </c>
      <c r="G2102" s="3" t="str">
        <f ca="1">IFERROR(__xludf.DUMMYFUNCTION("googletranslate(D2102,""en"",""ja"")"),"グリコケノデオキシコール酸;グリコケノデオキシコール酸")</f>
        <v>グリコケノデオキシコール酸;グリコケノデオキシコール酸</v>
      </c>
      <c r="H2102" s="3" t="str">
        <f ca="1">IFERROR(__xludf.DUMMYFUNCTION("googletranslate(E2102,""en"",""ja"")"),"生物学的標本中のグリコケノデオキシコール酸の測定。")</f>
        <v>生物学的標本中のグリコケノデオキシコール酸の測定。</v>
      </c>
      <c r="I2102" s="3" t="str">
        <f ca="1">IFERROR(__xludf.DUMMYFUNCTION("googletranslate(F2102,""en"",""ja"")"),"グリコケノデオキシコール酸の測定")</f>
        <v>グリコケノデオキシコール酸の測定</v>
      </c>
    </row>
    <row r="2103" spans="1:9" ht="30">
      <c r="A2103" s="3" t="s">
        <v>6</v>
      </c>
      <c r="B2103" s="3" t="s">
        <v>8741</v>
      </c>
      <c r="C2103" s="3" t="s">
        <v>8742</v>
      </c>
      <c r="D2103" s="3" t="s">
        <v>8743</v>
      </c>
      <c r="E2103" s="3" t="s">
        <v>8744</v>
      </c>
      <c r="F2103" s="3" t="s">
        <v>8745</v>
      </c>
      <c r="G2103" s="3" t="str">
        <f ca="1">IFERROR(__xludf.DUMMYFUNCTION("googletranslate(D2103,""en"",""ja"")"),"コリルグリシン;グリココール酸;グリココール酸")</f>
        <v>コリルグリシン;グリココール酸;グリココール酸</v>
      </c>
      <c r="H2103" s="3" t="str">
        <f ca="1">IFERROR(__xludf.DUMMYFUNCTION("googletranslate(E2103,""en"",""ja"")"),"生物学的標本中のグリココール酸の測定。")</f>
        <v>生物学的標本中のグリココール酸の測定。</v>
      </c>
      <c r="I2103" s="3" t="str">
        <f ca="1">IFERROR(__xludf.DUMMYFUNCTION("googletranslate(F2103,""en"",""ja"")"),"グリココール酸測定")</f>
        <v>グリココール酸測定</v>
      </c>
    </row>
    <row r="2104" spans="1:9" ht="60">
      <c r="A2104" s="3" t="s">
        <v>185</v>
      </c>
      <c r="B2104" s="3" t="s">
        <v>8746</v>
      </c>
      <c r="C2104" s="3" t="s">
        <v>8747</v>
      </c>
      <c r="D2104" s="3" t="s">
        <v>8748</v>
      </c>
      <c r="E2104" s="3" t="s">
        <v>8749</v>
      </c>
      <c r="F2104" s="3" t="s">
        <v>8750</v>
      </c>
      <c r="G2104" s="3" t="str">
        <f ca="1">IFERROR(__xludf.DUMMYFUNCTION("googletranslate(D2104,""en"",""ja"")"),"興味のある地点の最大の円周。対象地点の最大周長。対象地点の最大周囲")</f>
        <v>興味のある地点の最大の円周。対象地点の最大周長。対象地点の最大周囲</v>
      </c>
      <c r="H2104" s="3" t="str">
        <f ca="1">IFERROR(__xludf.DUMMYFUNCTION("googletranslate(E2104,""en"",""ja"")"),"対象となるエンティティまたはオブジェクトの最も幅の広い点での円周方向の測定値。")</f>
        <v>対象となるエンティティまたはオブジェクトの最も幅の広い点での円周方向の測定値。</v>
      </c>
      <c r="I2104" s="3" t="str">
        <f ca="1">IFERROR(__xludf.DUMMYFUNCTION("googletranslate(F2104,""en"",""ja"")"),"対象地点の最大周囲")</f>
        <v>対象地点の最大周囲</v>
      </c>
    </row>
    <row r="2105" spans="1:9" ht="30">
      <c r="A2105" s="3" t="s">
        <v>81</v>
      </c>
      <c r="B2105" s="3" t="s">
        <v>8751</v>
      </c>
      <c r="C2105" s="3" t="s">
        <v>8752</v>
      </c>
      <c r="D2105" s="3" t="s">
        <v>8752</v>
      </c>
      <c r="E2105" s="3" t="s">
        <v>8753</v>
      </c>
      <c r="F2105" s="3" t="s">
        <v>8754</v>
      </c>
      <c r="G2105" s="3" t="str">
        <f ca="1">IFERROR(__xludf.DUMMYFUNCTION("googletranslate(D2105,""en"",""ja"")"),"全体的な円周方向のひずみ")</f>
        <v>全体的な円周方向のひずみ</v>
      </c>
      <c r="H2105" s="3" t="str">
        <f ca="1">IFERROR(__xludf.DUMMYFUNCTION("googletranslate(E2105,""en"",""ja"")"),"自動化されたアルゴリズムによる、心室または心房の全体的な心筋周囲ひずみの測定。")</f>
        <v>自動化されたアルゴリズムによる、心室または心房の全体的な心筋周囲ひずみの測定。</v>
      </c>
      <c r="I2105" s="3" t="str">
        <f ca="1">IFERROR(__xludf.DUMMYFUNCTION("googletranslate(F2105,""en"",""ja"")"),"グローバル円周ひずみ測定")</f>
        <v>グローバル円周ひずみ測定</v>
      </c>
    </row>
    <row r="2106" spans="1:9" ht="45">
      <c r="A2106" s="3" t="s">
        <v>81</v>
      </c>
      <c r="B2106" s="3" t="s">
        <v>8755</v>
      </c>
      <c r="C2106" s="3" t="s">
        <v>8756</v>
      </c>
      <c r="D2106" s="3" t="s">
        <v>8757</v>
      </c>
      <c r="E2106" s="3" t="s">
        <v>8758</v>
      </c>
      <c r="F2106" s="3" t="s">
        <v>8759</v>
      </c>
      <c r="G2106" s="3" t="str">
        <f ca="1">IFERROR(__xludf.DUMMYFUNCTION("googletranslate(D2106,""en"",""ja"")"),"全体的な円周ひずみ、計算値。全体的な円周方向のひずみ、計算値")</f>
        <v>全体的な円周ひずみ、計算値。全体的な円周方向のひずみ、計算値</v>
      </c>
      <c r="H2106" s="3" t="str">
        <f ca="1">IFERROR(__xludf.DUMMYFUNCTION("googletranslate(E2106,""en"",""ja"")"),"収集された部分的な円周方向の歪みを平均することによる、心室または心房の全体的な心筋円周方向の歪みの計算。")</f>
        <v>収集された部分的な円周方向の歪みを平均することによる、心室または心房の全体的な心筋円周方向の歪みの計算。</v>
      </c>
      <c r="I2106" s="3" t="str">
        <f ca="1">IFERROR(__xludf.DUMMYFUNCTION("googletranslate(F2106,""en"",""ja"")"),"計算された全体的な円周方向ひずみの測定")</f>
        <v>計算された全体的な円周方向ひずみの測定</v>
      </c>
    </row>
    <row r="2107" spans="1:9" ht="30">
      <c r="A2107" s="3" t="s">
        <v>6</v>
      </c>
      <c r="B2107" s="3" t="s">
        <v>8760</v>
      </c>
      <c r="C2107" s="3" t="s">
        <v>8761</v>
      </c>
      <c r="D2107" s="3" t="s">
        <v>8761</v>
      </c>
      <c r="E2107" s="3" t="s">
        <v>8762</v>
      </c>
      <c r="F2107" s="3" t="s">
        <v>8763</v>
      </c>
      <c r="G2107" s="3" t="str">
        <f ca="1">IFERROR(__xludf.DUMMYFUNCTION("googletranslate(D2107,""en"",""ja"")"),"顆粒球コロニー刺激因子")</f>
        <v>顆粒球コロニー刺激因子</v>
      </c>
      <c r="H2107" s="3" t="str">
        <f ca="1">IFERROR(__xludf.DUMMYFUNCTION("googletranslate(E2107,""en"",""ja"")"),"生物学的標本中の顆粒球コロニー刺激因子の測定。")</f>
        <v>生物学的標本中の顆粒球コロニー刺激因子の測定。</v>
      </c>
      <c r="I2107" s="3" t="str">
        <f ca="1">IFERROR(__xludf.DUMMYFUNCTION("googletranslate(F2107,""en"",""ja"")"),"顆粒球コロニー刺激因子の測定")</f>
        <v>顆粒球コロニー刺激因子の測定</v>
      </c>
    </row>
    <row r="2108" spans="1:9" ht="45">
      <c r="A2108" s="3" t="s">
        <v>6</v>
      </c>
      <c r="B2108" s="3" t="s">
        <v>8764</v>
      </c>
      <c r="C2108" s="3" t="s">
        <v>8765</v>
      </c>
      <c r="D2108" s="3" t="s">
        <v>8766</v>
      </c>
      <c r="E2108" s="3" t="s">
        <v>8767</v>
      </c>
      <c r="F2108" s="3" t="s">
        <v>8768</v>
      </c>
      <c r="G2108" s="3" t="str">
        <f ca="1">IFERROR(__xludf.DUMMYFUNCTION("googletranslate(D2108,""en"",""ja"")"),"グアナーゼ;グアニンアミノヒドロラーゼ;グアニンデアミナーゼ")</f>
        <v>グアナーゼ;グアニンアミノヒドロラーゼ;グアニンデアミナーゼ</v>
      </c>
      <c r="H2108" s="3" t="str">
        <f ca="1">IFERROR(__xludf.DUMMYFUNCTION("googletranslate(E2108,""en"",""ja"")"),"生物学的標本中のグアニンデアミナーゼの測定。")</f>
        <v>生物学的標本中のグアニンデアミナーゼの測定。</v>
      </c>
      <c r="I2108" s="3" t="str">
        <f ca="1">IFERROR(__xludf.DUMMYFUNCTION("googletranslate(F2108,""en"",""ja"")"),"グアニンデアミナーゼの測定")</f>
        <v>グアニンデアミナーゼの測定</v>
      </c>
    </row>
    <row r="2109" spans="1:9" ht="45">
      <c r="A2109" s="3" t="s">
        <v>6</v>
      </c>
      <c r="B2109" s="3" t="s">
        <v>8769</v>
      </c>
      <c r="C2109" s="3" t="s">
        <v>8770</v>
      </c>
      <c r="D2109" s="3" t="s">
        <v>8771</v>
      </c>
      <c r="E2109" s="3" t="s">
        <v>8772</v>
      </c>
      <c r="F2109" s="3" t="s">
        <v>8773</v>
      </c>
      <c r="G2109" s="3" t="str">
        <f ca="1">IFERROR(__xludf.DUMMYFUNCTION("googletranslate(D2109,""en"",""ja"")"),"BMP-11;骨形成タンパク質 11;成長差別化因子 11")</f>
        <v>BMP-11;骨形成タンパク質 11;成長差別化因子 11</v>
      </c>
      <c r="H2109" s="3" t="str">
        <f ca="1">IFERROR(__xludf.DUMMYFUNCTION("googletranslate(E2109,""en"",""ja"")"),"生物学的標本の成長分化因子 11 の測定。")</f>
        <v>生物学的標本の成長分化因子 11 の測定。</v>
      </c>
      <c r="I2109" s="3" t="str">
        <f ca="1">IFERROR(__xludf.DUMMYFUNCTION("googletranslate(F2109,""en"",""ja"")"),"成長分化因子11の測定")</f>
        <v>成長分化因子11の測定</v>
      </c>
    </row>
    <row r="2110" spans="1:9" ht="45">
      <c r="A2110" s="3" t="s">
        <v>6</v>
      </c>
      <c r="B2110" s="3" t="s">
        <v>8774</v>
      </c>
      <c r="C2110" s="3" t="s">
        <v>8775</v>
      </c>
      <c r="D2110" s="3" t="s">
        <v>8776</v>
      </c>
      <c r="E2110" s="3" t="s">
        <v>8777</v>
      </c>
      <c r="F2110" s="3" t="s">
        <v>8778</v>
      </c>
      <c r="G2110" s="3" t="str">
        <f ca="1">IFERROR(__xludf.DUMMYFUNCTION("googletranslate(D2110,""en"",""ja"")"),"GDF-15;成長分化因子 15;マクロファージ阻害性サイトカイン-1; MIC-1")</f>
        <v>GDF-15;成長分化因子 15;マクロファージ阻害性サイトカイン-1; MIC-1</v>
      </c>
      <c r="H2110" s="3" t="str">
        <f ca="1">IFERROR(__xludf.DUMMYFUNCTION("googletranslate(E2110,""en"",""ja"")"),"生物学的標本の成長分化因子 15 の測定。")</f>
        <v>生物学的標本の成長分化因子 15 の測定。</v>
      </c>
      <c r="I2110" s="3" t="str">
        <f ca="1">IFERROR(__xludf.DUMMYFUNCTION("googletranslate(F2110,""en"",""ja"")"),"成長分化因子15の測定")</f>
        <v>成長分化因子15の測定</v>
      </c>
    </row>
    <row r="2111" spans="1:9" ht="60">
      <c r="A2111" s="3" t="s">
        <v>6</v>
      </c>
      <c r="B2111" s="3" t="s">
        <v>8779</v>
      </c>
      <c r="C2111" s="3" t="s">
        <v>8780</v>
      </c>
      <c r="D2111" s="3" t="s">
        <v>8781</v>
      </c>
      <c r="E2111" s="3" t="s">
        <v>8782</v>
      </c>
      <c r="F2111" s="3" t="s">
        <v>8783</v>
      </c>
      <c r="G2111" s="3" t="str">
        <f ca="1">IFERROR(__xludf.DUMMYFUNCTION("googletranslate(D2111,""en"",""ja"")"),"BMP-9; BMP9;骨形成タンパク質 9;成長分化因子 2;成長/差別化因子 2")</f>
        <v>BMP-9; BMP9;骨形成タンパク質 9;成長分化因子 2;成長/差別化因子 2</v>
      </c>
      <c r="H2111" s="3" t="str">
        <f ca="1">IFERROR(__xludf.DUMMYFUNCTION("googletranslate(E2111,""en"",""ja"")"),"生物学的標本の成長分化因子 2 の測定。")</f>
        <v>生物学的標本の成長分化因子 2 の測定。</v>
      </c>
      <c r="I2111" s="3" t="str">
        <f ca="1">IFERROR(__xludf.DUMMYFUNCTION("googletranslate(F2111,""en"",""ja"")"),"成長分化因子2の測定")</f>
        <v>成長分化因子2の測定</v>
      </c>
    </row>
    <row r="2112" spans="1:9" ht="30">
      <c r="A2112" s="3" t="s">
        <v>6</v>
      </c>
      <c r="B2112" s="3" t="s">
        <v>8784</v>
      </c>
      <c r="C2112" s="3" t="s">
        <v>8785</v>
      </c>
      <c r="D2112" s="3" t="s">
        <v>8786</v>
      </c>
      <c r="E2112" s="3" t="s">
        <v>8787</v>
      </c>
      <c r="F2112" s="3" t="s">
        <v>8788</v>
      </c>
      <c r="G2112" s="3" t="str">
        <f ca="1">IFERROR(__xludf.DUMMYFUNCTION("googletranslate(D2112,""en"",""ja"")"),"成長分化因子 8;ミオスタチン")</f>
        <v>成長分化因子 8;ミオスタチン</v>
      </c>
      <c r="H2112" s="3" t="str">
        <f ca="1">IFERROR(__xludf.DUMMYFUNCTION("googletranslate(E2112,""en"",""ja"")"),"生物学的標本の成長分化因子 8 の測定。")</f>
        <v>生物学的標本の成長分化因子 8 の測定。</v>
      </c>
      <c r="I2112" s="3" t="str">
        <f ca="1">IFERROR(__xludf.DUMMYFUNCTION("googletranslate(F2112,""en"",""ja"")"),"成長分化因子 8 の測定")</f>
        <v>成長分化因子 8 の測定</v>
      </c>
    </row>
    <row r="2113" spans="1:9" ht="30">
      <c r="A2113" s="3" t="s">
        <v>6</v>
      </c>
      <c r="B2113" s="3" t="s">
        <v>8789</v>
      </c>
      <c r="C2113" s="3" t="s">
        <v>8790</v>
      </c>
      <c r="D2113" s="3" t="s">
        <v>8791</v>
      </c>
      <c r="E2113" s="3" t="s">
        <v>8792</v>
      </c>
      <c r="F2113" s="3" t="s">
        <v>8793</v>
      </c>
      <c r="G2113" s="3" t="str">
        <f ca="1">IFERROR(__xludf.DUMMYFUNCTION("googletranslate(D2113,""en"",""ja"")"),"ガラクトース欠損 IgA1; Gd-IgA1")</f>
        <v>ガラクトース欠損 IgA1; Gd-IgA1</v>
      </c>
      <c r="H2113" s="3" t="str">
        <f ca="1">IFERROR(__xludf.DUMMYFUNCTION("googletranslate(E2113,""en"",""ja"")"),"生物学的検体中のガラクトース欠損 IgA1 の測定。")</f>
        <v>生物学的検体中のガラクトース欠損 IgA1 の測定。</v>
      </c>
      <c r="I2113" s="3" t="str">
        <f ca="1">IFERROR(__xludf.DUMMYFUNCTION("googletranslate(F2113,""en"",""ja"")"),"ガラクトース欠損 IgA1 の測定")</f>
        <v>ガラクトース欠損 IgA1 の測定</v>
      </c>
    </row>
    <row r="2114" spans="1:9" ht="30">
      <c r="A2114" s="3" t="s">
        <v>6</v>
      </c>
      <c r="B2114" s="3" t="s">
        <v>8794</v>
      </c>
      <c r="C2114" s="3" t="s">
        <v>8795</v>
      </c>
      <c r="D2114" s="3" t="s">
        <v>8795</v>
      </c>
      <c r="E2114" s="3" t="s">
        <v>8796</v>
      </c>
      <c r="F2114" s="3" t="s">
        <v>8795</v>
      </c>
      <c r="G2114" s="3" t="str">
        <f ca="1">IFERROR(__xludf.DUMMYFUNCTION("googletranslate(D2114,""en"",""ja"")"),"ガラクトース除去能力")</f>
        <v>ガラクトース除去能力</v>
      </c>
      <c r="H2114" s="3" t="str">
        <f ca="1">IFERROR(__xludf.DUMMYFUNCTION("googletranslate(E2114,""en"",""ja"")"),"生体試料中のガラクトース除去能力を測定する肝機能検査。")</f>
        <v>生体試料中のガラクトース除去能力を測定する肝機能検査。</v>
      </c>
      <c r="I2114" s="3" t="str">
        <f ca="1">IFERROR(__xludf.DUMMYFUNCTION("googletranslate(F2114,""en"",""ja"")"),"ガラクトース除去能力")</f>
        <v>ガラクトース除去能力</v>
      </c>
    </row>
    <row r="2115" spans="1:9" ht="45">
      <c r="A2115" s="3" t="s">
        <v>5065</v>
      </c>
      <c r="B2115" s="3" t="s">
        <v>8797</v>
      </c>
      <c r="C2115" s="3" t="s">
        <v>8798</v>
      </c>
      <c r="D2115" s="3" t="s">
        <v>8799</v>
      </c>
      <c r="E2115" s="3" t="s">
        <v>8800</v>
      </c>
      <c r="F2115" s="3" t="s">
        <v>8801</v>
      </c>
      <c r="G2115" s="3" t="str">
        <f ca="1">IFERROR(__xludf.DUMMYFUNCTION("googletranslate(D2115,""en"",""ja"")"),"遺伝子発現シグネチャ;遺伝子の署名")</f>
        <v>遺伝子発現シグネチャ;遺伝子の署名</v>
      </c>
      <c r="H2115" s="3" t="str">
        <f ca="1">IFERROR(__xludf.DUMMYFUNCTION("googletranslate(E2115,""en"",""ja"")"),"正常または異常な生物学的プロセスに関連する 1 つまたは複数の遺伝子の遺伝子発現の独特なパターンの評価。")</f>
        <v>正常または異常な生物学的プロセスに関連する 1 つまたは複数の遺伝子の遺伝子発現の独特なパターンの評価。</v>
      </c>
      <c r="I2115" s="3" t="str">
        <f ca="1">IFERROR(__xludf.DUMMYFUNCTION("googletranslate(F2115,""en"",""ja"")"),"遺伝子署名の評価")</f>
        <v>遺伝子署名の評価</v>
      </c>
    </row>
    <row r="2116" spans="1:9" ht="45">
      <c r="A2116" s="3" t="s">
        <v>503</v>
      </c>
      <c r="B2116" s="3" t="s">
        <v>8802</v>
      </c>
      <c r="C2116" s="3" t="s">
        <v>8803</v>
      </c>
      <c r="D2116" s="3" t="s">
        <v>8803</v>
      </c>
      <c r="E2116" s="3" t="s">
        <v>8804</v>
      </c>
      <c r="F2116" s="3" t="s">
        <v>8803</v>
      </c>
      <c r="G2116" s="3" t="str">
        <f ca="1">IFERROR(__xludf.DUMMYFUNCTION("googletranslate(D2116,""en"",""ja"")"),"性同一性")</f>
        <v>性同一性</v>
      </c>
      <c r="H2116" s="3" t="str">
        <f ca="1">IFERROR(__xludf.DUMMYFUNCTION("googletranslate(E2116,""en"",""ja"")"),"個人が内的に抱く自分の性別の感覚。これは、個人の遺伝子型または表現型の性別に対応する場合もあれば、対応しない場合もあります。")</f>
        <v>個人が内的に抱く自分の性別の感覚。これは、個人の遺伝子型または表現型の性別に対応する場合もあれば、対応しない場合もあります。</v>
      </c>
      <c r="I2116" s="3" t="str">
        <f ca="1">IFERROR(__xludf.DUMMYFUNCTION("googletranslate(F2116,""en"",""ja"")"),"性同一性")</f>
        <v>性同一性</v>
      </c>
    </row>
    <row r="2117" spans="1:9" ht="30">
      <c r="A2117" s="3" t="s">
        <v>6</v>
      </c>
      <c r="B2117" s="3" t="s">
        <v>8805</v>
      </c>
      <c r="C2117" s="3" t="s">
        <v>8806</v>
      </c>
      <c r="D2117" s="3" t="s">
        <v>8806</v>
      </c>
      <c r="E2117" s="3" t="s">
        <v>8807</v>
      </c>
      <c r="F2117" s="3" t="s">
        <v>8808</v>
      </c>
      <c r="G2117" s="3" t="str">
        <f ca="1">IFERROR(__xludf.DUMMYFUNCTION("googletranslate(D2117,""en"",""ja"")"),"グリア線維性酸性タンパク質")</f>
        <v>グリア線維性酸性タンパク質</v>
      </c>
      <c r="H2117" s="3" t="str">
        <f ca="1">IFERROR(__xludf.DUMMYFUNCTION("googletranslate(E2117,""en"",""ja"")"),"生物学的標本中のグリア線維性酸性タンパク質の測定。")</f>
        <v>生物学的標本中のグリア線維性酸性タンパク質の測定。</v>
      </c>
      <c r="I2117" s="3" t="str">
        <f ca="1">IFERROR(__xludf.DUMMYFUNCTION("googletranslate(F2117,""en"",""ja"")"),"グリア原線維酸性タンパク質の測定")</f>
        <v>グリア原線維酸性タンパク質の測定</v>
      </c>
    </row>
    <row r="2118" spans="1:9" ht="45">
      <c r="A2118" s="3" t="s">
        <v>6</v>
      </c>
      <c r="B2118" s="3" t="s">
        <v>8809</v>
      </c>
      <c r="C2118" s="3" t="s">
        <v>8810</v>
      </c>
      <c r="D2118" s="3" t="s">
        <v>8810</v>
      </c>
      <c r="E2118" s="3" t="s">
        <v>8811</v>
      </c>
      <c r="F2118" s="3" t="s">
        <v>8810</v>
      </c>
      <c r="G2118" s="3" t="str">
        <f ca="1">IFERROR(__xludf.DUMMYFUNCTION("googletranslate(D2118,""en"",""ja"")"),"糸球体濾過速度")</f>
        <v>糸球体濾過速度</v>
      </c>
      <c r="H2118" s="3" t="str">
        <f ca="1">IFERROR(__xludf.DUMMYFUNCTION("googletranslate(E2118,""en"",""ja"")"),"腎臓の糸球体からボーマン嚢まで単位時間当たりに濾過される液体の量を測定する腎機能検査。")</f>
        <v>腎臓の糸球体からボーマン嚢まで単位時間当たりに濾過される液体の量を測定する腎機能検査。</v>
      </c>
      <c r="I2118" s="3" t="str">
        <f ca="1">IFERROR(__xludf.DUMMYFUNCTION("googletranslate(F2118,""en"",""ja"")"),"糸球体濾過速度")</f>
        <v>糸球体濾過速度</v>
      </c>
    </row>
    <row r="2119" spans="1:9" ht="30">
      <c r="A2119" s="3" t="s">
        <v>6</v>
      </c>
      <c r="B2119" s="3" t="s">
        <v>8812</v>
      </c>
      <c r="C2119" s="3" t="s">
        <v>8813</v>
      </c>
      <c r="D2119" s="3" t="s">
        <v>8813</v>
      </c>
      <c r="E2119" s="3" t="s">
        <v>8814</v>
      </c>
      <c r="F2119" s="3" t="s">
        <v>8815</v>
      </c>
      <c r="G2119" s="3" t="str">
        <f ca="1">IFERROR(__xludf.DUMMYFUNCTION("googletranslate(D2119,""en"",""ja"")"),"BSAの糸球体濾過速度調整")</f>
        <v>BSAの糸球体濾過速度調整</v>
      </c>
      <c r="H2119" s="3" t="str">
        <f ca="1">IFERROR(__xludf.DUMMYFUNCTION("googletranslate(E2119,""en"",""ja"")"),"体表面積に合わせて調整された糸球体濾過率の測定値。")</f>
        <v>体表面積に合わせて調整された糸球体濾過率の測定値。</v>
      </c>
      <c r="I2119" s="3" t="str">
        <f ca="1">IFERROR(__xludf.DUMMYFUNCTION("googletranslate(F2119,""en"",""ja"")"),"BSA に合わせて調整された糸球体濾過速度")</f>
        <v>BSA に合わせて調整された糸球体濾過速度</v>
      </c>
    </row>
    <row r="2120" spans="1:9" ht="45">
      <c r="A2120" s="3" t="s">
        <v>6</v>
      </c>
      <c r="B2120" s="3" t="s">
        <v>8816</v>
      </c>
      <c r="C2120" s="3" t="s">
        <v>8817</v>
      </c>
      <c r="D2120" s="3" t="s">
        <v>8817</v>
      </c>
      <c r="E2120" s="3" t="s">
        <v>8818</v>
      </c>
      <c r="F2120" s="3" t="s">
        <v>8819</v>
      </c>
      <c r="G2120" s="3" t="str">
        <f ca="1">IFERROR(__xludf.DUMMYFUNCTION("googletranslate(D2120,""en"",""ja"")"),"BSA に対する B-2 ミクログロブリン調整からの GFR")</f>
        <v>BSA に対する B-2 ミクログロブリン調整からの GFR</v>
      </c>
      <c r="H2120" s="3" t="str">
        <f ca="1">IFERROR(__xludf.DUMMYFUNCTION("googletranslate(E2120,""en"",""ja"")"),"標準体表面積値 1.73m2 に調整した後のベータ 2 ミクログロブリンのクリアランスに基づく糸球体濾過率 (GFR) の直接測定。")</f>
        <v>標準体表面積値 1.73m2 に調整した後のベータ 2 ミクログロブリンのクリアランスに基づく糸球体濾過率 (GFR) の直接測定。</v>
      </c>
      <c r="I2120" s="3" t="str">
        <f ca="1">IFERROR(__xludf.DUMMYFUNCTION("googletranslate(F2120,""en"",""ja"")"),"標準BSA測定用に調整されたベータトレースタンパク質からの直接糸球体濾過速度")</f>
        <v>標準BSA測定用に調整されたベータトレースタンパク質からの直接糸球体濾過速度</v>
      </c>
    </row>
    <row r="2121" spans="1:9" ht="45">
      <c r="A2121" s="3" t="s">
        <v>6</v>
      </c>
      <c r="B2121" s="3" t="s">
        <v>8820</v>
      </c>
      <c r="C2121" s="3" t="s">
        <v>8821</v>
      </c>
      <c r="D2121" s="3" t="s">
        <v>8821</v>
      </c>
      <c r="E2121" s="3" t="s">
        <v>8822</v>
      </c>
      <c r="F2121" s="3" t="s">
        <v>8819</v>
      </c>
      <c r="G2121" s="3" t="str">
        <f ca="1">IFERROR(__xludf.DUMMYFUNCTION("googletranslate(D2121,""en"",""ja"")"),"BSA に対するベータトレースタンパク質調整からの GFR")</f>
        <v>BSA に対するベータトレースタンパク質調整からの GFR</v>
      </c>
      <c r="H2121" s="3" t="str">
        <f ca="1">IFERROR(__xludf.DUMMYFUNCTION("googletranslate(E2121,""en"",""ja"")"),"標準体表面積値 1.73m2 に調整した後のベータ微量タンパク質のクリアランスに基づく糸球体濾過率 (GFR) の直接測定。")</f>
        <v>標準体表面積値 1.73m2 に調整した後のベータ微量タンパク質のクリアランスに基づく糸球体濾過率 (GFR) の直接測定。</v>
      </c>
      <c r="I2121" s="3" t="str">
        <f ca="1">IFERROR(__xludf.DUMMYFUNCTION("googletranslate(F2121,""en"",""ja"")"),"標準BSA測定用に調整されたベータトレースタンパク質からの直接糸球体濾過速度")</f>
        <v>標準BSA測定用に調整されたベータトレースタンパク質からの直接糸球体濾過速度</v>
      </c>
    </row>
    <row r="2122" spans="1:9" ht="60">
      <c r="A2122" s="3" t="s">
        <v>6</v>
      </c>
      <c r="B2122" s="3" t="s">
        <v>8823</v>
      </c>
      <c r="C2122" s="3" t="s">
        <v>8824</v>
      </c>
      <c r="D2122" s="3" t="s">
        <v>8824</v>
      </c>
      <c r="E2122" s="3" t="s">
        <v>8825</v>
      </c>
      <c r="F2122" s="3" t="s">
        <v>8826</v>
      </c>
      <c r="G2122" s="3" t="str">
        <f ca="1">IFERROR(__xludf.DUMMYFUNCTION("googletranslate(D2122,""en"",""ja"")"),"シスタチン C および Creat Adj BSA からの GFR")</f>
        <v>シスタチン C および Creat Adj BSA からの GFR</v>
      </c>
      <c r="H2122" s="3" t="str">
        <f ca="1">IFERROR(__xludf.DUMMYFUNCTION("googletranslate(E2122,""en"",""ja"")"),"シスタチン C とクレアチニンに基づいて、標準体表面積 (1.73m2) に合わせて調整された糸球体濾過率の推定値。")</f>
        <v>シスタチン C とクレアチニンに基づいて、標準体表面積 (1.73m2) に合わせて調整された糸球体濾過率の推定値。</v>
      </c>
      <c r="I2122" s="3" t="str">
        <f ca="1">IFERROR(__xludf.DUMMYFUNCTION("googletranslate(F2122,""en"",""ja"")"),"標準 BSA に対して調整されたシスタチン C およびクレアチニンからの推定糸球体濾過速度")</f>
        <v>標準 BSA に対して調整されたシスタチン C およびクレアチニンからの推定糸球体濾過速度</v>
      </c>
    </row>
    <row r="2123" spans="1:9" ht="45">
      <c r="A2123" s="3" t="s">
        <v>6</v>
      </c>
      <c r="B2123" s="3" t="s">
        <v>8827</v>
      </c>
      <c r="C2123" s="3" t="s">
        <v>8828</v>
      </c>
      <c r="D2123" s="3" t="s">
        <v>8828</v>
      </c>
      <c r="E2123" s="3" t="s">
        <v>8829</v>
      </c>
      <c r="F2123" s="3" t="s">
        <v>8830</v>
      </c>
      <c r="G2123" s="3" t="str">
        <f ca="1">IFERROR(__xludf.DUMMYFUNCTION("googletranslate(D2123,""en"",""ja"")"),"BSA を調整したクレアチニンからの GFR")</f>
        <v>BSA を調整したクレアチニンからの GFR</v>
      </c>
      <c r="H2123" s="3" t="str">
        <f ca="1">IFERROR(__xludf.DUMMYFUNCTION("googletranslate(E2123,""en"",""ja"")"),"クレアチニンに基づいて標準体表面積 (1.73m2) に調整された糸球体濾過量の推定値。")</f>
        <v>クレアチニンに基づいて標準体表面積 (1.73m2) に調整された糸球体濾過量の推定値。</v>
      </c>
      <c r="I2123" s="3" t="str">
        <f ca="1">IFERROR(__xludf.DUMMYFUNCTION("googletranslate(F2123,""en"",""ja"")"),"標準 BSA に対して調整されたクレアチニンからの推定糸球体濾過率")</f>
        <v>標準 BSA に対して調整されたクレアチニンからの推定糸球体濾過率</v>
      </c>
    </row>
    <row r="2124" spans="1:9" ht="60">
      <c r="A2124" s="3" t="s">
        <v>6</v>
      </c>
      <c r="B2124" s="3" t="s">
        <v>8831</v>
      </c>
      <c r="C2124" s="3" t="s">
        <v>8832</v>
      </c>
      <c r="D2124" s="3" t="s">
        <v>8833</v>
      </c>
      <c r="E2124" s="3" t="s">
        <v>8834</v>
      </c>
      <c r="F2124" s="3" t="s">
        <v>8835</v>
      </c>
      <c r="G2124" s="3" t="str">
        <f ca="1">IFERROR(__xludf.DUMMYFUNCTION("googletranslate(D2124,""en"",""ja"")"),"Creat および UreaN Adj BSA からの GFR。 BSA 用に調整されたクレアチニンおよび尿素窒素からの GFR")</f>
        <v>Creat および UreaN Adj BSA からの GFR。 BSA 用に調整されたクレアチニンおよび尿素窒素からの GFR</v>
      </c>
      <c r="H2124" s="3" t="str">
        <f ca="1">IFERROR(__xludf.DUMMYFUNCTION("googletranslate(E2124,""en"",""ja"")"),"クレアチニンと尿素窒素に基づいて、標準体表面積 (1.73m2) に合わせて調整された糸球体濾過率の推定値。")</f>
        <v>クレアチニンと尿素窒素に基づいて、標準体表面積 (1.73m2) に合わせて調整された糸球体濾過率の推定値。</v>
      </c>
      <c r="I2124" s="3" t="str">
        <f ca="1">IFERROR(__xludf.DUMMYFUNCTION("googletranslate(F2124,""en"",""ja"")"),"標準 BSA に対して調整されたクレアチニンおよび尿素窒素からの推定糸球体濾過率")</f>
        <v>標準 BSA に対して調整されたクレアチニンおよび尿素窒素からの推定糸球体濾過率</v>
      </c>
    </row>
    <row r="2125" spans="1:9" ht="60">
      <c r="A2125" s="3" t="s">
        <v>6</v>
      </c>
      <c r="B2125" s="3" t="s">
        <v>8836</v>
      </c>
      <c r="C2125" s="3" t="s">
        <v>8837</v>
      </c>
      <c r="D2125" s="3" t="s">
        <v>8838</v>
      </c>
      <c r="E2125" s="3" t="s">
        <v>8839</v>
      </c>
      <c r="F2125" s="3" t="s">
        <v>8840</v>
      </c>
      <c r="G2125" s="3" t="str">
        <f ca="1">IFERROR(__xludf.DUMMYFUNCTION("googletranslate(D2125,""en"",""ja"")"),"Creat、尿素、Alb Adj BSA からの GFR。 BSA 用に調整されたクレアチニン、尿素窒素、アルブミンからの GFR")</f>
        <v>Creat、尿素、Alb Adj BSA からの GFR。 BSA 用に調整されたクレアチニン、尿素窒素、アルブミンからの GFR</v>
      </c>
      <c r="H2125" s="3" t="str">
        <f ca="1">IFERROR(__xludf.DUMMYFUNCTION("googletranslate(E2125,""en"",""ja"")"),"クレアチニン、尿素窒素、アルブミンに基づいて標準体表面積 (1.73m2) に合わせて調整された糸球体濾過率の推定値。")</f>
        <v>クレアチニン、尿素窒素、アルブミンに基づいて標準体表面積 (1.73m2) に合わせて調整された糸球体濾過率の推定値。</v>
      </c>
      <c r="I2125" s="3" t="str">
        <f ca="1">IFERROR(__xludf.DUMMYFUNCTION("googletranslate(F2125,""en"",""ja"")"),"標準 BSA に対して調整されたクレアチニン、尿素窒素、およびアルブミンからの推定糸球体濾過速度")</f>
        <v>標準 BSA に対して調整されたクレアチニン、尿素窒素、およびアルブミンからの推定糸球体濾過速度</v>
      </c>
    </row>
    <row r="2126" spans="1:9" ht="45">
      <c r="A2126" s="3" t="s">
        <v>6</v>
      </c>
      <c r="B2126" s="3" t="s">
        <v>8841</v>
      </c>
      <c r="C2126" s="3" t="s">
        <v>8842</v>
      </c>
      <c r="D2126" s="3" t="s">
        <v>8842</v>
      </c>
      <c r="E2126" s="3" t="s">
        <v>8843</v>
      </c>
      <c r="F2126" s="3" t="s">
        <v>8844</v>
      </c>
      <c r="G2126" s="3" t="str">
        <f ca="1">IFERROR(__xludf.DUMMYFUNCTION("googletranslate(D2126,""en"",""ja"")"),"BSA について調整されたシスタチン C からの GFR")</f>
        <v>BSA について調整されたシスタチン C からの GFR</v>
      </c>
      <c r="H2126" s="3" t="str">
        <f ca="1">IFERROR(__xludf.DUMMYFUNCTION("googletranslate(E2126,""en"",""ja"")"),"シスタチン C に基づいて標準体表面積 (1.73m2) に調整された糸球体濾過量の推定値。")</f>
        <v>シスタチン C に基づいて標準体表面積 (1.73m2) に調整された糸球体濾過量の推定値。</v>
      </c>
      <c r="I2126" s="3" t="str">
        <f ca="1">IFERROR(__xludf.DUMMYFUNCTION("googletranslate(F2126,""en"",""ja"")"),"標準 BSA に対して調整されたシスタチン C からの推定糸球体濾過率")</f>
        <v>標準 BSA に対して調整されたシスタチン C からの推定糸球体濾過率</v>
      </c>
    </row>
    <row r="2127" spans="1:9" ht="60">
      <c r="A2127" s="3" t="s">
        <v>6</v>
      </c>
      <c r="B2127" s="3" t="s">
        <v>8845</v>
      </c>
      <c r="C2127" s="3" t="s">
        <v>8846</v>
      </c>
      <c r="D2127" s="3" t="s">
        <v>8847</v>
      </c>
      <c r="E2127" s="3" t="s">
        <v>8848</v>
      </c>
      <c r="F2127" s="3" t="s">
        <v>8849</v>
      </c>
      <c r="G2127" s="3" t="str">
        <f ca="1">IFERROR(__xludf.DUMMYFUNCTION("googletranslate(D2127,""en"",""ja"")"),"eGFR;糸球体濾過速度、推定値")</f>
        <v>eGFR;糸球体濾過速度、推定値</v>
      </c>
      <c r="H2127" s="3" t="str">
        <f ca="1">IFERROR(__xludf.DUMMYFUNCTION("googletranslate(E2127,""en"",""ja"")"),"単位時間当たりに腎臓の糸球体からボーマン嚢まで濾過される体液量を推定する腎機能検査。体表面積の指標となる場合もあれば、指標とならない場合もあります。")</f>
        <v>単位時間当たりに腎臓の糸球体からボーマン嚢まで濾過される体液量を推定する腎機能検査。体表面積の指標となる場合もあれば、指標とならない場合もあります。</v>
      </c>
      <c r="I2127" s="3" t="str">
        <f ca="1">IFERROR(__xludf.DUMMYFUNCTION("googletranslate(F2127,""en"",""ja"")"),"推定糸球体濾過率")</f>
        <v>推定糸球体濾過率</v>
      </c>
    </row>
    <row r="2128" spans="1:9" ht="75">
      <c r="A2128" s="3" t="s">
        <v>6</v>
      </c>
      <c r="B2128" s="3" t="s">
        <v>8850</v>
      </c>
      <c r="C2128" s="3" t="s">
        <v>8851</v>
      </c>
      <c r="D2128" s="3" t="s">
        <v>8852</v>
      </c>
      <c r="E2128" s="3" t="s">
        <v>8853</v>
      </c>
      <c r="F2128" s="3" t="s">
        <v>8854</v>
      </c>
      <c r="G2128" s="3" t="str">
        <f ca="1">IFERROR(__xludf.DUMMYFUNCTION("googletranslate(D2128,""en"",""ja"")"),"eGFR、インデックス付き。 1.73m2 の推定糸球体濾過率調整値。 GFR、推定指数化。インデックス付き eGFR。指数化された推定糸球体濾過率")</f>
        <v>eGFR、インデックス付き。 1.73m2 の推定糸球体濾過率調整値。 GFR、推定指数化。インデックス付き eGFR。指数化された推定糸球体濾過率</v>
      </c>
      <c r="H2128" s="3" t="str">
        <f ca="1">IFERROR(__xludf.DUMMYFUNCTION("googletranslate(E2128,""en"",""ja"")"),"標準体表面積 (BSA) 値 1.73m2 を考慮した推定 GFR (eGFR)。")</f>
        <v>標準体表面積 (BSA) 値 1.73m2 を考慮した推定 GFR (eGFR)。</v>
      </c>
      <c r="I2128" s="3" t="str">
        <f ca="1">IFERROR(__xludf.DUMMYFUNCTION("googletranslate(F2128,""en"",""ja"")"),"指数化された推定糸球体濾過率")</f>
        <v>指数化された推定糸球体濾過率</v>
      </c>
    </row>
    <row r="2129" spans="1:9" ht="105">
      <c r="A2129" s="3" t="s">
        <v>6</v>
      </c>
      <c r="B2129" s="3" t="s">
        <v>8855</v>
      </c>
      <c r="C2129" s="3" t="s">
        <v>8856</v>
      </c>
      <c r="D2129" s="3" t="s">
        <v>8857</v>
      </c>
      <c r="E2129" s="3" t="s">
        <v>8858</v>
      </c>
      <c r="F2129" s="3" t="s">
        <v>8859</v>
      </c>
      <c r="G2129" s="3" t="str">
        <f ca="1">IFERROR(__xludf.DUMMYFUNCTION("googletranslate(D2129,""en"",""ja"")"),"絶対GFR;インデックス解除された eGFR; eGFR、インデックスなし。 BSA の推定糸球体濾過速度調整値。 GFR、推定非インデックス。個人の eGFR;非インデックス eGFR。指数化されていない推定糸球体濾過率")</f>
        <v>絶対GFR;インデックス解除された eGFR; eGFR、インデックスなし。 BSA の推定糸球体濾過速度調整値。 GFR、推定非インデックス。個人の eGFR;非インデックス eGFR。指数化されていない推定糸球体濾過率</v>
      </c>
      <c r="H2129" s="3" t="str">
        <f ca="1">IFERROR(__xludf.DUMMYFUNCTION("googletranslate(E2129,""en"",""ja"")"),"個人の実際の体表面積 (BSA) 値を考慮した推定 GFR (eGFR)。")</f>
        <v>個人の実際の体表面積 (BSA) 値を考慮した推定 GFR (eGFR)。</v>
      </c>
      <c r="I2129" s="3" t="str">
        <f ca="1">IFERROR(__xludf.DUMMYFUNCTION("googletranslate(F2129,""en"",""ja"")"),"指数化されていない推定糸球体濾過率")</f>
        <v>指数化されていない推定糸球体濾過率</v>
      </c>
    </row>
    <row r="2130" spans="1:9" ht="60">
      <c r="A2130" s="3" t="s">
        <v>6</v>
      </c>
      <c r="B2130" s="3" t="s">
        <v>8860</v>
      </c>
      <c r="C2130" s="3" t="s">
        <v>8861</v>
      </c>
      <c r="D2130" s="3" t="s">
        <v>8862</v>
      </c>
      <c r="E2130" s="3" t="s">
        <v>8863</v>
      </c>
      <c r="F2130" s="3" t="s">
        <v>8864</v>
      </c>
      <c r="G2130" s="3" t="str">
        <f ca="1">IFERROR(__xludf.DUMMYFUNCTION("googletranslate(D2130,""en"",""ja"")"),"aBSA に対する B-2 ミクログロブリン調整からの GFR。実際の BSA に合わせて調整された B-2 ミクログロブリンの GFR")</f>
        <v>aBSA に対する B-2 ミクログロブリン調整からの GFR。実際の BSA に合わせて調整された B-2 ミクログロブリンの GFR</v>
      </c>
      <c r="H2130" s="3" t="str">
        <f ca="1">IFERROR(__xludf.DUMMYFUNCTION("googletranslate(E2130,""en"",""ja"")"),"個人の実際の体表面積値に合わせて調整した後の、ベータ 2 ミクログロブリンのクリアランスに基づく糸球体濾過率 (GFR) の直接測定。")</f>
        <v>個人の実際の体表面積値に合わせて調整した後の、ベータ 2 ミクログロブリンのクリアランスに基づく糸球体濾過率 (GFR) の直接測定。</v>
      </c>
      <c r="I2130" s="3" t="str">
        <f ca="1">IFERROR(__xludf.DUMMYFUNCTION("googletranslate(F2130,""en"",""ja"")"),"実際の BSA 測定用に調整された B-2 ミクログロブリンの糸球体濾過速度")</f>
        <v>実際の BSA 測定用に調整された B-2 ミクログロブリンの糸球体濾過速度</v>
      </c>
    </row>
    <row r="2131" spans="1:9" ht="75">
      <c r="A2131" s="3" t="s">
        <v>6</v>
      </c>
      <c r="B2131" s="3" t="s">
        <v>8865</v>
      </c>
      <c r="C2131" s="3" t="s">
        <v>8866</v>
      </c>
      <c r="D2131" s="3" t="s">
        <v>8867</v>
      </c>
      <c r="E2131" s="3" t="s">
        <v>8868</v>
      </c>
      <c r="F2131" s="3" t="s">
        <v>8869</v>
      </c>
      <c r="G2131" s="3" t="str">
        <f ca="1">IFERROR(__xludf.DUMMYFUNCTION("googletranslate(D2131,""en"",""ja"")"),"aBSA のベータトレースタンパク質調整からの GFR。実際のBSAに合わせて調整されたベータトレースタンパク質からのGFR")</f>
        <v>aBSA のベータトレースタンパク質調整からの GFR。実際のBSAに合わせて調整されたベータトレースタンパク質からのGFR</v>
      </c>
      <c r="H2131" s="3" t="str">
        <f ca="1">IFERROR(__xludf.DUMMYFUNCTION("googletranslate(E2131,""en"",""ja"")"),"個人の実際の体表面積値に合わせて調整した後の、ベータ微量タンパク質のクリアランスに基づく糸球体濾過率 (GFR) の直接測定。")</f>
        <v>個人の実際の体表面積値に合わせて調整した後の、ベータ微量タンパク質のクリアランスに基づく糸球体濾過率 (GFR) の直接測定。</v>
      </c>
      <c r="I2131" s="3" t="str">
        <f ca="1">IFERROR(__xludf.DUMMYFUNCTION("googletranslate(F2131,""en"",""ja"")"),"実際のBSA測定用に調整されたベータトレースタンパク質からの糸球体濾過速度")</f>
        <v>実際のBSA測定用に調整されたベータトレースタンパク質からの糸球体濾過速度</v>
      </c>
    </row>
    <row r="2132" spans="1:9" ht="45">
      <c r="A2132" s="3" t="s">
        <v>6</v>
      </c>
      <c r="B2132" s="3" t="s">
        <v>8870</v>
      </c>
      <c r="C2132" s="3" t="s">
        <v>8871</v>
      </c>
      <c r="D2132" s="3" t="s">
        <v>8871</v>
      </c>
      <c r="E2132" s="3" t="s">
        <v>8872</v>
      </c>
      <c r="F2132" s="3" t="s">
        <v>8873</v>
      </c>
      <c r="G2132" s="3" t="str">
        <f ca="1">IFERROR(__xludf.DUMMYFUNCTION("googletranslate(D2132,""en"",""ja"")"),"シスタチン C および Creat Adj aBSA からの GFR")</f>
        <v>シスタチン C および Creat Adj aBSA からの GFR</v>
      </c>
      <c r="H2132" s="3" t="str">
        <f ca="1">IFERROR(__xludf.DUMMYFUNCTION("googletranslate(E2132,""en"",""ja"")"),"シスタチン C とクレアチニンに基づいて、個人の実際の体表面積に合わせて調整された糸球体濾過率の推定値。")</f>
        <v>シスタチン C とクレアチニンに基づいて、個人の実際の体表面積に合わせて調整された糸球体濾過率の推定値。</v>
      </c>
      <c r="I2132" s="3" t="str">
        <f ca="1">IFERROR(__xludf.DUMMYFUNCTION("googletranslate(F2132,""en"",""ja"")"),"実際の BSA に対して調整されたシスタチン C およびクレアチニンからの糸球体濾過速度")</f>
        <v>実際の BSA に対して調整されたシスタチン C およびクレアチニンからの糸球体濾過速度</v>
      </c>
    </row>
    <row r="2133" spans="1:9" ht="60">
      <c r="A2133" s="3" t="s">
        <v>6</v>
      </c>
      <c r="B2133" s="3" t="s">
        <v>8874</v>
      </c>
      <c r="C2133" s="3" t="s">
        <v>8875</v>
      </c>
      <c r="D2133" s="3" t="s">
        <v>8876</v>
      </c>
      <c r="E2133" s="3" t="s">
        <v>8877</v>
      </c>
      <c r="F2133" s="3" t="s">
        <v>8878</v>
      </c>
      <c r="G2133" s="3" t="str">
        <f ca="1">IFERROR(__xludf.DUMMYFUNCTION("googletranslate(D2133,""en"",""ja"")"),"aBSA 用に調整されたクレアチニンからの GFR;実際の BSA に対して調整されたクレアチニンからの GFR")</f>
        <v>aBSA 用に調整されたクレアチニンからの GFR;実際の BSA に対して調整されたクレアチニンからの GFR</v>
      </c>
      <c r="H2133" s="3" t="str">
        <f ca="1">IFERROR(__xludf.DUMMYFUNCTION("googletranslate(E2133,""en"",""ja"")"),"クレアチニンに基づいて、個人の実際の体表面積に合わせて調整された糸球体濾過率の推定値。")</f>
        <v>クレアチニンに基づいて、個人の実際の体表面積に合わせて調整された糸球体濾過率の推定値。</v>
      </c>
      <c r="I2133" s="3" t="str">
        <f ca="1">IFERROR(__xludf.DUMMYFUNCTION("googletranslate(F2133,""en"",""ja"")"),"実際の BSA に対して調整されたクレアチニンからの糸球体濾過速度")</f>
        <v>実際の BSA に対して調整されたクレアチニンからの糸球体濾過速度</v>
      </c>
    </row>
    <row r="2134" spans="1:9" ht="60">
      <c r="A2134" s="3" t="s">
        <v>6</v>
      </c>
      <c r="B2134" s="3" t="s">
        <v>8879</v>
      </c>
      <c r="C2134" s="3" t="s">
        <v>8880</v>
      </c>
      <c r="D2134" s="3" t="s">
        <v>8881</v>
      </c>
      <c r="E2134" s="3" t="s">
        <v>8882</v>
      </c>
      <c r="F2134" s="3" t="s">
        <v>8883</v>
      </c>
      <c r="G2134" s="3" t="str">
        <f ca="1">IFERROR(__xludf.DUMMYFUNCTION("googletranslate(D2134,""en"",""ja"")"),"Creat および UreaN Adj aBSA からの GFR。実際の BSA に合わせて調整されたクレアチニンおよび尿素窒素からの GFR")</f>
        <v>Creat および UreaN Adj aBSA からの GFR。実際の BSA に合わせて調整されたクレアチニンおよび尿素窒素からの GFR</v>
      </c>
      <c r="H2134" s="3" t="str">
        <f ca="1">IFERROR(__xludf.DUMMYFUNCTION("googletranslate(E2134,""en"",""ja"")"),"クレアチニンと尿素窒素に基づいて、個人の実際の体表面積に合わせて調整された糸球体濾過率の推定値。")</f>
        <v>クレアチニンと尿素窒素に基づいて、個人の実際の体表面積に合わせて調整された糸球体濾過率の推定値。</v>
      </c>
      <c r="I2134" s="3" t="str">
        <f ca="1">IFERROR(__xludf.DUMMYFUNCTION("googletranslate(F2134,""en"",""ja"")"),"実際の体表面積測定用に調整されたクレアチニンおよび尿素窒素からの糸球体濾過率")</f>
        <v>実際の体表面積測定用に調整されたクレアチニンおよび尿素窒素からの糸球体濾過率</v>
      </c>
    </row>
    <row r="2135" spans="1:9" ht="60">
      <c r="A2135" s="3" t="s">
        <v>6</v>
      </c>
      <c r="B2135" s="3" t="s">
        <v>8884</v>
      </c>
      <c r="C2135" s="3" t="s">
        <v>8885</v>
      </c>
      <c r="D2135" s="3" t="s">
        <v>8886</v>
      </c>
      <c r="E2135" s="3" t="s">
        <v>8887</v>
      </c>
      <c r="F2135" s="3" t="s">
        <v>8888</v>
      </c>
      <c r="G2135" s="3" t="str">
        <f ca="1">IFERROR(__xludf.DUMMYFUNCTION("googletranslate(D2135,""en"",""ja"")"),"Creat、尿素、Alb Adj aBSA からの GFR。実際の BSA に合わせて調整されたクレアチニン、尿素窒素、アルブミンからの GFR")</f>
        <v>Creat、尿素、Alb Adj aBSA からの GFR。実際の BSA に合わせて調整されたクレアチニン、尿素窒素、アルブミンからの GFR</v>
      </c>
      <c r="H2135" s="3" t="str">
        <f ca="1">IFERROR(__xludf.DUMMYFUNCTION("googletranslate(E2135,""en"",""ja"")"),"クレアチニン、尿素窒素、およびアルブミンに基づいて、個人の実際の体表面積に合わせて調整された糸球体濾過率の推定値。")</f>
        <v>クレアチニン、尿素窒素、およびアルブミンに基づいて、個人の実際の体表面積に合わせて調整された糸球体濾過率の推定値。</v>
      </c>
      <c r="I2135" s="3" t="str">
        <f ca="1">IFERROR(__xludf.DUMMYFUNCTION("googletranslate(F2135,""en"",""ja"")"),"実際の体表面積測定用に調整されたクレアチニン、尿素窒素、およびアルブミンからの糸球体濾過速度")</f>
        <v>実際の体表面積測定用に調整されたクレアチニン、尿素窒素、およびアルブミンからの糸球体濾過速度</v>
      </c>
    </row>
    <row r="2136" spans="1:9" ht="60">
      <c r="A2136" s="3" t="s">
        <v>6</v>
      </c>
      <c r="B2136" s="3" t="s">
        <v>8889</v>
      </c>
      <c r="C2136" s="3" t="s">
        <v>8890</v>
      </c>
      <c r="D2136" s="3" t="s">
        <v>8891</v>
      </c>
      <c r="E2136" s="3" t="s">
        <v>8892</v>
      </c>
      <c r="F2136" s="3" t="s">
        <v>8893</v>
      </c>
      <c r="G2136" s="3" t="str">
        <f ca="1">IFERROR(__xludf.DUMMYFUNCTION("googletranslate(D2136,""en"",""ja"")"),"aBSA について調整されたシスタチン C からの GFR。実際の BSA に合わせて調整されたシスタチン C からの GFR")</f>
        <v>aBSA について調整されたシスタチン C からの GFR。実際の BSA に合わせて調整されたシスタチン C からの GFR</v>
      </c>
      <c r="H2136" s="3" t="str">
        <f ca="1">IFERROR(__xludf.DUMMYFUNCTION("googletranslate(E2136,""en"",""ja"")"),"シスタチン C に基づいて、個人の実際の体表面積に合わせて調整された糸球体濾過率の推定値。")</f>
        <v>シスタチン C に基づいて、個人の実際の体表面積に合わせて調整された糸球体濾過率の推定値。</v>
      </c>
      <c r="I2136" s="3" t="str">
        <f ca="1">IFERROR(__xludf.DUMMYFUNCTION("googletranslate(F2136,""en"",""ja"")"),"実際の BSA に対して調整されたシスタチン C からの糸球体濾過速度")</f>
        <v>実際の BSA に対して調整されたシスタチン C からの糸球体濾過速度</v>
      </c>
    </row>
    <row r="2137" spans="1:9" ht="30">
      <c r="A2137" s="3" t="s">
        <v>6</v>
      </c>
      <c r="B2137" s="3" t="s">
        <v>8894</v>
      </c>
      <c r="C2137" s="3" t="s">
        <v>8895</v>
      </c>
      <c r="D2137" s="3" t="s">
        <v>8895</v>
      </c>
      <c r="E2137" s="3" t="s">
        <v>8896</v>
      </c>
      <c r="F2137" s="3" t="s">
        <v>8897</v>
      </c>
      <c r="G2137" s="3" t="str">
        <f ca="1">IFERROR(__xludf.DUMMYFUNCTION("googletranslate(D2137,""en"",""ja"")"),"ガンマグルタミルトランスフェラーゼ")</f>
        <v>ガンマグルタミルトランスフェラーゼ</v>
      </c>
      <c r="H2137" s="3" t="str">
        <f ca="1">IFERROR(__xludf.DUMMYFUNCTION("googletranslate(E2137,""en"",""ja"")"),"生物学的標本中のガンマグルタミルトランスフェラーゼの測定。")</f>
        <v>生物学的標本中のガンマグルタミルトランスフェラーゼの測定。</v>
      </c>
      <c r="I2137" s="3" t="str">
        <f ca="1">IFERROR(__xludf.DUMMYFUNCTION("googletranslate(F2137,""en"",""ja"")"),"ガンマグルタミルトランスペプチダーゼの測定")</f>
        <v>ガンマグルタミルトランスペプチダーゼの測定</v>
      </c>
    </row>
    <row r="2138" spans="1:9" ht="45">
      <c r="A2138" s="3" t="s">
        <v>6</v>
      </c>
      <c r="B2138" s="3" t="s">
        <v>8898</v>
      </c>
      <c r="C2138" s="3" t="s">
        <v>8899</v>
      </c>
      <c r="D2138" s="3" t="s">
        <v>8899</v>
      </c>
      <c r="E2138" s="3" t="s">
        <v>8900</v>
      </c>
      <c r="F2138" s="3" t="s">
        <v>8901</v>
      </c>
      <c r="G2138" s="3" t="str">
        <f ca="1">IFERROR(__xludf.DUMMYFUNCTION("googletranslate(D2138,""en"",""ja"")"),"ガンマグルタミルトランスフェラーゼ/クレアチニン")</f>
        <v>ガンマグルタミルトランスフェラーゼ/クレアチニン</v>
      </c>
      <c r="H2138" s="3" t="str">
        <f ca="1">IFERROR(__xludf.DUMMYFUNCTION("googletranslate(E2138,""en"",""ja"")"),"生物学的標本中のクレアチニンに対するガンマグルタミルトランスフェラーゼの相対測定値 (比率またはパーセンテージ)。")</f>
        <v>生物学的標本中のクレアチニンに対するガンマグルタミルトランスフェラーゼの相対測定値 (比率またはパーセンテージ)。</v>
      </c>
      <c r="I2138" s="3" t="str">
        <f ca="1">IFERROR(__xludf.DUMMYFUNCTION("googletranslate(F2138,""en"",""ja"")"),"ガンマグルタミルトランスフェラーゼとクレアチニンの比の測定")</f>
        <v>ガンマグルタミルトランスフェラーゼとクレアチニンの比の測定</v>
      </c>
    </row>
    <row r="2139" spans="1:9" ht="45">
      <c r="A2139" s="3" t="s">
        <v>6</v>
      </c>
      <c r="B2139" s="3" t="s">
        <v>8902</v>
      </c>
      <c r="C2139" s="3" t="s">
        <v>8903</v>
      </c>
      <c r="D2139" s="3" t="s">
        <v>8904</v>
      </c>
      <c r="E2139" s="3" t="s">
        <v>8905</v>
      </c>
      <c r="F2139" s="3" t="s">
        <v>8904</v>
      </c>
      <c r="G2139" s="3" t="str">
        <f ca="1">IFERROR(__xludf.DUMMYFUNCTION("googletranslate(D2139,""en"",""ja"")"),"ガンマグルタミルトランスフェラーゼの排泄率")</f>
        <v>ガンマグルタミルトランスフェラーゼの排泄率</v>
      </c>
      <c r="H2139" s="3" t="str">
        <f ca="1">IFERROR(__xludf.DUMMYFUNCTION("googletranslate(E2139,""en"",""ja"")"),"規定の時間 (例: 1 時間) にわたって生物学的検体中に排泄されるガンマ グルタミル トランスフェラーゼの量の測定。")</f>
        <v>規定の時間 (例: 1 時間) にわたって生物学的検体中に排泄されるガンマ グルタミル トランスフェラーゼの量の測定。</v>
      </c>
      <c r="I2139" s="3" t="str">
        <f ca="1">IFERROR(__xludf.DUMMYFUNCTION("googletranslate(F2139,""en"",""ja"")"),"ガンマグルタミルトランスフェラーゼの排泄率")</f>
        <v>ガンマグルタミルトランスフェラーゼの排泄率</v>
      </c>
    </row>
    <row r="2140" spans="1:9" ht="45">
      <c r="A2140" s="3" t="s">
        <v>6</v>
      </c>
      <c r="B2140" s="3" t="s">
        <v>8906</v>
      </c>
      <c r="C2140" s="3" t="s">
        <v>8907</v>
      </c>
      <c r="D2140" s="3" t="s">
        <v>8908</v>
      </c>
      <c r="E2140" s="3" t="s">
        <v>8909</v>
      </c>
      <c r="F2140" s="3" t="s">
        <v>8910</v>
      </c>
      <c r="G2140" s="3" t="str">
        <f ca="1">IFERROR(__xludf.DUMMYFUNCTION("googletranslate(D2140,""en"",""ja"")"),"4-ヒドロキシブタン酸;ガンマ-ヒドロキシ酪酸;ガンマ-ヒドロキシ酪酸")</f>
        <v>4-ヒドロキシブタン酸;ガンマ-ヒドロキシ酪酸;ガンマ-ヒドロキシ酪酸</v>
      </c>
      <c r="H2140" s="3" t="str">
        <f ca="1">IFERROR(__xludf.DUMMYFUNCTION("googletranslate(E2140,""en"",""ja"")"),"生物学的標本中のガンマ-ヒドロキシ酪酸の測定。")</f>
        <v>生物学的標本中のガンマ-ヒドロキシ酪酸の測定。</v>
      </c>
      <c r="I2140" s="3" t="str">
        <f ca="1">IFERROR(__xludf.DUMMYFUNCTION("googletranslate(F2140,""en"",""ja"")"),"ガンマヒドロキシ酪酸の測定")</f>
        <v>ガンマヒドロキシ酪酸の測定</v>
      </c>
    </row>
    <row r="2141" spans="1:9" ht="45">
      <c r="A2141" s="3" t="s">
        <v>6</v>
      </c>
      <c r="B2141" s="3" t="s">
        <v>8911</v>
      </c>
      <c r="C2141" s="3" t="s">
        <v>8912</v>
      </c>
      <c r="D2141" s="3" t="s">
        <v>8913</v>
      </c>
      <c r="E2141" s="3" t="s">
        <v>8914</v>
      </c>
      <c r="F2141" s="3" t="s">
        <v>8915</v>
      </c>
      <c r="G2141" s="3" t="str">
        <f ca="1">IFERROR(__xludf.DUMMYFUNCTION("googletranslate(D2141,""en"",""ja"")"),"GH結合タンパク質;成長ホルモン結合タンパク質;成長ホルモン受容体")</f>
        <v>GH結合タンパク質;成長ホルモン結合タンパク質;成長ホルモン受容体</v>
      </c>
      <c r="H2141" s="3" t="str">
        <f ca="1">IFERROR(__xludf.DUMMYFUNCTION("googletranslate(E2141,""en"",""ja"")"),"生物学的標本中の成長ホルモン結合タンパク質の測定。")</f>
        <v>生物学的標本中の成長ホルモン結合タンパク質の測定。</v>
      </c>
      <c r="I2141" s="3" t="str">
        <f ca="1">IFERROR(__xludf.DUMMYFUNCTION("googletranslate(F2141,""en"",""ja"")"),"成長ホルモン結合タンパク質の測定")</f>
        <v>成長ホルモン結合タンパク質の測定</v>
      </c>
    </row>
    <row r="2142" spans="1:9" ht="60">
      <c r="A2142" s="3" t="s">
        <v>6</v>
      </c>
      <c r="B2142" s="3" t="s">
        <v>8916</v>
      </c>
      <c r="C2142" s="3" t="s">
        <v>8917</v>
      </c>
      <c r="D2142" s="3" t="s">
        <v>8918</v>
      </c>
      <c r="E2142" s="3" t="s">
        <v>8919</v>
      </c>
      <c r="F2142" s="3" t="s">
        <v>8920</v>
      </c>
      <c r="G2142" s="3" t="str">
        <f ca="1">IFERROR(__xludf.DUMMYFUNCTION("googletranslate(D2142,""en"",""ja"")"),"グレリン;成長ホルモン分泌促進物質受容体リガンド;モチリン関連ペプチド;総グレリン")</f>
        <v>グレリン;成長ホルモン分泌促進物質受容体リガンド;モチリン関連ペプチド;総グレリン</v>
      </c>
      <c r="H2142" s="3" t="str">
        <f ca="1">IFERROR(__xludf.DUMMYFUNCTION("googletranslate(E2142,""en"",""ja"")"),"生物学的標本中の総グレリンの測定。")</f>
        <v>生物学的標本中の総グレリンの測定。</v>
      </c>
      <c r="I2142" s="3" t="str">
        <f ca="1">IFERROR(__xludf.DUMMYFUNCTION("googletranslate(F2142,""en"",""ja"")"),"グレリン測定")</f>
        <v>グレリン測定</v>
      </c>
    </row>
    <row r="2143" spans="1:9">
      <c r="A2143" s="3" t="s">
        <v>6</v>
      </c>
      <c r="B2143" s="3" t="s">
        <v>8921</v>
      </c>
      <c r="C2143" s="3" t="s">
        <v>8922</v>
      </c>
      <c r="D2143" s="3" t="s">
        <v>8922</v>
      </c>
      <c r="E2143" s="3" t="s">
        <v>8923</v>
      </c>
      <c r="F2143" s="3" t="s">
        <v>8924</v>
      </c>
      <c r="G2143" s="3" t="str">
        <f ca="1">IFERROR(__xludf.DUMMYFUNCTION("googletranslate(D2143,""en"",""ja"")"),"活性型グレリン")</f>
        <v>活性型グレリン</v>
      </c>
      <c r="H2143" s="3" t="str">
        <f ca="1">IFERROR(__xludf.DUMMYFUNCTION("googletranslate(E2143,""en"",""ja"")"),"生物学的標本中の活性グレリンの測定。")</f>
        <v>生物学的標本中の活性グレリンの測定。</v>
      </c>
      <c r="I2143" s="3" t="str">
        <f ca="1">IFERROR(__xludf.DUMMYFUNCTION("googletranslate(F2143,""en"",""ja"")"),"活性グレリンの測定")</f>
        <v>活性グレリンの測定</v>
      </c>
    </row>
    <row r="2144" spans="1:9" ht="30">
      <c r="A2144" s="3" t="s">
        <v>67</v>
      </c>
      <c r="B2144" s="3" t="s">
        <v>8925</v>
      </c>
      <c r="C2144" s="3" t="s">
        <v>8926</v>
      </c>
      <c r="D2144" s="3" t="s">
        <v>8926</v>
      </c>
      <c r="E2144" s="3" t="s">
        <v>8927</v>
      </c>
      <c r="F2144" s="3" t="s">
        <v>8928</v>
      </c>
      <c r="G2144" s="3" t="str">
        <f ca="1">IFERROR(__xludf.DUMMYFUNCTION("googletranslate(D2144,""en"",""ja"")"),"ジアルジアの DNA")</f>
        <v>ジアルジアの DNA</v>
      </c>
      <c r="H2144" s="3" t="str">
        <f ca="1">IFERROR(__xludf.DUMMYFUNCTION("googletranslate(E2144,""en"",""ja"")"),"生物学的標本中のジアルジア属のメンバーからの DNA の測定。")</f>
        <v>生物学的標本中のジアルジア属のメンバーからの DNA の測定。</v>
      </c>
      <c r="I2144" s="3" t="str">
        <f ca="1">IFERROR(__xludf.DUMMYFUNCTION("googletranslate(F2144,""en"",""ja"")"),"ジアルジア DNA 測定")</f>
        <v>ジアルジア DNA 測定</v>
      </c>
    </row>
    <row r="2145" spans="1:9" ht="90">
      <c r="A2145" s="3" t="s">
        <v>6</v>
      </c>
      <c r="B2145" s="3" t="s">
        <v>8929</v>
      </c>
      <c r="C2145" s="3" t="s">
        <v>8930</v>
      </c>
      <c r="D2145" s="3" t="s">
        <v>8931</v>
      </c>
      <c r="E2145" s="3" t="s">
        <v>8932</v>
      </c>
      <c r="F2145" s="3" t="s">
        <v>8933</v>
      </c>
      <c r="G2145" s="3" t="str">
        <f ca="1">IFERROR(__xludf.DUMMYFUNCTION("googletranslate(D2145,""en"",""ja"")"),"グルコース依存性インスリン分泌促進性ペップ、無傷。インタクトな胃抑制ポリペプチド。無傷の GIP。インタクトなグルコース依存性インスリン分泌性ペプチド")</f>
        <v>グルコース依存性インスリン分泌促進性ペップ、無傷。インタクトな胃抑制ポリペプチド。無傷の GIP。インタクトなグルコース依存性インスリン分泌性ペプチド</v>
      </c>
      <c r="H2145" s="3" t="str">
        <f ca="1">IFERROR(__xludf.DUMMYFUNCTION("googletranslate(E2145,""en"",""ja"")"),"生物学的標本中の無傷の（アミノ酸 1 ～ 42 を含む）グルコース依存性インスリン分泌性ペプチドの測定。")</f>
        <v>生物学的標本中の無傷の（アミノ酸 1 ～ 42 を含む）グルコース依存性インスリン分泌性ペプチドの測定。</v>
      </c>
      <c r="I2145" s="3" t="str">
        <f ca="1">IFERROR(__xludf.DUMMYFUNCTION("googletranslate(F2145,""en"",""ja"")"),"インタクトなグルコース依存性インスリン分泌性ペプチドの測定")</f>
        <v>インタクトなグルコース依存性インスリン分泌性ペプチドの測定</v>
      </c>
    </row>
    <row r="2146" spans="1:9" ht="30">
      <c r="A2146" s="3" t="s">
        <v>6</v>
      </c>
      <c r="B2146" s="3" t="s">
        <v>8934</v>
      </c>
      <c r="C2146" s="3" t="s">
        <v>8935</v>
      </c>
      <c r="D2146" s="3" t="s">
        <v>8936</v>
      </c>
      <c r="E2146" s="3" t="s">
        <v>8937</v>
      </c>
      <c r="F2146" s="3" t="s">
        <v>8938</v>
      </c>
      <c r="G2146" s="3" t="str">
        <f ca="1">IFERROR(__xludf.DUMMYFUNCTION("googletranslate(D2146,""en"",""ja"")"),"GL1;グルコセレブロシド;グルコシルセラミド")</f>
        <v>GL1;グルコセレブロシド;グルコシルセラミド</v>
      </c>
      <c r="H2146" s="3" t="str">
        <f ca="1">IFERROR(__xludf.DUMMYFUNCTION("googletranslate(E2146,""en"",""ja"")"),"生体試料中のグルコシルセラミドの測定。")</f>
        <v>生体試料中のグルコシルセラミドの測定。</v>
      </c>
      <c r="I2146" s="3" t="str">
        <f ca="1">IFERROR(__xludf.DUMMYFUNCTION("googletranslate(F2146,""en"",""ja"")"),"グルコシルセラミドの測定")</f>
        <v>グルコシルセラミドの測定</v>
      </c>
    </row>
    <row r="2147" spans="1:9" ht="30">
      <c r="A2147" s="3" t="s">
        <v>67</v>
      </c>
      <c r="B2147" s="3" t="s">
        <v>8939</v>
      </c>
      <c r="C2147" s="3" t="s">
        <v>8940</v>
      </c>
      <c r="D2147" s="3" t="s">
        <v>8940</v>
      </c>
      <c r="E2147" s="3" t="s">
        <v>8941</v>
      </c>
      <c r="F2147" s="3" t="s">
        <v>8942</v>
      </c>
      <c r="G2147" s="3" t="str">
        <f ca="1">IFERROR(__xludf.DUMMYFUNCTION("googletranslate(D2147,""en"",""ja"")"),"ランブル鞭毛虫抗原")</f>
        <v>ランブル鞭毛虫抗原</v>
      </c>
      <c r="H2147" s="3" t="str">
        <f ca="1">IFERROR(__xludf.DUMMYFUNCTION("googletranslate(E2147,""en"",""ja"")"),"生物学的標本中のランブル鞭毛虫抗原の測定。")</f>
        <v>生物学的標本中のランブル鞭毛虫抗原の測定。</v>
      </c>
      <c r="I2147" s="3" t="str">
        <f ca="1">IFERROR(__xludf.DUMMYFUNCTION("googletranslate(F2147,""en"",""ja"")"),"ランブル鞭毛虫抗原測定")</f>
        <v>ランブル鞭毛虫抗原測定</v>
      </c>
    </row>
    <row r="2148" spans="1:9" ht="45">
      <c r="A2148" s="3" t="s">
        <v>67</v>
      </c>
      <c r="B2148" s="3" t="s">
        <v>8943</v>
      </c>
      <c r="C2148" s="3" t="s">
        <v>8944</v>
      </c>
      <c r="D2148" s="3" t="s">
        <v>8944</v>
      </c>
      <c r="E2148" s="3" t="s">
        <v>8945</v>
      </c>
      <c r="F2148" s="3" t="s">
        <v>8946</v>
      </c>
      <c r="G2148" s="3" t="str">
        <f ca="1">IFERROR(__xludf.DUMMYFUNCTION("googletranslate(D2148,""en"",""ja"")"),"ランブル鞭毛虫/クリプトスポリジウム抗原")</f>
        <v>ランブル鞭毛虫/クリプトスポリジウム抗原</v>
      </c>
      <c r="H2148" s="3" t="str">
        <f ca="1">IFERROR(__xludf.DUMMYFUNCTION("googletranslate(E2148,""en"",""ja"")"),"生物学的標本中のランブル鞭毛虫および/またはクリプトスポリジウム属のメンバーに由来する抗原の測定。")</f>
        <v>生物学的標本中のランブル鞭毛虫および/またはクリプトスポリジウム属のメンバーに由来する抗原の測定。</v>
      </c>
      <c r="I2148" s="3" t="str">
        <f ca="1">IFERROR(__xludf.DUMMYFUNCTION("googletranslate(F2148,""en"",""ja"")"),"ランブル鞭毛虫/クリプトスポリジウム抗原測定")</f>
        <v>ランブル鞭毛虫/クリプトスポリジウム抗原測定</v>
      </c>
    </row>
    <row r="2149" spans="1:9" ht="45">
      <c r="A2149" s="3" t="s">
        <v>67</v>
      </c>
      <c r="B2149" s="3" t="s">
        <v>8947</v>
      </c>
      <c r="C2149" s="3" t="s">
        <v>8948</v>
      </c>
      <c r="D2149" s="3" t="s">
        <v>8949</v>
      </c>
      <c r="E2149" s="3" t="s">
        <v>8950</v>
      </c>
      <c r="F2149" s="3" t="s">
        <v>8951</v>
      </c>
      <c r="G2149" s="3" t="str">
        <f ca="1">IFERROR(__xludf.DUMMYFUNCTION("googletranslate(D2149,""en"",""ja"")"),"十二指腸ジアルジアの DNA;腸内鞭毛虫の DNA。ランブル鞭毛虫のDNA")</f>
        <v>十二指腸ジアルジアの DNA;腸内鞭毛虫の DNA。ランブル鞭毛虫のDNA</v>
      </c>
      <c r="H2149" s="3" t="str">
        <f ca="1">IFERROR(__xludf.DUMMYFUNCTION("googletranslate(E2149,""en"",""ja"")"),"生物学的標本中のランブル鞭毛虫 DNA の測定。")</f>
        <v>生物学的標本中のランブル鞭毛虫 DNA の測定。</v>
      </c>
      <c r="I2149" s="3" t="str">
        <f ca="1">IFERROR(__xludf.DUMMYFUNCTION("googletranslate(F2149,""en"",""ja"")"),"ランブル鞭毛虫のDNA測定")</f>
        <v>ランブル鞭毛虫のDNA測定</v>
      </c>
    </row>
    <row r="2150" spans="1:9" ht="30">
      <c r="A2150" s="3" t="s">
        <v>6</v>
      </c>
      <c r="B2150" s="3" t="s">
        <v>8952</v>
      </c>
      <c r="C2150" s="3" t="s">
        <v>8953</v>
      </c>
      <c r="D2150" s="3" t="s">
        <v>8953</v>
      </c>
      <c r="E2150" s="3" t="s">
        <v>8954</v>
      </c>
      <c r="F2150" s="3" t="s">
        <v>8955</v>
      </c>
      <c r="G2150" s="3" t="str">
        <f ca="1">IFERROR(__xludf.DUMMYFUNCTION("googletranslate(D2150,""en"",""ja"")"),"グロブリン/クレアチニン")</f>
        <v>グロブリン/クレアチニン</v>
      </c>
      <c r="H2150" s="3" t="str">
        <f ca="1">IFERROR(__xludf.DUMMYFUNCTION("googletranslate(E2150,""en"",""ja"")"),"生物学的標本中のクレアチニンに対するグロブリンの相対測定値 (比率またはパーセンテージ)。")</f>
        <v>生物学的標本中のクレアチニンに対するグロブリンの相対測定値 (比率またはパーセンテージ)。</v>
      </c>
      <c r="I2150" s="3" t="str">
        <f ca="1">IFERROR(__xludf.DUMMYFUNCTION("googletranslate(F2150,""en"",""ja"")"),"グロブリンとクレアチニンの比率の測定")</f>
        <v>グロブリンとクレアチニンの比率の測定</v>
      </c>
    </row>
    <row r="2151" spans="1:9" ht="30">
      <c r="A2151" s="3" t="s">
        <v>6</v>
      </c>
      <c r="B2151" s="3" t="s">
        <v>8956</v>
      </c>
      <c r="C2151" s="3" t="s">
        <v>8957</v>
      </c>
      <c r="D2151" s="3" t="s">
        <v>8958</v>
      </c>
      <c r="E2151" s="3" t="s">
        <v>8959</v>
      </c>
      <c r="F2151" s="3" t="s">
        <v>8960</v>
      </c>
      <c r="G2151" s="3" t="str">
        <f ca="1">IFERROR(__xludf.DUMMYFUNCTION("googletranslate(D2151,""en"",""ja"")"),"グリコリトコール酸;グリコリトコール酸")</f>
        <v>グリコリトコール酸;グリコリトコール酸</v>
      </c>
      <c r="H2151" s="3" t="str">
        <f ca="1">IFERROR(__xludf.DUMMYFUNCTION("googletranslate(E2151,""en"",""ja"")"),"生物学的標本中のグリコリトコール酸の測定。")</f>
        <v>生物学的標本中のグリコリトコール酸の測定。</v>
      </c>
      <c r="I2151" s="3" t="str">
        <f ca="1">IFERROR(__xludf.DUMMYFUNCTION("googletranslate(F2151,""en"",""ja"")"),"グリコリトコール酸の測定")</f>
        <v>グリコリトコール酸の測定</v>
      </c>
    </row>
    <row r="2152" spans="1:9" ht="30">
      <c r="A2152" s="3" t="s">
        <v>6</v>
      </c>
      <c r="B2152" s="3" t="s">
        <v>8961</v>
      </c>
      <c r="C2152" s="3" t="s">
        <v>8962</v>
      </c>
      <c r="D2152" s="3" t="s">
        <v>8963</v>
      </c>
      <c r="E2152" s="3" t="s">
        <v>8964</v>
      </c>
      <c r="F2152" s="3" t="s">
        <v>8965</v>
      </c>
      <c r="G2152" s="3" t="str">
        <f ca="1">IFERROR(__xludf.DUMMYFUNCTION("googletranslate(D2152,""en"",""ja"")"),"ガラクトース特異的レクチン 3;ガレクチン-3;ガリグ; MAC-2")</f>
        <v>ガラクトース特異的レクチン 3;ガレクチン-3;ガリグ; MAC-2</v>
      </c>
      <c r="H2152" s="3" t="str">
        <f ca="1">IFERROR(__xludf.DUMMYFUNCTION("googletranslate(E2152,""en"",""ja"")"),"生物学的標本中のガレクチン-3 の測定。")</f>
        <v>生物学的標本中のガレクチン-3 の測定。</v>
      </c>
      <c r="I2152" s="3" t="str">
        <f ca="1">IFERROR(__xludf.DUMMYFUNCTION("googletranslate(F2152,""en"",""ja"")"),"ガレクチン-3の測定")</f>
        <v>ガレクチン-3の測定</v>
      </c>
    </row>
    <row r="2153" spans="1:9" ht="45">
      <c r="A2153" s="3" t="s">
        <v>6</v>
      </c>
      <c r="B2153" s="3" t="s">
        <v>8966</v>
      </c>
      <c r="C2153" s="3" t="s">
        <v>8967</v>
      </c>
      <c r="D2153" s="3" t="s">
        <v>8968</v>
      </c>
      <c r="E2153" s="3" t="s">
        <v>8969</v>
      </c>
      <c r="F2153" s="3" t="s">
        <v>8970</v>
      </c>
      <c r="G2153" s="3" t="str">
        <f ca="1">IFERROR(__xludf.DUMMYFUNCTION("googletranslate(D2153,""en"",""ja"")"),"ガレクチン-3 結合タンパク質; LGALS3BP; M2BP; Mac-2結合タンパク質")</f>
        <v>ガレクチン-3 結合タンパク質; LGALS3BP; M2BP; Mac-2結合タンパク質</v>
      </c>
      <c r="H2153" s="3" t="str">
        <f ca="1">IFERROR(__xludf.DUMMYFUNCTION("googletranslate(E2153,""en"",""ja"")"),"生物学的標本中のガレクチン-3 結合タンパク質の測定。")</f>
        <v>生物学的標本中のガレクチン-3 結合タンパク質の測定。</v>
      </c>
      <c r="I2153" s="3" t="str">
        <f ca="1">IFERROR(__xludf.DUMMYFUNCTION("googletranslate(F2153,""en"",""ja"")"),"ガレクチン-3結合タンパク質の測定")</f>
        <v>ガレクチン-3結合タンパク質の測定</v>
      </c>
    </row>
    <row r="2154" spans="1:9" ht="30">
      <c r="A2154" s="3" t="s">
        <v>6</v>
      </c>
      <c r="B2154" s="3" t="s">
        <v>8971</v>
      </c>
      <c r="C2154" s="3" t="s">
        <v>8972</v>
      </c>
      <c r="D2154" s="3" t="s">
        <v>8972</v>
      </c>
      <c r="E2154" s="3" t="s">
        <v>8973</v>
      </c>
      <c r="F2154" s="3" t="s">
        <v>8974</v>
      </c>
      <c r="G2154" s="3" t="str">
        <f ca="1">IFERROR(__xludf.DUMMYFUNCTION("googletranslate(D2154,""en"",""ja"")"),"グルタミン酸デヒドロゲナーゼ")</f>
        <v>グルタミン酸デヒドロゲナーゼ</v>
      </c>
      <c r="H2154" s="3" t="str">
        <f ca="1">IFERROR(__xludf.DUMMYFUNCTION("googletranslate(E2154,""en"",""ja"")"),"生物学的標本中のグルタミン酸デヒドロゲナーゼの測定。")</f>
        <v>生物学的標本中のグルタミン酸デヒドロゲナーゼの測定。</v>
      </c>
      <c r="I2154" s="3" t="str">
        <f ca="1">IFERROR(__xludf.DUMMYFUNCTION("googletranslate(F2154,""en"",""ja"")"),"グルタミン酸デヒドロゲナーゼの測定")</f>
        <v>グルタミン酸デヒドロゲナーゼの測定</v>
      </c>
    </row>
    <row r="2155" spans="1:9" ht="30">
      <c r="A2155" s="3" t="s">
        <v>159</v>
      </c>
      <c r="B2155" s="3" t="s">
        <v>8975</v>
      </c>
      <c r="C2155" s="3" t="s">
        <v>8976</v>
      </c>
      <c r="D2155" s="3" t="s">
        <v>8976</v>
      </c>
      <c r="E2155" s="3" t="s">
        <v>8977</v>
      </c>
      <c r="F2155" s="3" t="s">
        <v>8978</v>
      </c>
      <c r="G2155" s="3" t="str">
        <f ca="1">IFERROR(__xludf.DUMMYFUNCTION("googletranslate(D2155,""en"",""ja"")"),"グルタミン酸C4強化")</f>
        <v>グルタミン酸C4強化</v>
      </c>
      <c r="H2155" s="3" t="str">
        <f ca="1">IFERROR(__xludf.DUMMYFUNCTION("googletranslate(E2155,""en"",""ja"")"),"生物学的標本中の C4 が豊富なグルタミン酸の測定。")</f>
        <v>生物学的標本中の C4 が豊富なグルタミン酸の測定。</v>
      </c>
      <c r="I2155" s="3" t="str">
        <f ca="1">IFERROR(__xludf.DUMMYFUNCTION("googletranslate(F2155,""en"",""ja"")"),"C4 強化グルタミン酸の測定")</f>
        <v>C4 強化グルタミン酸の測定</v>
      </c>
    </row>
    <row r="2156" spans="1:9" ht="45">
      <c r="A2156" s="3" t="s">
        <v>159</v>
      </c>
      <c r="B2156" s="3" t="s">
        <v>8979</v>
      </c>
      <c r="C2156" s="3" t="s">
        <v>8980</v>
      </c>
      <c r="D2156" s="3" t="s">
        <v>8980</v>
      </c>
      <c r="E2156" s="3" t="s">
        <v>8981</v>
      </c>
      <c r="F2156" s="3" t="s">
        <v>8982</v>
      </c>
      <c r="G2156" s="3" t="str">
        <f ca="1">IFERROR(__xludf.DUMMYFUNCTION("googletranslate(D2156,""en"",""ja"")"),"グルタミン酸C4強化/グルタミン酸")</f>
        <v>グルタミン酸C4強化/グルタミン酸</v>
      </c>
      <c r="H2156" s="3" t="str">
        <f ca="1">IFERROR(__xludf.DUMMYFUNCTION("googletranslate(E2156,""en"",""ja"")"),"生物学的標本中の総グルタミン酸に対する C4 富化グルタミン酸の相対測定値 (比率またはパーセンテージ)。")</f>
        <v>生物学的標本中の総グルタミン酸に対する C4 富化グルタミン酸の相対測定値 (比率またはパーセンテージ)。</v>
      </c>
      <c r="I2156" s="3" t="str">
        <f ca="1">IFERROR(__xludf.DUMMYFUNCTION("googletranslate(F2156,""en"",""ja"")"),"C4 強化グルタミン酸と総グルタミン酸の比率の測定")</f>
        <v>C4 強化グルタミン酸と総グルタミン酸の比率の測定</v>
      </c>
    </row>
    <row r="2157" spans="1:9">
      <c r="A2157" s="3" t="s">
        <v>6</v>
      </c>
      <c r="B2157" s="3" t="s">
        <v>8983</v>
      </c>
      <c r="C2157" s="3" t="s">
        <v>8984</v>
      </c>
      <c r="D2157" s="3" t="s">
        <v>8984</v>
      </c>
      <c r="E2157" s="3" t="s">
        <v>8985</v>
      </c>
      <c r="F2157" s="3" t="s">
        <v>8986</v>
      </c>
      <c r="G2157" s="3" t="str">
        <f ca="1">IFERROR(__xludf.DUMMYFUNCTION("googletranslate(D2157,""en"",""ja"")"),"グルタミン")</f>
        <v>グルタミン</v>
      </c>
      <c r="H2157" s="3" t="str">
        <f ca="1">IFERROR(__xludf.DUMMYFUNCTION("googletranslate(E2157,""en"",""ja"")"),"生物学的標本中のグルタミンの測定。")</f>
        <v>生物学的標本中のグルタミンの測定。</v>
      </c>
      <c r="I2157" s="3" t="str">
        <f ca="1">IFERROR(__xludf.DUMMYFUNCTION("googletranslate(F2157,""en"",""ja"")"),"グルタミン測定")</f>
        <v>グルタミン測定</v>
      </c>
    </row>
    <row r="2158" spans="1:9">
      <c r="A2158" s="3" t="s">
        <v>159</v>
      </c>
      <c r="B2158" s="3" t="s">
        <v>8983</v>
      </c>
      <c r="C2158" s="3" t="s">
        <v>8984</v>
      </c>
      <c r="D2158" s="3" t="s">
        <v>8984</v>
      </c>
      <c r="E2158" s="3" t="s">
        <v>8985</v>
      </c>
      <c r="F2158" s="3" t="s">
        <v>8986</v>
      </c>
      <c r="G2158" s="3" t="str">
        <f ca="1">IFERROR(__xludf.DUMMYFUNCTION("googletranslate(D2158,""en"",""ja"")"),"グルタミン")</f>
        <v>グルタミン</v>
      </c>
      <c r="H2158" s="3" t="str">
        <f ca="1">IFERROR(__xludf.DUMMYFUNCTION("googletranslate(E2158,""en"",""ja"")"),"生物学的標本中のグルタミンの測定。")</f>
        <v>生物学的標本中のグルタミンの測定。</v>
      </c>
      <c r="I2158" s="3" t="str">
        <f ca="1">IFERROR(__xludf.DUMMYFUNCTION("googletranslate(F2158,""en"",""ja"")"),"グルタミン測定")</f>
        <v>グルタミン測定</v>
      </c>
    </row>
    <row r="2159" spans="1:9" ht="30">
      <c r="A2159" s="3" t="s">
        <v>159</v>
      </c>
      <c r="B2159" s="3" t="s">
        <v>8987</v>
      </c>
      <c r="C2159" s="3" t="s">
        <v>8988</v>
      </c>
      <c r="D2159" s="3" t="s">
        <v>8988</v>
      </c>
      <c r="E2159" s="3" t="s">
        <v>8989</v>
      </c>
      <c r="F2159" s="3" t="s">
        <v>8990</v>
      </c>
      <c r="G2159" s="3" t="str">
        <f ca="1">IFERROR(__xludf.DUMMYFUNCTION("googletranslate(D2159,""en"",""ja"")"),"グルタミンC4強化")</f>
        <v>グルタミンC4強化</v>
      </c>
      <c r="H2159" s="3" t="str">
        <f ca="1">IFERROR(__xludf.DUMMYFUNCTION("googletranslate(E2159,""en"",""ja"")"),"生物学的標本中の C4 が豊富なグルタミンの測定。")</f>
        <v>生物学的標本中の C4 が豊富なグルタミンの測定。</v>
      </c>
      <c r="I2159" s="3" t="str">
        <f ca="1">IFERROR(__xludf.DUMMYFUNCTION("googletranslate(F2159,""en"",""ja"")"),"C4濃縮グルタミンの測定")</f>
        <v>C4濃縮グルタミンの測定</v>
      </c>
    </row>
    <row r="2160" spans="1:9" ht="45">
      <c r="A2160" s="3" t="s">
        <v>159</v>
      </c>
      <c r="B2160" s="3" t="s">
        <v>8991</v>
      </c>
      <c r="C2160" s="3" t="s">
        <v>8992</v>
      </c>
      <c r="D2160" s="3" t="s">
        <v>8992</v>
      </c>
      <c r="E2160" s="3" t="s">
        <v>8993</v>
      </c>
      <c r="F2160" s="3" t="s">
        <v>8994</v>
      </c>
      <c r="G2160" s="3" t="str">
        <f ca="1">IFERROR(__xludf.DUMMYFUNCTION("googletranslate(D2160,""en"",""ja"")"),"グルタミンC4強化/グルタミン")</f>
        <v>グルタミンC4強化/グルタミン</v>
      </c>
      <c r="H2160" s="3" t="str">
        <f ca="1">IFERROR(__xludf.DUMMYFUNCTION("googletranslate(E2160,""en"",""ja"")"),"生物学的標本中の総グルタミンに対する C4 富化グルタミンの相対測定値 (比率またはパーセンテージ)。")</f>
        <v>生物学的標本中の総グルタミンに対する C4 富化グルタミンの相対測定値 (比率またはパーセンテージ)。</v>
      </c>
      <c r="I2160" s="3" t="str">
        <f ca="1">IFERROR(__xludf.DUMMYFUNCTION("googletranslate(F2160,""en"",""ja"")"),"C4 強化グルタミンと総グルタミンの比率の測定")</f>
        <v>C4 強化グルタミンと総グルタミンの比率の測定</v>
      </c>
    </row>
    <row r="2161" spans="1:9" ht="30">
      <c r="A2161" s="3" t="s">
        <v>159</v>
      </c>
      <c r="B2161" s="3" t="s">
        <v>8995</v>
      </c>
      <c r="C2161" s="3" t="s">
        <v>8996</v>
      </c>
      <c r="D2161" s="3" t="s">
        <v>8996</v>
      </c>
      <c r="E2161" s="3" t="s">
        <v>8997</v>
      </c>
      <c r="F2161" s="3" t="s">
        <v>8998</v>
      </c>
      <c r="G2161" s="3" t="str">
        <f ca="1">IFERROR(__xludf.DUMMYFUNCTION("googletranslate(D2161,""en"",""ja"")"),"グルタミン/クレアチン")</f>
        <v>グルタミン/クレアチン</v>
      </c>
      <c r="H2161" s="3" t="str">
        <f ca="1">IFERROR(__xludf.DUMMYFUNCTION("googletranslate(E2161,""en"",""ja"")"),"生物学的標本中のクレアチンに対するグルタミンの相対的な測定値 (比率またはパーセンテージ)。")</f>
        <v>生物学的標本中のクレアチンに対するグルタミンの相対的な測定値 (比率またはパーセンテージ)。</v>
      </c>
      <c r="I2161" s="3" t="str">
        <f ca="1">IFERROR(__xludf.DUMMYFUNCTION("googletranslate(F2161,""en"",""ja"")"),"グルタミンとクレアチンの比率の測定")</f>
        <v>グルタミンとクレアチンの比率の測定</v>
      </c>
    </row>
    <row r="2162" spans="1:9" ht="45">
      <c r="A2162" s="3" t="s">
        <v>159</v>
      </c>
      <c r="B2162" s="3" t="s">
        <v>8999</v>
      </c>
      <c r="C2162" s="3" t="s">
        <v>9000</v>
      </c>
      <c r="D2162" s="3" t="s">
        <v>9000</v>
      </c>
      <c r="E2162" s="3" t="s">
        <v>9001</v>
      </c>
      <c r="F2162" s="3" t="s">
        <v>9000</v>
      </c>
      <c r="G2162" s="3" t="str">
        <f ca="1">IFERROR(__xludf.DUMMYFUNCTION("googletranslate(D2162,""en"",""ja"")"),"ギャランリフレックス")</f>
        <v>ギャランリフレックス</v>
      </c>
      <c r="H2162" s="3" t="str">
        <f ca="1">IFERROR(__xludf.DUMMYFUNCTION("googletranslate(E2162,""en"",""ja"")"),"指を脊椎の片側になぞると、新生児がその側に向かって側方に屈曲する、新生児の不随意の原始反応。")</f>
        <v>指を脊椎の片側になぞると、新生児がその側に向かって側方に屈曲する、新生児の不随意の原始反応。</v>
      </c>
      <c r="I2162" s="3" t="str">
        <f ca="1">IFERROR(__xludf.DUMMYFUNCTION("googletranslate(F2162,""en"",""ja"")"),"ギャランリフレックス")</f>
        <v>ギャランリフレックス</v>
      </c>
    </row>
    <row r="2163" spans="1:9" ht="30">
      <c r="A2163" s="3" t="s">
        <v>6</v>
      </c>
      <c r="B2163" s="3" t="s">
        <v>9002</v>
      </c>
      <c r="C2163" s="3" t="s">
        <v>9003</v>
      </c>
      <c r="D2163" s="3" t="s">
        <v>9003</v>
      </c>
      <c r="E2163" s="3" t="s">
        <v>9004</v>
      </c>
      <c r="F2163" s="3" t="s">
        <v>9005</v>
      </c>
      <c r="G2163" s="3" t="str">
        <f ca="1">IFERROR(__xludf.DUMMYFUNCTION("googletranslate(D2163,""en"",""ja"")"),"アルファグロブリン")</f>
        <v>アルファグロブリン</v>
      </c>
      <c r="H2163" s="3" t="str">
        <f ca="1">IFERROR(__xludf.DUMMYFUNCTION("googletranslate(E2163,""en"",""ja"")"),"生物学的標本中の総アルファグロブリンの測定。")</f>
        <v>生物学的標本中の総アルファグロブリンの測定。</v>
      </c>
      <c r="I2163" s="3" t="str">
        <f ca="1">IFERROR(__xludf.DUMMYFUNCTION("googletranslate(F2163,""en"",""ja"")"),"アルファグロブリン測定")</f>
        <v>アルファグロブリン測定</v>
      </c>
    </row>
    <row r="2164" spans="1:9" ht="30">
      <c r="A2164" s="3" t="s">
        <v>6</v>
      </c>
      <c r="B2164" s="3" t="s">
        <v>9006</v>
      </c>
      <c r="C2164" s="3" t="s">
        <v>9007</v>
      </c>
      <c r="D2164" s="3" t="s">
        <v>9008</v>
      </c>
      <c r="E2164" s="3" t="s">
        <v>9009</v>
      </c>
      <c r="F2164" s="3" t="s">
        <v>9010</v>
      </c>
      <c r="G2164" s="3" t="str">
        <f ca="1">IFERROR(__xludf.DUMMYFUNCTION("googletranslate(D2164,""en"",""ja"")"),"A1-グロブリン;アルファ-1 グロブリン")</f>
        <v>A1-グロブリン;アルファ-1 グロブリン</v>
      </c>
      <c r="H2164" s="3" t="str">
        <f ca="1">IFERROR(__xludf.DUMMYFUNCTION("googletranslate(E2164,""en"",""ja"")"),"生物学的標本のアルファ 1 画分に寄与するタンパク質の測定。")</f>
        <v>生物学的標本のアルファ 1 画分に寄与するタンパク質の測定。</v>
      </c>
      <c r="I2164" s="3" t="str">
        <f ca="1">IFERROR(__xludf.DUMMYFUNCTION("googletranslate(F2164,""en"",""ja"")"),"α-1 グロブリンの測定")</f>
        <v>α-1 グロブリンの測定</v>
      </c>
    </row>
    <row r="2165" spans="1:9" ht="45">
      <c r="A2165" s="3" t="s">
        <v>6</v>
      </c>
      <c r="B2165" s="3" t="s">
        <v>9011</v>
      </c>
      <c r="C2165" s="3" t="s">
        <v>9012</v>
      </c>
      <c r="D2165" s="3" t="s">
        <v>9012</v>
      </c>
      <c r="E2165" s="3" t="s">
        <v>9013</v>
      </c>
      <c r="F2165" s="3" t="s">
        <v>9014</v>
      </c>
      <c r="G2165" s="3" t="str">
        <f ca="1">IFERROR(__xludf.DUMMYFUNCTION("googletranslate(D2165,""en"",""ja"")"),"α-1 グロブリン/総タンパク質")</f>
        <v>α-1 グロブリン/総タンパク質</v>
      </c>
      <c r="H2165" s="3" t="str">
        <f ca="1">IFERROR(__xludf.DUMMYFUNCTION("googletranslate(E2165,""en"",""ja"")"),"生物学的標本中の総タンパク質に対する alpha-1 画分タンパク質の相対測定値 (比率またはパーセンテージ)。")</f>
        <v>生物学的標本中の総タンパク質に対する alpha-1 画分タンパク質の相対測定値 (比率またはパーセンテージ)。</v>
      </c>
      <c r="I2165" s="3" t="str">
        <f ca="1">IFERROR(__xludf.DUMMYFUNCTION("googletranslate(F2165,""en"",""ja"")"),"アルファ-1 グロブリンと総タンパク質の比率の測定")</f>
        <v>アルファ-1 グロブリンと総タンパク質の比率の測定</v>
      </c>
    </row>
    <row r="2166" spans="1:9" ht="30">
      <c r="A2166" s="3" t="s">
        <v>6</v>
      </c>
      <c r="B2166" s="3" t="s">
        <v>9015</v>
      </c>
      <c r="C2166" s="3" t="s">
        <v>9016</v>
      </c>
      <c r="D2166" s="3" t="s">
        <v>9017</v>
      </c>
      <c r="E2166" s="3" t="s">
        <v>9018</v>
      </c>
      <c r="F2166" s="3" t="s">
        <v>9019</v>
      </c>
      <c r="G2166" s="3" t="str">
        <f ca="1">IFERROR(__xludf.DUMMYFUNCTION("googletranslate(D2166,""en"",""ja"")"),"A2-グロブリン;アルファ-2グロブリン")</f>
        <v>A2-グロブリン;アルファ-2グロブリン</v>
      </c>
      <c r="H2166" s="3" t="str">
        <f ca="1">IFERROR(__xludf.DUMMYFUNCTION("googletranslate(E2166,""en"",""ja"")"),"生物学的標本のアルファ 2 画分に寄与するタンパク質の測定。")</f>
        <v>生物学的標本のアルファ 2 画分に寄与するタンパク質の測定。</v>
      </c>
      <c r="I2166" s="3" t="str">
        <f ca="1">IFERROR(__xludf.DUMMYFUNCTION("googletranslate(F2166,""en"",""ja"")"),"α-2グロブリンの測定")</f>
        <v>α-2グロブリンの測定</v>
      </c>
    </row>
    <row r="2167" spans="1:9" ht="45">
      <c r="A2167" s="3" t="s">
        <v>6</v>
      </c>
      <c r="B2167" s="3" t="s">
        <v>9020</v>
      </c>
      <c r="C2167" s="3" t="s">
        <v>9021</v>
      </c>
      <c r="D2167" s="3" t="s">
        <v>9021</v>
      </c>
      <c r="E2167" s="3" t="s">
        <v>9022</v>
      </c>
      <c r="F2167" s="3" t="s">
        <v>9023</v>
      </c>
      <c r="G2167" s="3" t="str">
        <f ca="1">IFERROR(__xludf.DUMMYFUNCTION("googletranslate(D2167,""en"",""ja"")"),"α-2 グロブリン/総タンパク質")</f>
        <v>α-2 グロブリン/総タンパク質</v>
      </c>
      <c r="H2167" s="3" t="str">
        <f ca="1">IFERROR(__xludf.DUMMYFUNCTION("googletranslate(E2167,""en"",""ja"")"),"生物学的標本中の総タンパク質に対するアルファ 2 画分タンパク質の相対測定値 (比率またはパーセンテージ)。")</f>
        <v>生物学的標本中の総タンパク質に対するアルファ 2 画分タンパク質の相対測定値 (比率またはパーセンテージ)。</v>
      </c>
      <c r="I2167" s="3" t="str">
        <f ca="1">IFERROR(__xludf.DUMMYFUNCTION("googletranslate(F2167,""en"",""ja"")"),"アルファ-2 グロブリンと総タンパク質の比率の測定")</f>
        <v>アルファ-2 グロブリンと総タンパク質の比率の測定</v>
      </c>
    </row>
    <row r="2168" spans="1:9" ht="30">
      <c r="A2168" s="3" t="s">
        <v>6</v>
      </c>
      <c r="B2168" s="3" t="s">
        <v>9024</v>
      </c>
      <c r="C2168" s="3" t="s">
        <v>9025</v>
      </c>
      <c r="D2168" s="3" t="s">
        <v>9025</v>
      </c>
      <c r="E2168" s="3" t="s">
        <v>9026</v>
      </c>
      <c r="F2168" s="3" t="s">
        <v>9027</v>
      </c>
      <c r="G2168" s="3" t="str">
        <f ca="1">IFERROR(__xludf.DUMMYFUNCTION("googletranslate(D2168,""en"",""ja"")"),"ベータグロブリン")</f>
        <v>ベータグロブリン</v>
      </c>
      <c r="H2168" s="3" t="str">
        <f ca="1">IFERROR(__xludf.DUMMYFUNCTION("googletranslate(E2168,""en"",""ja"")"),"生物学的標本のベータ画分に寄与するタンパク質の測定。")</f>
        <v>生物学的標本のベータ画分に寄与するタンパク質の測定。</v>
      </c>
      <c r="I2168" s="3" t="str">
        <f ca="1">IFERROR(__xludf.DUMMYFUNCTION("googletranslate(F2168,""en"",""ja"")"),"ベータグロブリンの測定")</f>
        <v>ベータグロブリンの測定</v>
      </c>
    </row>
    <row r="2169" spans="1:9" ht="30">
      <c r="A2169" s="3" t="s">
        <v>6</v>
      </c>
      <c r="B2169" s="3" t="s">
        <v>9028</v>
      </c>
      <c r="C2169" s="3" t="s">
        <v>9029</v>
      </c>
      <c r="D2169" s="3" t="s">
        <v>9029</v>
      </c>
      <c r="E2169" s="3" t="s">
        <v>9030</v>
      </c>
      <c r="F2169" s="3" t="s">
        <v>9031</v>
      </c>
      <c r="G2169" s="3" t="str">
        <f ca="1">IFERROR(__xludf.DUMMYFUNCTION("googletranslate(D2169,""en"",""ja"")"),"ベータ 1 グロブリン")</f>
        <v>ベータ 1 グロブリン</v>
      </c>
      <c r="H2169" s="3" t="str">
        <f ca="1">IFERROR(__xludf.DUMMYFUNCTION("googletranslate(E2169,""en"",""ja"")"),"生物学的標本中のベータ 1 グロブリンの測定。")</f>
        <v>生物学的標本中のベータ 1 グロブリンの測定。</v>
      </c>
      <c r="I2169" s="3" t="str">
        <f ca="1">IFERROR(__xludf.DUMMYFUNCTION("googletranslate(F2169,""en"",""ja"")"),"ベータ 1 グロブリンの測定")</f>
        <v>ベータ 1 グロブリンの測定</v>
      </c>
    </row>
    <row r="2170" spans="1:9" ht="45">
      <c r="A2170" s="3" t="s">
        <v>6</v>
      </c>
      <c r="B2170" s="3" t="s">
        <v>9032</v>
      </c>
      <c r="C2170" s="3" t="s">
        <v>9033</v>
      </c>
      <c r="D2170" s="3" t="s">
        <v>9033</v>
      </c>
      <c r="E2170" s="3" t="s">
        <v>9034</v>
      </c>
      <c r="F2170" s="3" t="s">
        <v>9035</v>
      </c>
      <c r="G2170" s="3" t="str">
        <f ca="1">IFERROR(__xludf.DUMMYFUNCTION("googletranslate(D2170,""en"",""ja"")"),"ベータ-1 グロブリン/ベータタンパク質")</f>
        <v>ベータ-1 グロブリン/ベータタンパク質</v>
      </c>
      <c r="H2170" s="3" t="str">
        <f ca="1">IFERROR(__xludf.DUMMYFUNCTION("googletranslate(E2170,""en"",""ja"")"),"生物学的標本の全ベータタンパク質画分に対するベータ 1 画分タンパク質の相対測定値 (比率またはパーセンテージ)。")</f>
        <v>生物学的標本の全ベータタンパク質画分に対するベータ 1 画分タンパク質の相対測定値 (比率またはパーセンテージ)。</v>
      </c>
      <c r="I2170" s="3" t="str">
        <f ca="1">IFERROR(__xludf.DUMMYFUNCTION("googletranslate(F2170,""en"",""ja"")"),"ベータ-1 グロブリンと総ベータタンパク質の比率の測定")</f>
        <v>ベータ-1 グロブリンと総ベータタンパク質の比率の測定</v>
      </c>
    </row>
    <row r="2171" spans="1:9" ht="45">
      <c r="A2171" s="3" t="s">
        <v>6</v>
      </c>
      <c r="B2171" s="3" t="s">
        <v>9036</v>
      </c>
      <c r="C2171" s="3" t="s">
        <v>9037</v>
      </c>
      <c r="D2171" s="3" t="s">
        <v>9037</v>
      </c>
      <c r="E2171" s="3" t="s">
        <v>9038</v>
      </c>
      <c r="F2171" s="3" t="s">
        <v>9039</v>
      </c>
      <c r="G2171" s="3" t="str">
        <f ca="1">IFERROR(__xludf.DUMMYFUNCTION("googletranslate(D2171,""en"",""ja"")"),"ベータ 1 グロブリン/総タンパク質")</f>
        <v>ベータ 1 グロブリン/総タンパク質</v>
      </c>
      <c r="H2171" s="3" t="str">
        <f ca="1">IFERROR(__xludf.DUMMYFUNCTION("googletranslate(E2171,""en"",""ja"")"),"生物学的標本中の総タンパク質に対するベータ 1 画分タンパク質の相対測定値 (比率またはパーセンテージ)。")</f>
        <v>生物学的標本中の総タンパク質に対するベータ 1 画分タンパク質の相対測定値 (比率またはパーセンテージ)。</v>
      </c>
      <c r="I2171" s="3" t="str">
        <f ca="1">IFERROR(__xludf.DUMMYFUNCTION("googletranslate(F2171,""en"",""ja"")"),"ベータ 1 グロブリンと総タンパク質の比率の測定")</f>
        <v>ベータ 1 グロブリンと総タンパク質の比率の測定</v>
      </c>
    </row>
    <row r="2172" spans="1:9" ht="30">
      <c r="A2172" s="3" t="s">
        <v>6</v>
      </c>
      <c r="B2172" s="3" t="s">
        <v>9040</v>
      </c>
      <c r="C2172" s="3" t="s">
        <v>9041</v>
      </c>
      <c r="D2172" s="3" t="s">
        <v>9041</v>
      </c>
      <c r="E2172" s="3" t="s">
        <v>9042</v>
      </c>
      <c r="F2172" s="3" t="s">
        <v>9043</v>
      </c>
      <c r="G2172" s="3" t="str">
        <f ca="1">IFERROR(__xludf.DUMMYFUNCTION("googletranslate(D2172,""en"",""ja"")"),"ベータ 2 グロブリン")</f>
        <v>ベータ 2 グロブリン</v>
      </c>
      <c r="H2172" s="3" t="str">
        <f ca="1">IFERROR(__xludf.DUMMYFUNCTION("googletranslate(E2172,""en"",""ja"")"),"生物学的標本中のベータ 2 グロブリンの測定。")</f>
        <v>生物学的標本中のベータ 2 グロブリンの測定。</v>
      </c>
      <c r="I2172" s="3" t="str">
        <f ca="1">IFERROR(__xludf.DUMMYFUNCTION("googletranslate(F2172,""en"",""ja"")"),"ベータ 2 グロブリンの測定")</f>
        <v>ベータ 2 グロブリンの測定</v>
      </c>
    </row>
    <row r="2173" spans="1:9" ht="45">
      <c r="A2173" s="3" t="s">
        <v>6</v>
      </c>
      <c r="B2173" s="3" t="s">
        <v>9044</v>
      </c>
      <c r="C2173" s="3" t="s">
        <v>9045</v>
      </c>
      <c r="D2173" s="3" t="s">
        <v>9045</v>
      </c>
      <c r="E2173" s="3" t="s">
        <v>9046</v>
      </c>
      <c r="F2173" s="3" t="s">
        <v>9047</v>
      </c>
      <c r="G2173" s="3" t="str">
        <f ca="1">IFERROR(__xludf.DUMMYFUNCTION("googletranslate(D2173,""en"",""ja"")"),"ベータ 2 グロブリン/総タンパク質")</f>
        <v>ベータ 2 グロブリン/総タンパク質</v>
      </c>
      <c r="H2173" s="3" t="str">
        <f ca="1">IFERROR(__xludf.DUMMYFUNCTION("googletranslate(E2173,""en"",""ja"")"),"生物学的標本中の総タンパク質に対するベータ 2 画分タンパク質の相対測定値 (比率またはパーセンテージ)。")</f>
        <v>生物学的標本中の総タンパク質に対するベータ 2 画分タンパク質の相対測定値 (比率またはパーセンテージ)。</v>
      </c>
      <c r="I2173" s="3" t="str">
        <f ca="1">IFERROR(__xludf.DUMMYFUNCTION("googletranslate(F2173,""en"",""ja"")"),"ベータ 2 グロブリンと総タンパク質の比率の測定")</f>
        <v>ベータ 2 グロブリンと総タンパク質の比率の測定</v>
      </c>
    </row>
    <row r="2174" spans="1:9" ht="45">
      <c r="A2174" s="3" t="s">
        <v>6</v>
      </c>
      <c r="B2174" s="3" t="s">
        <v>9048</v>
      </c>
      <c r="C2174" s="3" t="s">
        <v>9049</v>
      </c>
      <c r="D2174" s="3" t="s">
        <v>9049</v>
      </c>
      <c r="E2174" s="3" t="s">
        <v>9050</v>
      </c>
      <c r="F2174" s="3" t="s">
        <v>9051</v>
      </c>
      <c r="G2174" s="3" t="str">
        <f ca="1">IFERROR(__xludf.DUMMYFUNCTION("googletranslate(D2174,""en"",""ja"")"),"ベータグロブリン/総タンパク質")</f>
        <v>ベータグロブリン/総タンパク質</v>
      </c>
      <c r="H2174" s="3" t="str">
        <f ca="1">IFERROR(__xludf.DUMMYFUNCTION("googletranslate(E2174,""en"",""ja"")"),"生物学的標本中の総タンパク質に対するベータ画分タンパク質の相対測定値 (比率またはパーセンテージ)。")</f>
        <v>生物学的標本中の総タンパク質に対するベータ画分タンパク質の相対測定値 (比率またはパーセンテージ)。</v>
      </c>
      <c r="I2174" s="3" t="str">
        <f ca="1">IFERROR(__xludf.DUMMYFUNCTION("googletranslate(F2174,""en"",""ja"")"),"ベータグロブリン対総タンパク質比の測定")</f>
        <v>ベータグロブリン対総タンパク質比の測定</v>
      </c>
    </row>
    <row r="2175" spans="1:9" ht="30">
      <c r="A2175" s="3" t="s">
        <v>6</v>
      </c>
      <c r="B2175" s="3" t="s">
        <v>9052</v>
      </c>
      <c r="C2175" s="3" t="s">
        <v>9053</v>
      </c>
      <c r="D2175" s="3" t="s">
        <v>9053</v>
      </c>
      <c r="E2175" s="3" t="s">
        <v>9054</v>
      </c>
      <c r="F2175" s="3" t="s">
        <v>9055</v>
      </c>
      <c r="G2175" s="3" t="str">
        <f ca="1">IFERROR(__xludf.DUMMYFUNCTION("googletranslate(D2175,""en"",""ja"")"),"ガンマグロブリン")</f>
        <v>ガンマグロブリン</v>
      </c>
      <c r="H2175" s="3" t="str">
        <f ca="1">IFERROR(__xludf.DUMMYFUNCTION("googletranslate(E2175,""en"",""ja"")"),"生物学的標本のガンマ画分に寄与するタンパク質の測定。")</f>
        <v>生物学的標本のガンマ画分に寄与するタンパク質の測定。</v>
      </c>
      <c r="I2175" s="3" t="str">
        <f ca="1">IFERROR(__xludf.DUMMYFUNCTION("googletranslate(F2175,""en"",""ja"")"),"ガンマグロブリン測定")</f>
        <v>ガンマグロブリン測定</v>
      </c>
    </row>
    <row r="2176" spans="1:9" ht="45">
      <c r="A2176" s="3" t="s">
        <v>6</v>
      </c>
      <c r="B2176" s="3" t="s">
        <v>9056</v>
      </c>
      <c r="C2176" s="3" t="s">
        <v>9057</v>
      </c>
      <c r="D2176" s="3" t="s">
        <v>9057</v>
      </c>
      <c r="E2176" s="3" t="s">
        <v>9058</v>
      </c>
      <c r="F2176" s="3" t="s">
        <v>9059</v>
      </c>
      <c r="G2176" s="3" t="str">
        <f ca="1">IFERROR(__xludf.DUMMYFUNCTION("googletranslate(D2176,""en"",""ja"")"),"ガンマグロブリン/総タンパク質")</f>
        <v>ガンマグロブリン/総タンパク質</v>
      </c>
      <c r="H2176" s="3" t="str">
        <f ca="1">IFERROR(__xludf.DUMMYFUNCTION("googletranslate(E2176,""en"",""ja"")"),"生物学的標本中の総タンパク質に対するガンマ画分タンパク質の相対測定値 (比率またはパーセンテージ)。")</f>
        <v>生物学的標本中の総タンパク質に対するガンマ画分タンパク質の相対測定値 (比率またはパーセンテージ)。</v>
      </c>
      <c r="I2176" s="3" t="str">
        <f ca="1">IFERROR(__xludf.DUMMYFUNCTION("googletranslate(F2176,""en"",""ja"")"),"ガンマグロブリン対総タンパク質比の測定")</f>
        <v>ガンマグロブリン対総タンパク質比の測定</v>
      </c>
    </row>
    <row r="2177" spans="1:9" ht="30">
      <c r="A2177" s="3" t="s">
        <v>6</v>
      </c>
      <c r="B2177" s="3" t="s">
        <v>9060</v>
      </c>
      <c r="C2177" s="3" t="s">
        <v>9061</v>
      </c>
      <c r="D2177" s="3" t="s">
        <v>9061</v>
      </c>
      <c r="E2177" s="3" t="s">
        <v>9062</v>
      </c>
      <c r="F2177" s="3" t="s">
        <v>9063</v>
      </c>
      <c r="G2177" s="3" t="str">
        <f ca="1">IFERROR(__xludf.DUMMYFUNCTION("googletranslate(D2177,""en"",""ja"")"),"グロブリン")</f>
        <v>グロブリン</v>
      </c>
      <c r="H2177" s="3" t="str">
        <f ca="1">IFERROR(__xludf.DUMMYFUNCTION("googletranslate(E2177,""en"",""ja"")"),"生物学的標本中のグロブリンタンパク質の測定。")</f>
        <v>生物学的標本中のグロブリンタンパク質の測定。</v>
      </c>
      <c r="I2177" s="3" t="str">
        <f ca="1">IFERROR(__xludf.DUMMYFUNCTION("googletranslate(F2177,""en"",""ja"")"),"グロブリンタンパク質の測定")</f>
        <v>グロブリンタンパク質の測定</v>
      </c>
    </row>
    <row r="2178" spans="1:9" ht="30">
      <c r="A2178" s="3" t="s">
        <v>6</v>
      </c>
      <c r="B2178" s="3" t="s">
        <v>9064</v>
      </c>
      <c r="C2178" s="3" t="s">
        <v>9065</v>
      </c>
      <c r="D2178" s="3" t="s">
        <v>9066</v>
      </c>
      <c r="E2178" s="3" t="s">
        <v>9067</v>
      </c>
      <c r="F2178" s="3" t="s">
        <v>9068</v>
      </c>
      <c r="G2178" s="3" t="str">
        <f ca="1">IFERROR(__xludf.DUMMYFUNCTION("googletranslate(D2178,""en"",""ja"")"),"グルカゴン様ペプチド-1;総グルカゴン様ペプチド-1")</f>
        <v>グルカゴン様ペプチド-1;総グルカゴン様ペプチド-1</v>
      </c>
      <c r="H2178" s="3" t="str">
        <f ca="1">IFERROR(__xludf.DUMMYFUNCTION("googletranslate(E2178,""en"",""ja"")"),"生物学的標本中の総グルカゴン様ペプチド-1 の測定。")</f>
        <v>生物学的標本中の総グルカゴン様ペプチド-1 の測定。</v>
      </c>
      <c r="I2178" s="3" t="str">
        <f ca="1">IFERROR(__xludf.DUMMYFUNCTION("googletranslate(F2178,""en"",""ja"")"),"グルカゴン様ペプチド-1の測定")</f>
        <v>グルカゴン様ペプチド-1の測定</v>
      </c>
    </row>
    <row r="2179" spans="1:9" ht="30">
      <c r="A2179" s="3" t="s">
        <v>6</v>
      </c>
      <c r="B2179" s="3" t="s">
        <v>9069</v>
      </c>
      <c r="C2179" s="3" t="s">
        <v>9070</v>
      </c>
      <c r="D2179" s="3" t="s">
        <v>9070</v>
      </c>
      <c r="E2179" s="3" t="s">
        <v>9071</v>
      </c>
      <c r="F2179" s="3" t="s">
        <v>9072</v>
      </c>
      <c r="G2179" s="3" t="str">
        <f ca="1">IFERROR(__xludf.DUMMYFUNCTION("googletranslate(D2179,""en"",""ja"")"),"グルカゴン様ペプチド-1、活性型")</f>
        <v>グルカゴン様ペプチド-1、活性型</v>
      </c>
      <c r="H2179" s="3" t="str">
        <f ca="1">IFERROR(__xludf.DUMMYFUNCTION("googletranslate(E2179,""en"",""ja"")"),"生物学的標本中のグルカゴン様ペプチド-1 の活性型の測定。")</f>
        <v>生物学的標本中のグルカゴン様ペプチド-1 の活性型の測定。</v>
      </c>
      <c r="I2179" s="3" t="str">
        <f ca="1">IFERROR(__xludf.DUMMYFUNCTION("googletranslate(F2179,""en"",""ja"")"),"活性型グルカゴン様ペプチド-1の測定")</f>
        <v>活性型グルカゴン様ペプチド-1の測定</v>
      </c>
    </row>
    <row r="2180" spans="1:9" ht="30">
      <c r="A2180" s="3" t="s">
        <v>6</v>
      </c>
      <c r="B2180" s="3" t="s">
        <v>9073</v>
      </c>
      <c r="C2180" s="3" t="s">
        <v>9074</v>
      </c>
      <c r="D2180" s="3" t="s">
        <v>9074</v>
      </c>
      <c r="E2180" s="3" t="s">
        <v>9075</v>
      </c>
      <c r="F2180" s="3" t="s">
        <v>9076</v>
      </c>
      <c r="G2180" s="3" t="str">
        <f ca="1">IFERROR(__xludf.DUMMYFUNCTION("googletranslate(D2180,""en"",""ja"")"),"グルカゴン様ペプチド-1、不活性型")</f>
        <v>グルカゴン様ペプチド-1、不活性型</v>
      </c>
      <c r="H2180" s="3" t="str">
        <f ca="1">IFERROR(__xludf.DUMMYFUNCTION("googletranslate(E2180,""en"",""ja"")"),"生物学的標本中のグルカゴン様ペプチド-1 の不活性型の測定。")</f>
        <v>生物学的標本中のグルカゴン様ペプチド-1 の不活性型の測定。</v>
      </c>
      <c r="I2180" s="3" t="str">
        <f ca="1">IFERROR(__xludf.DUMMYFUNCTION("googletranslate(F2180,""en"",""ja"")"),"不活性グルカゴン様ペプチド-1の測定")</f>
        <v>不活性グルカゴン様ペプチド-1の測定</v>
      </c>
    </row>
    <row r="2181" spans="1:9" ht="30">
      <c r="A2181" s="3" t="s">
        <v>81</v>
      </c>
      <c r="B2181" s="3" t="s">
        <v>9077</v>
      </c>
      <c r="C2181" s="3" t="s">
        <v>9078</v>
      </c>
      <c r="D2181" s="3" t="s">
        <v>9078</v>
      </c>
      <c r="E2181" s="3" t="s">
        <v>9079</v>
      </c>
      <c r="F2181" s="3" t="s">
        <v>9080</v>
      </c>
      <c r="G2181" s="3" t="str">
        <f ca="1">IFERROR(__xludf.DUMMYFUNCTION("googletranslate(D2181,""en"",""ja"")"),"全体的な縦ひずみ")</f>
        <v>全体的な縦ひずみ</v>
      </c>
      <c r="H2181" s="3" t="str">
        <f ca="1">IFERROR(__xludf.DUMMYFUNCTION("googletranslate(E2181,""en"",""ja"")"),"自動アルゴリズムによる、心室または心房の全体的な心筋の縦方向の歪みの測定。")</f>
        <v>自動アルゴリズムによる、心室または心房の全体的な心筋の縦方向の歪みの測定。</v>
      </c>
      <c r="I2181" s="3" t="str">
        <f ca="1">IFERROR(__xludf.DUMMYFUNCTION("googletranslate(F2181,""en"",""ja"")"),"全体縦ひずみ測定")</f>
        <v>全体縦ひずみ測定</v>
      </c>
    </row>
    <row r="2182" spans="1:9" ht="60">
      <c r="A2182" s="3" t="s">
        <v>81</v>
      </c>
      <c r="B2182" s="3" t="s">
        <v>9081</v>
      </c>
      <c r="C2182" s="3" t="s">
        <v>9082</v>
      </c>
      <c r="D2182" s="3" t="s">
        <v>9083</v>
      </c>
      <c r="E2182" s="3" t="s">
        <v>9084</v>
      </c>
      <c r="F2182" s="3" t="s">
        <v>9085</v>
      </c>
      <c r="G2182" s="3" t="str">
        <f ca="1">IFERROR(__xludf.DUMMYFUNCTION("googletranslate(D2182,""en"",""ja"")"),"全体的な縦ひずみ、Cal;全体的な縦ひずみ、計算値")</f>
        <v>全体的な縦ひずみ、Cal;全体的な縦ひずみ、計算値</v>
      </c>
      <c r="H2182" s="3" t="str">
        <f ca="1">IFERROR(__xludf.DUMMYFUNCTION("googletranslate(E2182,""en"",""ja"")"),"3 つの画像ビュー (つまり、4 腔、3 腔、2 腔ビュー) のすべてまたはいずれかから収集された縦方向の歪みを平均することによる、心室または心房の全体的な心筋の縦方向の歪みの計算。")</f>
        <v>3 つの画像ビュー (つまり、4 腔、3 腔、2 腔ビュー) のすべてまたはいずれかから収集された縦方向の歪みを平均することによる、心室または心房の全体的な心筋の縦方向の歪みの計算。</v>
      </c>
      <c r="I2182" s="3" t="str">
        <f ca="1">IFERROR(__xludf.DUMMYFUNCTION("googletranslate(F2182,""en"",""ja"")"),"計算された全体的な縦ひずみの測定")</f>
        <v>計算された全体的な縦ひずみの測定</v>
      </c>
    </row>
    <row r="2183" spans="1:9" ht="30">
      <c r="A2183" s="3" t="s">
        <v>67</v>
      </c>
      <c r="B2183" s="3" t="s">
        <v>9086</v>
      </c>
      <c r="C2183" s="3" t="s">
        <v>9087</v>
      </c>
      <c r="D2183" s="3" t="s">
        <v>9087</v>
      </c>
      <c r="E2183" s="3" t="s">
        <v>9088</v>
      </c>
      <c r="F2183" s="3" t="s">
        <v>9089</v>
      </c>
      <c r="G2183" s="3" t="str">
        <f ca="1">IFERROR(__xludf.DUMMYFUNCTION("googletranslate(D2183,""en"",""ja"")"),"ガラクトマンナン抗原")</f>
        <v>ガラクトマンナン抗原</v>
      </c>
      <c r="H2183" s="3" t="str">
        <f ca="1">IFERROR(__xludf.DUMMYFUNCTION("googletranslate(E2183,""en"",""ja"")"),"生物学的標本中のガラクトマンナン抗原の測定。")</f>
        <v>生物学的標本中のガラクトマンナン抗原の測定。</v>
      </c>
      <c r="I2183" s="3" t="str">
        <f ca="1">IFERROR(__xludf.DUMMYFUNCTION("googletranslate(F2183,""en"",""ja"")"),"ガラクトマンナン抗原の測定")</f>
        <v>ガラクトマンナン抗原の測定</v>
      </c>
    </row>
    <row r="2184" spans="1:9">
      <c r="A2184" s="3" t="s">
        <v>6</v>
      </c>
      <c r="B2184" s="3" t="s">
        <v>9090</v>
      </c>
      <c r="C2184" s="3" t="s">
        <v>9091</v>
      </c>
      <c r="D2184" s="3" t="s">
        <v>9091</v>
      </c>
      <c r="E2184" s="3" t="s">
        <v>9092</v>
      </c>
      <c r="F2184" s="3" t="s">
        <v>9093</v>
      </c>
      <c r="G2184" s="3" t="str">
        <f ca="1">IFERROR(__xludf.DUMMYFUNCTION("googletranslate(D2184,""en"",""ja"")"),"グリッターセル")</f>
        <v>グリッターセル</v>
      </c>
      <c r="H2184" s="3" t="str">
        <f ca="1">IFERROR(__xludf.DUMMYFUNCTION("googletranslate(E2184,""en"",""ja"")"),"生物標本のグリッターセルの測定。")</f>
        <v>生物標本のグリッターセルの測定。</v>
      </c>
      <c r="I2184" s="3" t="str">
        <f ca="1">IFERROR(__xludf.DUMMYFUNCTION("googletranslate(F2184,""en"",""ja"")"),"グリッターセル数")</f>
        <v>グリッターセル数</v>
      </c>
    </row>
    <row r="2185" spans="1:9">
      <c r="A2185" s="3" t="s">
        <v>6</v>
      </c>
      <c r="B2185" s="3" t="s">
        <v>9094</v>
      </c>
      <c r="C2185" s="3" t="s">
        <v>9095</v>
      </c>
      <c r="D2185" s="3" t="s">
        <v>9095</v>
      </c>
      <c r="E2185" s="3" t="s">
        <v>9096</v>
      </c>
      <c r="F2185" s="3" t="s">
        <v>9097</v>
      </c>
      <c r="G2185" s="3" t="str">
        <f ca="1">IFERROR(__xludf.DUMMYFUNCTION("googletranslate(D2185,""en"",""ja"")"),"グルテチミド")</f>
        <v>グルテチミド</v>
      </c>
      <c r="H2185" s="3" t="str">
        <f ca="1">IFERROR(__xludf.DUMMYFUNCTION("googletranslate(E2185,""en"",""ja"")"),"生物学的標本中のグルテチミドの測定。")</f>
        <v>生物学的標本中のグルテチミドの測定。</v>
      </c>
      <c r="I2185" s="3" t="str">
        <f ca="1">IFERROR(__xludf.DUMMYFUNCTION("googletranslate(F2185,""en"",""ja"")"),"グルテチミド測定")</f>
        <v>グルテチミド測定</v>
      </c>
    </row>
    <row r="2186" spans="1:9" ht="30">
      <c r="A2186" s="3" t="s">
        <v>6</v>
      </c>
      <c r="B2186" s="3" t="s">
        <v>9098</v>
      </c>
      <c r="C2186" s="3" t="s">
        <v>9099</v>
      </c>
      <c r="D2186" s="3" t="s">
        <v>9099</v>
      </c>
      <c r="E2186" s="3" t="s">
        <v>9100</v>
      </c>
      <c r="F2186" s="3" t="s">
        <v>9101</v>
      </c>
      <c r="G2186" s="3" t="str">
        <f ca="1">IFERROR(__xludf.DUMMYFUNCTION("googletranslate(D2186,""en"",""ja"")"),"1,3-ベータ-D-グルカン")</f>
        <v>1,3-ベータ-D-グルカン</v>
      </c>
      <c r="H2186" s="3" t="str">
        <f ca="1">IFERROR(__xludf.DUMMYFUNCTION("googletranslate(E2186,""en"",""ja"")"),"生物学的標本中の 1,3-β-D-グルカンの測定。")</f>
        <v>生物学的標本中の 1,3-β-D-グルカンの測定。</v>
      </c>
      <c r="I2186" s="3" t="str">
        <f ca="1">IFERROR(__xludf.DUMMYFUNCTION("googletranslate(F2186,""en"",""ja"")"),"1,3-ベータ-D-グルカンの測定")</f>
        <v>1,3-ベータ-D-グルカンの測定</v>
      </c>
    </row>
    <row r="2187" spans="1:9">
      <c r="A2187" s="3" t="s">
        <v>6</v>
      </c>
      <c r="B2187" s="3" t="s">
        <v>9102</v>
      </c>
      <c r="C2187" s="3" t="s">
        <v>9103</v>
      </c>
      <c r="D2187" s="3" t="s">
        <v>9103</v>
      </c>
      <c r="E2187" s="3" t="s">
        <v>9104</v>
      </c>
      <c r="F2187" s="3" t="s">
        <v>9105</v>
      </c>
      <c r="G2187" s="3" t="str">
        <f ca="1">IFERROR(__xludf.DUMMYFUNCTION("googletranslate(D2187,""en"",""ja"")"),"グルコース")</f>
        <v>グルコース</v>
      </c>
      <c r="H2187" s="3" t="str">
        <f ca="1">IFERROR(__xludf.DUMMYFUNCTION("googletranslate(E2187,""en"",""ja"")"),"生物学的標本中のグルコースの測定。")</f>
        <v>生物学的標本中のグルコースの測定。</v>
      </c>
      <c r="I2187" s="3" t="str">
        <f ca="1">IFERROR(__xludf.DUMMYFUNCTION("googletranslate(F2187,""en"",""ja"")"),"グルコース測定")</f>
        <v>グルコース測定</v>
      </c>
    </row>
    <row r="2188" spans="1:9" ht="30">
      <c r="A2188" s="3" t="s">
        <v>6</v>
      </c>
      <c r="B2188" s="3" t="s">
        <v>9106</v>
      </c>
      <c r="C2188" s="3" t="s">
        <v>9107</v>
      </c>
      <c r="D2188" s="3" t="s">
        <v>9107</v>
      </c>
      <c r="E2188" s="3" t="s">
        <v>9108</v>
      </c>
      <c r="F2188" s="3" t="s">
        <v>9109</v>
      </c>
      <c r="G2188" s="3" t="str">
        <f ca="1">IFERROR(__xludf.DUMMYFUNCTION("googletranslate(D2188,""en"",""ja"")"),"グルカゴン")</f>
        <v>グルカゴン</v>
      </c>
      <c r="H2188" s="3" t="str">
        <f ca="1">IFERROR(__xludf.DUMMYFUNCTION("googletranslate(E2188,""en"",""ja"")"),"生物学的標本中のグルカゴン ホルモンの測定。")</f>
        <v>生物学的標本中のグルカゴン ホルモンの測定。</v>
      </c>
      <c r="I2188" s="3" t="str">
        <f ca="1">IFERROR(__xludf.DUMMYFUNCTION("googletranslate(F2188,""en"",""ja"")"),"グルカゴンの測定")</f>
        <v>グルカゴンの測定</v>
      </c>
    </row>
    <row r="2189" spans="1:9" ht="30">
      <c r="A2189" s="3" t="s">
        <v>1255</v>
      </c>
      <c r="B2189" s="3" t="s">
        <v>9110</v>
      </c>
      <c r="C2189" s="3" t="s">
        <v>9111</v>
      </c>
      <c r="D2189" s="3" t="s">
        <v>9111</v>
      </c>
      <c r="E2189" s="3" t="s">
        <v>9112</v>
      </c>
      <c r="F2189" s="3" t="s">
        <v>9111</v>
      </c>
      <c r="G2189" s="3" t="str">
        <f ca="1">IFERROR(__xludf.DUMMYFUNCTION("googletranslate(D2189,""en"",""ja"")"),"グルコース警告閾値")</f>
        <v>グルコース警告閾値</v>
      </c>
      <c r="H2189" s="3" t="str">
        <f ca="1">IFERROR(__xludf.DUMMYFUNCTION("googletranslate(E2189,""en"",""ja"")"),"血糖値が事前に指定された値に達したときにアラームをトリガーするデバイスの設定。")</f>
        <v>血糖値が事前に指定された値に達したときにアラームをトリガーするデバイスの設定。</v>
      </c>
      <c r="I2189" s="3" t="str">
        <f ca="1">IFERROR(__xludf.DUMMYFUNCTION("googletranslate(F2189,""en"",""ja"")"),"グルコース警告閾値")</f>
        <v>グルコース警告閾値</v>
      </c>
    </row>
    <row r="2190" spans="1:9" ht="45">
      <c r="A2190" s="3" t="s">
        <v>6</v>
      </c>
      <c r="B2190" s="3" t="s">
        <v>9113</v>
      </c>
      <c r="C2190" s="3" t="s">
        <v>9114</v>
      </c>
      <c r="D2190" s="3" t="s">
        <v>9114</v>
      </c>
      <c r="E2190" s="3" t="s">
        <v>9115</v>
      </c>
      <c r="F2190" s="3" t="s">
        <v>9116</v>
      </c>
      <c r="G2190" s="3" t="str">
        <f ca="1">IFERROR(__xludf.DUMMYFUNCTION("googletranslate(D2190,""en"",""ja"")"),"グルコースクリアランス")</f>
        <v>グルコースクリアランス</v>
      </c>
      <c r="H2190" s="3" t="str">
        <f ca="1">IFERROR(__xludf.DUMMYFUNCTION("googletranslate(E2190,""en"",""ja"")"),"指定された時間単位 (例: 1 分) の尿の排泄によってグルコースが除去される血清または血漿の量の測定値。")</f>
        <v>指定された時間単位 (例: 1 分) の尿の排泄によってグルコースが除去される血清または血漿の量の測定値。</v>
      </c>
      <c r="I2190" s="3" t="str">
        <f ca="1">IFERROR(__xludf.DUMMYFUNCTION("googletranslate(F2190,""en"",""ja"")"),"グルコースクリアランス測定")</f>
        <v>グルコースクリアランス測定</v>
      </c>
    </row>
    <row r="2191" spans="1:9" ht="30">
      <c r="A2191" s="3" t="s">
        <v>6</v>
      </c>
      <c r="B2191" s="3" t="s">
        <v>9117</v>
      </c>
      <c r="C2191" s="3" t="s">
        <v>9118</v>
      </c>
      <c r="D2191" s="3" t="s">
        <v>9118</v>
      </c>
      <c r="E2191" s="3" t="s">
        <v>9119</v>
      </c>
      <c r="F2191" s="3" t="s">
        <v>9120</v>
      </c>
      <c r="G2191" s="3" t="str">
        <f ca="1">IFERROR(__xludf.DUMMYFUNCTION("googletranslate(D2191,""en"",""ja"")"),"グルコース/クレアチニン")</f>
        <v>グルコース/クレアチニン</v>
      </c>
      <c r="H2191" s="3" t="str">
        <f ca="1">IFERROR(__xludf.DUMMYFUNCTION("googletranslate(E2191,""en"",""ja"")"),"生物学的標本中のグルコースとクレアチニンの相対測定値 (比率またはパーセンテージ)。")</f>
        <v>生物学的標本中のグルコースとクレアチニンの相対測定値 (比率またはパーセンテージ)。</v>
      </c>
      <c r="I2191" s="3" t="str">
        <f ca="1">IFERROR(__xludf.DUMMYFUNCTION("googletranslate(F2191,""en"",""ja"")"),"グルコース対クレアチニン比の測定")</f>
        <v>グルコース対クレアチニン比の測定</v>
      </c>
    </row>
    <row r="2192" spans="1:9" ht="45">
      <c r="A2192" s="3" t="s">
        <v>6</v>
      </c>
      <c r="B2192" s="3" t="s">
        <v>9121</v>
      </c>
      <c r="C2192" s="3" t="s">
        <v>9122</v>
      </c>
      <c r="D2192" s="3" t="s">
        <v>9122</v>
      </c>
      <c r="E2192" s="3" t="s">
        <v>9123</v>
      </c>
      <c r="F2192" s="3" t="s">
        <v>9122</v>
      </c>
      <c r="G2192" s="3" t="str">
        <f ca="1">IFERROR(__xludf.DUMMYFUNCTION("googletranslate(D2192,""en"",""ja"")"),"グルコース排泄率")</f>
        <v>グルコース排泄率</v>
      </c>
      <c r="H2192" s="3" t="str">
        <f ca="1">IFERROR(__xludf.DUMMYFUNCTION("googletranslate(E2192,""en"",""ja"")"),"規定の時間 (例: 1 時間) にわたって生物学的標本中に排泄されるグルコースの量の測定。")</f>
        <v>規定の時間 (例: 1 時間) にわたって生物学的標本中に排泄されるグルコースの量の測定。</v>
      </c>
      <c r="I2192" s="3" t="str">
        <f ca="1">IFERROR(__xludf.DUMMYFUNCTION("googletranslate(F2192,""en"",""ja"")"),"グルコース排泄率")</f>
        <v>グルコース排泄率</v>
      </c>
    </row>
    <row r="2193" spans="1:9" ht="30">
      <c r="A2193" s="3" t="s">
        <v>6</v>
      </c>
      <c r="B2193" s="3" t="s">
        <v>9124</v>
      </c>
      <c r="C2193" s="3" t="s">
        <v>9125</v>
      </c>
      <c r="D2193" s="3" t="s">
        <v>9125</v>
      </c>
      <c r="E2193" s="3" t="s">
        <v>9126</v>
      </c>
      <c r="F2193" s="3" t="s">
        <v>9127</v>
      </c>
      <c r="G2193" s="3" t="str">
        <f ca="1">IFERROR(__xludf.DUMMYFUNCTION("googletranslate(D2193,""en"",""ja"")"),"血漿当量グルコース")</f>
        <v>血漿当量グルコース</v>
      </c>
      <c r="H2193" s="3" t="str">
        <f ca="1">IFERROR(__xludf.DUMMYFUNCTION("googletranslate(E2193,""en"",""ja"")"),"生物学的標本の血漿グルコース相当量の測定。")</f>
        <v>生物学的標本の血漿グルコース相当量の測定。</v>
      </c>
      <c r="I2193" s="3" t="str">
        <f ca="1">IFERROR(__xludf.DUMMYFUNCTION("googletranslate(F2193,""en"",""ja"")"),"血漿当量グルコース測定")</f>
        <v>血漿当量グルコース測定</v>
      </c>
    </row>
    <row r="2194" spans="1:9" ht="30">
      <c r="A2194" s="3" t="s">
        <v>6</v>
      </c>
      <c r="B2194" s="3" t="s">
        <v>9128</v>
      </c>
      <c r="C2194" s="3" t="s">
        <v>9129</v>
      </c>
      <c r="D2194" s="3" t="s">
        <v>9129</v>
      </c>
      <c r="E2194" s="3" t="s">
        <v>9130</v>
      </c>
      <c r="F2194" s="3" t="s">
        <v>9131</v>
      </c>
      <c r="G2194" s="3" t="str">
        <f ca="1">IFERROR(__xludf.DUMMYFUNCTION("googletranslate(D2194,""en"",""ja"")"),"血漿等価グルコース分布")</f>
        <v>血漿等価グルコース分布</v>
      </c>
      <c r="H2194" s="3" t="str">
        <f ca="1">IFERROR(__xludf.DUMMYFUNCTION("googletranslate(E2194,""en"",""ja"")"),"生物学的標本における血漿等価グルコース分布の測定。")</f>
        <v>生物学的標本における血漿等価グルコース分布の測定。</v>
      </c>
      <c r="I2194" s="3" t="str">
        <f ca="1">IFERROR(__xludf.DUMMYFUNCTION("googletranslate(F2194,""en"",""ja"")"),"血漿等価グルコース分布測定")</f>
        <v>血漿等価グルコース分布測定</v>
      </c>
    </row>
    <row r="2195" spans="1:9" ht="30">
      <c r="A2195" s="3" t="s">
        <v>1255</v>
      </c>
      <c r="B2195" s="3" t="s">
        <v>9132</v>
      </c>
      <c r="C2195" s="3" t="s">
        <v>9133</v>
      </c>
      <c r="D2195" s="3" t="s">
        <v>9133</v>
      </c>
      <c r="E2195" s="3" t="s">
        <v>9134</v>
      </c>
      <c r="F2195" s="3" t="s">
        <v>9133</v>
      </c>
      <c r="G2195" s="3" t="str">
        <f ca="1">IFERROR(__xludf.DUMMYFUNCTION("googletranslate(D2195,""en"",""ja"")"),"グルコース目標レベル")</f>
        <v>グルコース目標レベル</v>
      </c>
      <c r="H2195" s="3" t="str">
        <f ca="1">IFERROR(__xludf.DUMMYFUNCTION("googletranslate(E2195,""en"",""ja"")"),"血糖値の目標値を設定および調整できるデバイスの設定。")</f>
        <v>血糖値の目標値を設定および調整できるデバイスの設定。</v>
      </c>
      <c r="I2195" s="3" t="str">
        <f ca="1">IFERROR(__xludf.DUMMYFUNCTION("googletranslate(F2195,""en"",""ja"")"),"グルコース目標レベル")</f>
        <v>グルコース目標レベル</v>
      </c>
    </row>
    <row r="2196" spans="1:9" ht="30">
      <c r="A2196" s="3" t="s">
        <v>159</v>
      </c>
      <c r="B2196" s="3" t="s">
        <v>9135</v>
      </c>
      <c r="C2196" s="3" t="s">
        <v>9136</v>
      </c>
      <c r="D2196" s="3" t="s">
        <v>9137</v>
      </c>
      <c r="E2196" s="3" t="s">
        <v>9138</v>
      </c>
      <c r="F2196" s="3" t="s">
        <v>9139</v>
      </c>
      <c r="G2196" s="3" t="str">
        <f ca="1">IFERROR(__xludf.DUMMYFUNCTION("googletranslate(D2196,""en"",""ja"")"),"グルタミン酸/クレアチン;グルタミン酸/クレアチン")</f>
        <v>グルタミン酸/クレアチン;グルタミン酸/クレアチン</v>
      </c>
      <c r="H2196" s="3" t="str">
        <f ca="1">IFERROR(__xludf.DUMMYFUNCTION("googletranslate(E2196,""en"",""ja"")"),"生物学的標本中のクレアチンに対するグルタミン酸の相対測定値 (比率またはパーセンテージ)。")</f>
        <v>生物学的標本中のクレアチンに対するグルタミン酸の相対測定値 (比率またはパーセンテージ)。</v>
      </c>
      <c r="I2196" s="3" t="str">
        <f ca="1">IFERROR(__xludf.DUMMYFUNCTION("googletranslate(F2196,""en"",""ja"")"),"グルタミン酸とクレアチンの比率の測定")</f>
        <v>グルタミン酸とクレアチンの比率の測定</v>
      </c>
    </row>
    <row r="2197" spans="1:9" ht="30">
      <c r="A2197" s="3" t="s">
        <v>6</v>
      </c>
      <c r="B2197" s="3" t="s">
        <v>9140</v>
      </c>
      <c r="C2197" s="3" t="s">
        <v>9141</v>
      </c>
      <c r="D2197" s="3" t="s">
        <v>9141</v>
      </c>
      <c r="E2197" s="3" t="s">
        <v>9142</v>
      </c>
      <c r="F2197" s="3" t="s">
        <v>9143</v>
      </c>
      <c r="G2197" s="3" t="str">
        <f ca="1">IFERROR(__xludf.DUMMYFUNCTION("googletranslate(D2197,""en"",""ja"")"),"全血グルコース相当量")</f>
        <v>全血グルコース相当量</v>
      </c>
      <c r="H2197" s="3" t="str">
        <f ca="1">IFERROR(__xludf.DUMMYFUNCTION("googletranslate(E2197,""en"",""ja"")"),"生物学的検体中の全血相当グルコースの測定。")</f>
        <v>生物学的検体中の全血相当グルコースの測定。</v>
      </c>
      <c r="I2197" s="3" t="str">
        <f ca="1">IFERROR(__xludf.DUMMYFUNCTION("googletranslate(F2197,""en"",""ja"")"),"全血グルコース相当量測定")</f>
        <v>全血グルコース相当量測定</v>
      </c>
    </row>
    <row r="2198" spans="1:9" ht="30">
      <c r="A2198" s="3" t="s">
        <v>51</v>
      </c>
      <c r="B2198" s="3" t="s">
        <v>9144</v>
      </c>
      <c r="C2198" s="3" t="s">
        <v>9145</v>
      </c>
      <c r="D2198" s="3" t="s">
        <v>9146</v>
      </c>
      <c r="E2198" s="3" t="s">
        <v>9147</v>
      </c>
      <c r="F2198" s="3" t="s">
        <v>9148</v>
      </c>
      <c r="G2198" s="3" t="str">
        <f ca="1">IFERROR(__xludf.DUMMYFUNCTION("googletranslate(D2198,""en"",""ja"")"),"2-アミノ-6-メチルジピリド[1,2-a:3',2'-d]イミダゾール;グル-P-1")</f>
        <v>2-アミノ-6-メチルジピリド[1,2-a:3',2'-d]イミダゾール;グル-P-1</v>
      </c>
      <c r="H2198" s="3" t="str">
        <f ca="1">IFERROR(__xludf.DUMMYFUNCTION("googletranslate(E2198,""en"",""ja"")"),"検体中の Glu-P-1 の測定。")</f>
        <v>検体中の Glu-P-1 の測定。</v>
      </c>
      <c r="I2198" s="3" t="str">
        <f ca="1">IFERROR(__xludf.DUMMYFUNCTION("googletranslate(F2198,""en"",""ja"")"),"Glu-P-1の測定")</f>
        <v>Glu-P-1の測定</v>
      </c>
    </row>
    <row r="2199" spans="1:9" ht="30">
      <c r="A2199" s="3" t="s">
        <v>51</v>
      </c>
      <c r="B2199" s="3" t="s">
        <v>9149</v>
      </c>
      <c r="C2199" s="3" t="s">
        <v>9150</v>
      </c>
      <c r="D2199" s="3" t="s">
        <v>9151</v>
      </c>
      <c r="E2199" s="3" t="s">
        <v>9152</v>
      </c>
      <c r="F2199" s="3" t="s">
        <v>9153</v>
      </c>
      <c r="G2199" s="3" t="str">
        <f ca="1">IFERROR(__xludf.DUMMYFUNCTION("googletranslate(D2199,""en"",""ja"")"),"2-アミノジピリド[1,2-a:3',2'-d]イミダゾール;グル-P-2")</f>
        <v>2-アミノジピリド[1,2-a:3',2'-d]イミダゾール;グル-P-2</v>
      </c>
      <c r="H2199" s="3" t="str">
        <f ca="1">IFERROR(__xludf.DUMMYFUNCTION("googletranslate(E2199,""en"",""ja"")"),"検体中の Glu-P-2 の測定。")</f>
        <v>検体中の Glu-P-2 の測定。</v>
      </c>
      <c r="I2199" s="3" t="str">
        <f ca="1">IFERROR(__xludf.DUMMYFUNCTION("googletranslate(F2199,""en"",""ja"")"),"Glu-P-2の測定")</f>
        <v>Glu-P-2の測定</v>
      </c>
    </row>
    <row r="2200" spans="1:9" ht="45">
      <c r="A2200" s="3" t="s">
        <v>6</v>
      </c>
      <c r="B2200" s="3" t="s">
        <v>9154</v>
      </c>
      <c r="C2200" s="3" t="s">
        <v>9155</v>
      </c>
      <c r="D2200" s="3" t="s">
        <v>9156</v>
      </c>
      <c r="E2200" s="3" t="s">
        <v>9157</v>
      </c>
      <c r="F2200" s="3" t="s">
        <v>9158</v>
      </c>
      <c r="G2200" s="3" t="str">
        <f ca="1">IFERROR(__xludf.DUMMYFUNCTION("googletranslate(D2200,""en"",""ja"")"),"グルコース、強化/グルコース;グルコース、放射性標識/グルコース")</f>
        <v>グルコース、強化/グルコース;グルコース、放射性標識/グルコース</v>
      </c>
      <c r="H2200" s="3" t="str">
        <f ca="1">IFERROR(__xludf.DUMMYFUNCTION("googletranslate(E2200,""en"",""ja"")"),"生物学的標本中の総グルコースに対する放射性標識グルコースの相対測定値 (比率またはパーセンテージ)。")</f>
        <v>生物学的標本中の総グルコースに対する放射性標識グルコースの相対測定値 (比率またはパーセンテージ)。</v>
      </c>
      <c r="I2200" s="3" t="str">
        <f ca="1">IFERROR(__xludf.DUMMYFUNCTION("googletranslate(F2200,""en"",""ja"")"),"放射性標識されたグルコース対グルコース比の測定")</f>
        <v>放射性標識されたグルコース対グルコース比の測定</v>
      </c>
    </row>
    <row r="2201" spans="1:9">
      <c r="A2201" s="3" t="s">
        <v>6</v>
      </c>
      <c r="B2201" s="3" t="s">
        <v>9159</v>
      </c>
      <c r="C2201" s="3" t="s">
        <v>9160</v>
      </c>
      <c r="D2201" s="3" t="s">
        <v>9161</v>
      </c>
      <c r="E2201" s="3" t="s">
        <v>9162</v>
      </c>
      <c r="F2201" s="3" t="s">
        <v>9163</v>
      </c>
      <c r="G2201" s="3" t="str">
        <f ca="1">IFERROR(__xludf.DUMMYFUNCTION("googletranslate(D2201,""en"",""ja"")"),"グルタミン酸;グルタミン酸")</f>
        <v>グルタミン酸;グルタミン酸</v>
      </c>
      <c r="H2201" s="3" t="str">
        <f ca="1">IFERROR(__xludf.DUMMYFUNCTION("googletranslate(E2201,""en"",""ja"")"),"生物学的標本中のグルタミン酸の測定。")</f>
        <v>生物学的標本中のグルタミン酸の測定。</v>
      </c>
      <c r="I2201" s="3" t="str">
        <f ca="1">IFERROR(__xludf.DUMMYFUNCTION("googletranslate(F2201,""en"",""ja"")"),"グルタミン酸測定")</f>
        <v>グルタミン酸測定</v>
      </c>
    </row>
    <row r="2202" spans="1:9">
      <c r="A2202" s="3" t="s">
        <v>159</v>
      </c>
      <c r="B2202" s="3" t="s">
        <v>9159</v>
      </c>
      <c r="C2202" s="3" t="s">
        <v>9160</v>
      </c>
      <c r="D2202" s="3" t="s">
        <v>9161</v>
      </c>
      <c r="E2202" s="3" t="s">
        <v>9162</v>
      </c>
      <c r="F2202" s="3" t="s">
        <v>9163</v>
      </c>
      <c r="G2202" s="3" t="str">
        <f ca="1">IFERROR(__xludf.DUMMYFUNCTION("googletranslate(D2202,""en"",""ja"")"),"グルタミン酸;グルタミン酸")</f>
        <v>グルタミン酸;グルタミン酸</v>
      </c>
      <c r="H2202" s="3" t="str">
        <f ca="1">IFERROR(__xludf.DUMMYFUNCTION("googletranslate(E2202,""en"",""ja"")"),"生物学的標本中のグルタミン酸の測定。")</f>
        <v>生物学的標本中のグルタミン酸の測定。</v>
      </c>
      <c r="I2202" s="3" t="str">
        <f ca="1">IFERROR(__xludf.DUMMYFUNCTION("googletranslate(F2202,""en"",""ja"")"),"グルタミン酸測定")</f>
        <v>グルタミン酸測定</v>
      </c>
    </row>
    <row r="2203" spans="1:9" ht="30">
      <c r="A2203" s="3" t="s">
        <v>6</v>
      </c>
      <c r="B2203" s="3" t="s">
        <v>9164</v>
      </c>
      <c r="C2203" s="3" t="s">
        <v>9165</v>
      </c>
      <c r="D2203" s="3" t="s">
        <v>9166</v>
      </c>
      <c r="E2203" s="3" t="s">
        <v>9167</v>
      </c>
      <c r="F2203" s="3" t="s">
        <v>9168</v>
      </c>
      <c r="G2203" s="3" t="str">
        <f ca="1">IFERROR(__xludf.DUMMYFUNCTION("googletranslate(D2203,""en"",""ja"")"),"GIP;グルテン免疫原性ペプチド;グルテン免疫原性ペプチド")</f>
        <v>GIP;グルテン免疫原性ペプチド;グルテン免疫原性ペプチド</v>
      </c>
      <c r="H2203" s="3" t="str">
        <f ca="1">IFERROR(__xludf.DUMMYFUNCTION("googletranslate(E2203,""en"",""ja"")"),"生物学的標本中のグルテン免疫原性ペプチドの測定。")</f>
        <v>生物学的標本中のグルテン免疫原性ペプチドの測定。</v>
      </c>
      <c r="I2203" s="3" t="str">
        <f ca="1">IFERROR(__xludf.DUMMYFUNCTION("googletranslate(F2203,""en"",""ja"")"),"グルテン免疫原性ペプチドの測定")</f>
        <v>グルテン免疫原性ペプチドの測定</v>
      </c>
    </row>
    <row r="2204" spans="1:9" ht="30">
      <c r="A2204" s="3" t="s">
        <v>159</v>
      </c>
      <c r="B2204" s="3" t="s">
        <v>9169</v>
      </c>
      <c r="C2204" s="3" t="s">
        <v>9170</v>
      </c>
      <c r="D2204" s="3" t="s">
        <v>9170</v>
      </c>
      <c r="E2204" s="3" t="s">
        <v>9171</v>
      </c>
      <c r="F2204" s="3" t="s">
        <v>9172</v>
      </c>
      <c r="G2204" s="3" t="str">
        <f ca="1">IFERROR(__xludf.DUMMYFUNCTION("googletranslate(D2204,""en"",""ja"")"),"グルタミン酸とグルタミン")</f>
        <v>グルタミン酸とグルタミン</v>
      </c>
      <c r="H2204" s="3" t="str">
        <f ca="1">IFERROR(__xludf.DUMMYFUNCTION("googletranslate(E2204,""en"",""ja"")"),"生物学的標本中のグルタミン酸とグルタミンの測定。")</f>
        <v>生物学的標本中のグルタミン酸とグルタミンの測定。</v>
      </c>
      <c r="I2204" s="3" t="str">
        <f ca="1">IFERROR(__xludf.DUMMYFUNCTION("googletranslate(F2204,""en"",""ja"")"),"グルタミン酸およびグルタミンの測定")</f>
        <v>グルタミン酸およびグルタミンの測定</v>
      </c>
    </row>
    <row r="2205" spans="1:9" ht="30">
      <c r="A2205" s="3" t="s">
        <v>159</v>
      </c>
      <c r="B2205" s="3" t="s">
        <v>9173</v>
      </c>
      <c r="C2205" s="3" t="s">
        <v>9174</v>
      </c>
      <c r="D2205" s="3" t="s">
        <v>9174</v>
      </c>
      <c r="E2205" s="3" t="s">
        <v>9175</v>
      </c>
      <c r="F2205" s="3" t="s">
        <v>9176</v>
      </c>
      <c r="G2205" s="3" t="str">
        <f ca="1">IFERROR(__xludf.DUMMYFUNCTION("googletranslate(D2205,""en"",""ja"")"),"グルタミン酸とグルタミンC3が豊富")</f>
        <v>グルタミン酸とグルタミンC3が豊富</v>
      </c>
      <c r="H2205" s="3" t="str">
        <f ca="1">IFERROR(__xludf.DUMMYFUNCTION("googletranslate(E2205,""en"",""ja"")"),"生物学的標本中の C3 が豊富なグルタミン酸とグルタミンの測定。")</f>
        <v>生物学的標本中の C3 が豊富なグルタミン酸とグルタミンの測定。</v>
      </c>
      <c r="I2205" s="3" t="str">
        <f ca="1">IFERROR(__xludf.DUMMYFUNCTION("googletranslate(F2205,""en"",""ja"")"),"C3 強化グルタミン酸およびグルタミンの測定")</f>
        <v>C3 強化グルタミン酸およびグルタミンの測定</v>
      </c>
    </row>
    <row r="2206" spans="1:9" ht="60">
      <c r="A2206" s="3" t="s">
        <v>159</v>
      </c>
      <c r="B2206" s="3" t="s">
        <v>9177</v>
      </c>
      <c r="C2206" s="3" t="s">
        <v>9178</v>
      </c>
      <c r="D2206" s="3" t="s">
        <v>9179</v>
      </c>
      <c r="E2206" s="3" t="s">
        <v>9180</v>
      </c>
      <c r="F2206" s="3" t="s">
        <v>9181</v>
      </c>
      <c r="G2206" s="3" t="str">
        <f ca="1">IFERROR(__xludf.DUMMYFUNCTION("googletranslate(D2206,""en"",""ja"")"),"グルタミン酸とグルタミン C3 強化/グルタミン酸とグルタミン;グルタミン酸およびグルタミン C3 強化/GLX")</f>
        <v>グルタミン酸とグルタミン C3 強化/グルタミン酸とグルタミン;グルタミン酸およびグルタミン C3 強化/GLX</v>
      </c>
      <c r="H2206" s="3" t="str">
        <f ca="1">IFERROR(__xludf.DUMMYFUNCTION("googletranslate(E2206,""en"",""ja"")"),"生体試料中の総グルタミン酸およびグルタミンに対する、C3 が豊富なグルタミン酸およびグルタミンの相対測定値 (比率またはパーセンテージ)。")</f>
        <v>生体試料中の総グルタミン酸およびグルタミンに対する、C3 が豊富なグルタミン酸およびグルタミンの相対測定値 (比率またはパーセンテージ)。</v>
      </c>
      <c r="I2206" s="3" t="str">
        <f ca="1">IFERROR(__xludf.DUMMYFUNCTION("googletranslate(F2206,""en"",""ja"")"),"C3 強化グルタミン酸およびグルタミンと総グルタミン酸およびグルタミンの比率の測定")</f>
        <v>C3 強化グルタミン酸およびグルタミンと総グルタミン酸およびグルタミンの比率の測定</v>
      </c>
    </row>
    <row r="2207" spans="1:9" ht="75">
      <c r="A2207" s="3" t="s">
        <v>159</v>
      </c>
      <c r="B2207" s="3" t="s">
        <v>9182</v>
      </c>
      <c r="C2207" s="3" t="s">
        <v>9183</v>
      </c>
      <c r="D2207" s="3" t="s">
        <v>9184</v>
      </c>
      <c r="E2207" s="3" t="s">
        <v>9185</v>
      </c>
      <c r="F2207" s="3" t="s">
        <v>9186</v>
      </c>
      <c r="G2207" s="3" t="str">
        <f ca="1">IFERROR(__xludf.DUMMYFUNCTION("googletranslate(D2207,""en"",""ja"")"),"グルタミン酸とグルタミンのサイクル速度。グルタミン酸-グルタミンサイクル速度;グルタミン酸/GABA-グルタミンサイクル速度")</f>
        <v>グルタミン酸とグルタミンのサイクル速度。グルタミン酸-グルタミンサイクル速度;グルタミン酸/GABA-グルタミンサイクル速度</v>
      </c>
      <c r="H2207" s="3" t="str">
        <f ca="1">IFERROR(__xludf.DUMMYFUNCTION("googletranslate(E2207,""en"",""ja"")"),"生物学的標本におけるグルタミン酸 - グルタミン回路の代謝率の測定。")</f>
        <v>生物学的標本におけるグルタミン酸 - グルタミン回路の代謝率の測定。</v>
      </c>
      <c r="I2207" s="3" t="str">
        <f ca="1">IFERROR(__xludf.DUMMYFUNCTION("googletranslate(F2207,""en"",""ja"")"),"グルタミン酸-クレアチンサイクル速度の測定")</f>
        <v>グルタミン酸-クレアチンサイクル速度の測定</v>
      </c>
    </row>
    <row r="2208" spans="1:9">
      <c r="A2208" s="3" t="s">
        <v>6</v>
      </c>
      <c r="B2208" s="3" t="s">
        <v>9187</v>
      </c>
      <c r="C2208" s="3" t="s">
        <v>9188</v>
      </c>
      <c r="D2208" s="3" t="s">
        <v>9188</v>
      </c>
      <c r="E2208" s="3" t="s">
        <v>9189</v>
      </c>
      <c r="F2208" s="3" t="s">
        <v>9190</v>
      </c>
      <c r="G2208" s="3" t="str">
        <f ca="1">IFERROR(__xludf.DUMMYFUNCTION("googletranslate(D2208,""en"",""ja"")"),"グリシン")</f>
        <v>グリシン</v>
      </c>
      <c r="H2208" s="3" t="str">
        <f ca="1">IFERROR(__xludf.DUMMYFUNCTION("googletranslate(E2208,""en"",""ja"")"),"生物学的標本中のグリシンの測定。")</f>
        <v>生物学的標本中のグリシンの測定。</v>
      </c>
      <c r="I2208" s="3" t="str">
        <f ca="1">IFERROR(__xludf.DUMMYFUNCTION("googletranslate(F2208,""en"",""ja"")"),"グリシン測定")</f>
        <v>グリシン測定</v>
      </c>
    </row>
    <row r="2209" spans="1:9">
      <c r="A2209" s="3" t="s">
        <v>51</v>
      </c>
      <c r="B2209" s="3" t="s">
        <v>9191</v>
      </c>
      <c r="C2209" s="3" t="s">
        <v>9192</v>
      </c>
      <c r="D2209" s="3" t="s">
        <v>9192</v>
      </c>
      <c r="E2209" s="3" t="s">
        <v>9193</v>
      </c>
      <c r="F2209" s="3" t="s">
        <v>9194</v>
      </c>
      <c r="G2209" s="3" t="str">
        <f ca="1">IFERROR(__xludf.DUMMYFUNCTION("googletranslate(D2209,""en"",""ja"")"),"グリシドール")</f>
        <v>グリシドール</v>
      </c>
      <c r="H2209" s="3" t="str">
        <f ca="1">IFERROR(__xludf.DUMMYFUNCTION("googletranslate(E2209,""en"",""ja"")"),"試料中のグリシドールの測定。")</f>
        <v>試料中のグリシドールの測定。</v>
      </c>
      <c r="I2209" s="3" t="str">
        <f ca="1">IFERROR(__xludf.DUMMYFUNCTION("googletranslate(F2209,""en"",""ja"")"),"グリシドールの測定")</f>
        <v>グリシドールの測定</v>
      </c>
    </row>
    <row r="2210" spans="1:9" ht="30">
      <c r="A2210" s="3" t="s">
        <v>6</v>
      </c>
      <c r="B2210" s="3" t="s">
        <v>9195</v>
      </c>
      <c r="C2210" s="3" t="s">
        <v>9196</v>
      </c>
      <c r="D2210" s="3" t="s">
        <v>9196</v>
      </c>
      <c r="E2210" s="3" t="s">
        <v>9197</v>
      </c>
      <c r="F2210" s="3" t="s">
        <v>9198</v>
      </c>
      <c r="G2210" s="3" t="str">
        <f ca="1">IFERROR(__xludf.DUMMYFUNCTION("googletranslate(D2210,""en"",""ja"")"),"グリシン/クレアチニン")</f>
        <v>グリシン/クレアチニン</v>
      </c>
      <c r="H2210" s="3" t="str">
        <f ca="1">IFERROR(__xludf.DUMMYFUNCTION("googletranslate(E2210,""en"",""ja"")"),"生物学的標本におけるクレアチニンに対するグリシンの相対測定値 (比)。")</f>
        <v>生物学的標本におけるクレアチニンに対するグリシンの相対測定値 (比)。</v>
      </c>
      <c r="I2210" s="3" t="str">
        <f ca="1">IFERROR(__xludf.DUMMYFUNCTION("googletranslate(F2210,""en"",""ja"")"),"グリシンとクレアチニンの比率の測定")</f>
        <v>グリシンとクレアチニンの比率の測定</v>
      </c>
    </row>
    <row r="2211" spans="1:9">
      <c r="A2211" s="3" t="s">
        <v>51</v>
      </c>
      <c r="B2211" s="3" t="s">
        <v>9199</v>
      </c>
      <c r="C2211" s="3" t="s">
        <v>9200</v>
      </c>
      <c r="D2211" s="3" t="s">
        <v>9200</v>
      </c>
      <c r="E2211" s="3" t="s">
        <v>9201</v>
      </c>
      <c r="F2211" s="3" t="s">
        <v>9202</v>
      </c>
      <c r="G2211" s="3" t="str">
        <f ca="1">IFERROR(__xludf.DUMMYFUNCTION("googletranslate(D2211,""en"",""ja"")"),"グリセロール")</f>
        <v>グリセロール</v>
      </c>
      <c r="H2211" s="3" t="str">
        <f ca="1">IFERROR(__xludf.DUMMYFUNCTION("googletranslate(E2211,""en"",""ja"")"),"検体中の総グリセロールの測定。")</f>
        <v>検体中の総グリセロールの測定。</v>
      </c>
      <c r="I2211" s="3" t="str">
        <f ca="1">IFERROR(__xludf.DUMMYFUNCTION("googletranslate(F2211,""en"",""ja"")"),"グリセロール測定")</f>
        <v>グリセロール測定</v>
      </c>
    </row>
    <row r="2212" spans="1:9">
      <c r="A2212" s="3" t="s">
        <v>6</v>
      </c>
      <c r="B2212" s="3" t="s">
        <v>9199</v>
      </c>
      <c r="C2212" s="3" t="s">
        <v>9200</v>
      </c>
      <c r="D2212" s="3" t="s">
        <v>9200</v>
      </c>
      <c r="E2212" s="3" t="s">
        <v>9201</v>
      </c>
      <c r="F2212" s="3" t="s">
        <v>9202</v>
      </c>
      <c r="G2212" s="3" t="str">
        <f ca="1">IFERROR(__xludf.DUMMYFUNCTION("googletranslate(D2212,""en"",""ja"")"),"グリセロール")</f>
        <v>グリセロール</v>
      </c>
      <c r="H2212" s="3" t="str">
        <f ca="1">IFERROR(__xludf.DUMMYFUNCTION("googletranslate(E2212,""en"",""ja"")"),"検体中の総グリセロールの測定。")</f>
        <v>検体中の総グリセロールの測定。</v>
      </c>
      <c r="I2212" s="3" t="str">
        <f ca="1">IFERROR(__xludf.DUMMYFUNCTION("googletranslate(F2212,""en"",""ja"")"),"グリセロール測定")</f>
        <v>グリセロール測定</v>
      </c>
    </row>
    <row r="2213" spans="1:9" ht="30">
      <c r="A2213" s="3" t="s">
        <v>6</v>
      </c>
      <c r="B2213" s="3" t="s">
        <v>9203</v>
      </c>
      <c r="C2213" s="3" t="s">
        <v>9204</v>
      </c>
      <c r="D2213" s="3" t="s">
        <v>9205</v>
      </c>
      <c r="E2213" s="3" t="s">
        <v>9206</v>
      </c>
      <c r="F2213" s="3" t="s">
        <v>9207</v>
      </c>
      <c r="G2213" s="3" t="str">
        <f ca="1">IFERROR(__xludf.DUMMYFUNCTION("googletranslate(D2213,""en"",""ja"")"),"無料のグリセリン。遊離グリセロール")</f>
        <v>無料のグリセリン。遊離グリセロール</v>
      </c>
      <c r="H2213" s="3" t="str">
        <f ca="1">IFERROR(__xludf.DUMMYFUNCTION("googletranslate(E2213,""en"",""ja"")"),"生物学的標本中の未結合グリセロールの量の測定。")</f>
        <v>生物学的標本中の未結合グリセロールの量の測定。</v>
      </c>
      <c r="I2213" s="3" t="str">
        <f ca="1">IFERROR(__xludf.DUMMYFUNCTION("googletranslate(F2213,""en"",""ja"")"),"無料のグリセロール測定")</f>
        <v>無料のグリセロール測定</v>
      </c>
    </row>
    <row r="2214" spans="1:9" ht="45">
      <c r="A2214" s="3" t="s">
        <v>6</v>
      </c>
      <c r="B2214" s="3" t="s">
        <v>9208</v>
      </c>
      <c r="C2214" s="3" t="s">
        <v>9209</v>
      </c>
      <c r="D2214" s="3" t="s">
        <v>9210</v>
      </c>
      <c r="E2214" s="3" t="s">
        <v>9211</v>
      </c>
      <c r="F2214" s="3" t="s">
        <v>9212</v>
      </c>
      <c r="G2214" s="3" t="str">
        <f ca="1">IFERROR(__xludf.DUMMYFUNCTION("googletranslate(D2214,""en"",""ja"")"),"ガングリオシドGM3;モノシアロジヘキソシルガングリオシド")</f>
        <v>ガングリオシドGM3;モノシアロジヘキソシルガングリオシド</v>
      </c>
      <c r="H2214" s="3" t="str">
        <f ca="1">IFERROR(__xludf.DUMMYFUNCTION("googletranslate(E2214,""en"",""ja"")"),"生物学的標本中のガングリオシド GM3 の測定。")</f>
        <v>生物学的標本中のガングリオシド GM3 の測定。</v>
      </c>
      <c r="I2214" s="3" t="str">
        <f ca="1">IFERROR(__xludf.DUMMYFUNCTION("googletranslate(F2214,""en"",""ja"")"),"ガングリオシドGM3の測定")</f>
        <v>ガングリオシドGM3の測定</v>
      </c>
    </row>
    <row r="2215" spans="1:9" ht="30">
      <c r="A2215" s="3" t="s">
        <v>6</v>
      </c>
      <c r="B2215" s="3" t="s">
        <v>9213</v>
      </c>
      <c r="C2215" s="3" t="s">
        <v>9214</v>
      </c>
      <c r="D2215" s="3" t="s">
        <v>9214</v>
      </c>
      <c r="E2215" s="3" t="s">
        <v>9215</v>
      </c>
      <c r="F2215" s="3" t="s">
        <v>9216</v>
      </c>
      <c r="G2215" s="3" t="str">
        <f ca="1">IFERROR(__xludf.DUMMYFUNCTION("googletranslate(D2215,""en"",""ja"")"),"顆粒球マクロファージコロニーStm因子")</f>
        <v>顆粒球マクロファージコロニーStm因子</v>
      </c>
      <c r="H2215" s="3" t="str">
        <f ca="1">IFERROR(__xludf.DUMMYFUNCTION("googletranslate(E2215,""en"",""ja"")"),"生物学的標本中の顆粒球マクロファージコロニー刺激因子の測定。")</f>
        <v>生物学的標本中の顆粒球マクロファージコロニー刺激因子の測定。</v>
      </c>
      <c r="I2215" s="3" t="str">
        <f ca="1">IFERROR(__xludf.DUMMYFUNCTION("googletranslate(F2215,""en"",""ja"")"),"顆粒球マクロファージコロニーStm因子測定")</f>
        <v>顆粒球マクロファージコロニーStm因子測定</v>
      </c>
    </row>
    <row r="2216" spans="1:9" ht="75">
      <c r="A2216" s="3" t="s">
        <v>6</v>
      </c>
      <c r="B2216" s="3" t="s">
        <v>9217</v>
      </c>
      <c r="C2216" s="3" t="s">
        <v>9218</v>
      </c>
      <c r="D2216" s="3" t="s">
        <v>9218</v>
      </c>
      <c r="E2216" s="3" t="s">
        <v>9219</v>
      </c>
      <c r="F2216" s="3" t="s">
        <v>9218</v>
      </c>
      <c r="G2216" s="3" t="str">
        <f ca="1">IFERROR(__xludf.DUMMYFUNCTION("googletranslate(D2216,""en"",""ja"")"),"グルコース管理インジケーター")</f>
        <v>グルコース管理インジケーター</v>
      </c>
      <c r="H2216" s="3" t="str">
        <f ca="1">IFERROR(__xludf.DUMMYFUNCTION("googletranslate(E2216,""en"",""ja"")"),"連続グルコースモニタリングにより少なくとも 10 日間にわたって測定された平均グルコースに基づく、個人の予想されるヘモグロビン A1c/ヘモグロビン レベルのおおよその測定値 (% または mmol/mol で表されます)。")</f>
        <v>連続グルコースモニタリングにより少なくとも 10 日間にわたって測定された平均グルコースに基づく、個人の予想されるヘモグロビン A1c/ヘモグロビン レベルのおおよその測定値 (% または mmol/mol で表されます)。</v>
      </c>
      <c r="I2216" s="3" t="str">
        <f ca="1">IFERROR(__xludf.DUMMYFUNCTION("googletranslate(F2216,""en"",""ja"")"),"グルコース管理インジケーター")</f>
        <v>グルコース管理インジケーター</v>
      </c>
    </row>
    <row r="2217" spans="1:9" ht="30">
      <c r="A2217" s="3" t="s">
        <v>67</v>
      </c>
      <c r="B2217" s="3" t="s">
        <v>9220</v>
      </c>
      <c r="C2217" s="3" t="s">
        <v>9221</v>
      </c>
      <c r="D2217" s="3" t="s">
        <v>9221</v>
      </c>
      <c r="E2217" s="3" t="s">
        <v>9222</v>
      </c>
      <c r="F2217" s="3" t="s">
        <v>9223</v>
      </c>
      <c r="G2217" s="3" t="str">
        <f ca="1">IFERROR(__xludf.DUMMYFUNCTION("googletranslate(D2217,""en"",""ja"")"),"グラム陰性菌")</f>
        <v>グラム陰性菌</v>
      </c>
      <c r="H2217" s="3" t="str">
        <f ca="1">IFERROR(__xludf.DUMMYFUNCTION("googletranslate(E2217,""en"",""ja"")"),"生物学的標本中のグラム陰性菌の測定。")</f>
        <v>生物学的標本中のグラム陰性菌の測定。</v>
      </c>
      <c r="I2217" s="3" t="str">
        <f ca="1">IFERROR(__xludf.DUMMYFUNCTION("googletranslate(F2217,""en"",""ja"")"),"グラム陰性菌の測定")</f>
        <v>グラム陰性菌の測定</v>
      </c>
    </row>
    <row r="2218" spans="1:9" ht="30">
      <c r="A2218" s="3" t="s">
        <v>67</v>
      </c>
      <c r="B2218" s="3" t="s">
        <v>9224</v>
      </c>
      <c r="C2218" s="3" t="s">
        <v>9225</v>
      </c>
      <c r="D2218" s="3" t="s">
        <v>9225</v>
      </c>
      <c r="E2218" s="3" t="s">
        <v>9226</v>
      </c>
      <c r="F2218" s="3" t="s">
        <v>9227</v>
      </c>
      <c r="G2218" s="3" t="str">
        <f ca="1">IFERROR(__xludf.DUMMYFUNCTION("googletranslate(D2218,""en"",""ja"")"),"グラム陰性球菌")</f>
        <v>グラム陰性球菌</v>
      </c>
      <c r="H2218" s="3" t="str">
        <f ca="1">IFERROR(__xludf.DUMMYFUNCTION("googletranslate(E2218,""en"",""ja"")"),"生物学的標本中のグラム陰性球菌の形をした細菌の測定。")</f>
        <v>生物学的標本中のグラム陰性球菌の形をした細菌の測定。</v>
      </c>
      <c r="I2218" s="3" t="str">
        <f ca="1">IFERROR(__xludf.DUMMYFUNCTION("googletranslate(F2218,""en"",""ja"")"),"グラム陰性球菌の測定")</f>
        <v>グラム陰性球菌の測定</v>
      </c>
    </row>
    <row r="2219" spans="1:9" ht="30">
      <c r="A2219" s="3" t="s">
        <v>67</v>
      </c>
      <c r="B2219" s="3" t="s">
        <v>9228</v>
      </c>
      <c r="C2219" s="3" t="s">
        <v>9229</v>
      </c>
      <c r="D2219" s="3" t="s">
        <v>9229</v>
      </c>
      <c r="E2219" s="3" t="s">
        <v>9230</v>
      </c>
      <c r="F2219" s="3" t="s">
        <v>9231</v>
      </c>
      <c r="G2219" s="3" t="str">
        <f ca="1">IFERROR(__xludf.DUMMYFUNCTION("googletranslate(D2219,""en"",""ja"")"),"グラム陽性菌")</f>
        <v>グラム陽性菌</v>
      </c>
      <c r="H2219" s="3" t="str">
        <f ca="1">IFERROR(__xludf.DUMMYFUNCTION("googletranslate(E2219,""en"",""ja"")"),"生物学的標本中のグラム陽性菌の測定。")</f>
        <v>生物学的標本中のグラム陽性菌の測定。</v>
      </c>
      <c r="I2219" s="3" t="str">
        <f ca="1">IFERROR(__xludf.DUMMYFUNCTION("googletranslate(F2219,""en"",""ja"")"),"グラム陽性菌の測定")</f>
        <v>グラム陽性菌の測定</v>
      </c>
    </row>
    <row r="2220" spans="1:9" ht="45">
      <c r="A2220" s="3" t="s">
        <v>6</v>
      </c>
      <c r="B2220" s="3" t="s">
        <v>9232</v>
      </c>
      <c r="C2220" s="3" t="s">
        <v>9233</v>
      </c>
      <c r="D2220" s="3" t="s">
        <v>9234</v>
      </c>
      <c r="E2220" s="3" t="s">
        <v>9235</v>
      </c>
      <c r="F2220" s="3" t="s">
        <v>9236</v>
      </c>
      <c r="G2220" s="3" t="str">
        <f ca="1">IFERROR(__xludf.DUMMYFUNCTION("googletranslate(D2220,""en"",""ja"")"),"ゴナドトロピン放出ホルモン;黄体形成ホルモン 放出ホルモン")</f>
        <v>ゴナドトロピン放出ホルモン;黄体形成ホルモン 放出ホルモン</v>
      </c>
      <c r="H2220" s="3" t="str">
        <f ca="1">IFERROR(__xludf.DUMMYFUNCTION("googletranslate(E2220,""en"",""ja"")"),"生物学的標本中のゴナドトロピン放出ホルモンの測定。")</f>
        <v>生物学的標本中のゴナドトロピン放出ホルモンの測定。</v>
      </c>
      <c r="I2220" s="3" t="str">
        <f ca="1">IFERROR(__xludf.DUMMYFUNCTION("googletranslate(F2220,""en"",""ja"")"),"性腺刺激ホルモン放出ホルモンの測定")</f>
        <v>性腺刺激ホルモン放出ホルモンの測定</v>
      </c>
    </row>
    <row r="2221" spans="1:9">
      <c r="A2221" s="3" t="s">
        <v>6</v>
      </c>
      <c r="B2221" s="3" t="s">
        <v>9237</v>
      </c>
      <c r="C2221" s="3" t="s">
        <v>9238</v>
      </c>
      <c r="D2221" s="3" t="s">
        <v>9238</v>
      </c>
      <c r="E2221" s="3" t="s">
        <v>9239</v>
      </c>
      <c r="F2221" s="3" t="s">
        <v>9240</v>
      </c>
      <c r="G2221" s="3" t="str">
        <f ca="1">IFERROR(__xludf.DUMMYFUNCTION("googletranslate(D2221,""en"",""ja"")"),"金")</f>
        <v>金</v>
      </c>
      <c r="H2221" s="3" t="str">
        <f ca="1">IFERROR(__xludf.DUMMYFUNCTION("googletranslate(E2221,""en"",""ja"")"),"生物学的標本中の金の測定。")</f>
        <v>生物学的標本中の金の測定。</v>
      </c>
      <c r="I2221" s="3" t="str">
        <f ca="1">IFERROR(__xludf.DUMMYFUNCTION("googletranslate(F2221,""en"",""ja"")"),"金の測定")</f>
        <v>金の測定</v>
      </c>
    </row>
    <row r="2222" spans="1:9" ht="30">
      <c r="A2222" s="3" t="s">
        <v>6</v>
      </c>
      <c r="B2222" s="3" t="s">
        <v>9241</v>
      </c>
      <c r="C2222" s="3" t="s">
        <v>9242</v>
      </c>
      <c r="D2222" s="3" t="s">
        <v>9242</v>
      </c>
      <c r="E2222" s="3" t="s">
        <v>9243</v>
      </c>
      <c r="F2222" s="3" t="s">
        <v>9244</v>
      </c>
      <c r="G2222" s="3" t="str">
        <f ca="1">IFERROR(__xludf.DUMMYFUNCTION("googletranslate(D2222,""en"",""ja"")"),"グリコーゲンホスホリラーゼアイソザイムBB")</f>
        <v>グリコーゲンホスホリラーゼアイソザイムBB</v>
      </c>
      <c r="H2222" s="3" t="str">
        <f ca="1">IFERROR(__xludf.DUMMYFUNCTION("googletranslate(E2222,""en"",""ja"")"),"生物学的標本中のグリコーゲンホスホリラーゼアイソザイム BB の測定。")</f>
        <v>生物学的標本中のグリコーゲンホスホリラーゼアイソザイム BB の測定。</v>
      </c>
      <c r="I2222" s="3" t="str">
        <f ca="1">IFERROR(__xludf.DUMMYFUNCTION("googletranslate(F2222,""en"",""ja"")"),"グリコーゲンホスホリラーゼアイソザイムBB測定")</f>
        <v>グリコーゲンホスホリラーゼアイソザイムBB測定</v>
      </c>
    </row>
    <row r="2223" spans="1:9" ht="30">
      <c r="A2223" s="3" t="s">
        <v>159</v>
      </c>
      <c r="B2223" s="3" t="s">
        <v>9245</v>
      </c>
      <c r="C2223" s="3" t="s">
        <v>9246</v>
      </c>
      <c r="D2223" s="3" t="s">
        <v>9247</v>
      </c>
      <c r="E2223" s="3" t="s">
        <v>9248</v>
      </c>
      <c r="F2223" s="3" t="s">
        <v>9249</v>
      </c>
      <c r="G2223" s="3" t="str">
        <f ca="1">IFERROR(__xludf.DUMMYFUNCTION("googletranslate(D2223,""en"",""ja"")"),"グリセロホスホリルコリン + ホスホリルコリン; GPC+PCh")</f>
        <v>グリセロホスホリルコリン + ホスホリルコリン; GPC+PCh</v>
      </c>
      <c r="H2223" s="3" t="str">
        <f ca="1">IFERROR(__xludf.DUMMYFUNCTION("googletranslate(E2223,""en"",""ja"")"),"生物学的標本中のグリセロホスホリルコリン (GPC) とホスホリルコリン (PC) の測定。")</f>
        <v>生物学的標本中のグリセロホスホリルコリン (GPC) とホスホリルコリン (PC) の測定。</v>
      </c>
      <c r="I2223" s="3" t="str">
        <f ca="1">IFERROR(__xludf.DUMMYFUNCTION("googletranslate(F2223,""en"",""ja"")"),"グリセロホスホリルコリンおよびホスホリルコリンの測定")</f>
        <v>グリセロホスホリルコリンおよびホスホリルコリンの測定</v>
      </c>
    </row>
    <row r="2224" spans="1:9" ht="30">
      <c r="A2224" s="3" t="s">
        <v>6</v>
      </c>
      <c r="B2224" s="3" t="s">
        <v>9250</v>
      </c>
      <c r="C2224" s="3" t="s">
        <v>9251</v>
      </c>
      <c r="D2224" s="3" t="s">
        <v>9252</v>
      </c>
      <c r="E2224" s="3" t="s">
        <v>9253</v>
      </c>
      <c r="F2224" s="3" t="s">
        <v>9254</v>
      </c>
      <c r="G2224" s="3" t="str">
        <f ca="1">IFERROR(__xludf.DUMMYFUNCTION("googletranslate(D2224,""en"",""ja"")"),"グリシルプロリンジペプチジルアミノペプチダーゼ; GPDA")</f>
        <v>グリシルプロリンジペプチジルアミノペプチダーゼ; GPDA</v>
      </c>
      <c r="H2224" s="3" t="str">
        <f ca="1">IFERROR(__xludf.DUMMYFUNCTION("googletranslate(E2224,""en"",""ja"")"),"生物学的標本中のグリシルプロリン ジペプチジル アミノペプチダーゼの測定。")</f>
        <v>生物学的標本中のグリシルプロリン ジペプチジル アミノペプチダーゼの測定。</v>
      </c>
      <c r="I2224" s="3" t="str">
        <f ca="1">IFERROR(__xludf.DUMMYFUNCTION("googletranslate(F2224,""en"",""ja"")"),"グリシルプロリンジペプチジルアミノペプチダーゼの測定")</f>
        <v>グリシルプロリンジペプチジルアミノペプチダーゼの測定</v>
      </c>
    </row>
    <row r="2225" spans="1:9" ht="45">
      <c r="A2225" s="3" t="s">
        <v>503</v>
      </c>
      <c r="B2225" s="3" t="s">
        <v>9255</v>
      </c>
      <c r="C2225" s="3" t="s">
        <v>9256</v>
      </c>
      <c r="D2225" s="3" t="s">
        <v>9257</v>
      </c>
      <c r="E2225" s="3" t="s">
        <v>9258</v>
      </c>
      <c r="F2225" s="3" t="s">
        <v>9259</v>
      </c>
      <c r="G2225" s="3" t="str">
        <f ca="1">IFERROR(__xludf.DUMMYFUNCTION("googletranslate(D2225,""en"",""ja"")"),"潜在的な疾患への曝露の GPS 座標。病気にさらされた可能性のある場所の GPS 座標")</f>
        <v>潜在的な疾患への曝露の GPS 座標。病気にさらされた可能性のある場所の GPS 座標</v>
      </c>
      <c r="H2225" s="3" t="str">
        <f ca="1">IFERROR(__xludf.DUMMYFUNCTION("googletranslate(E2225,""en"",""ja"")"),"全地球測位システム (GPS) は、個人が病気にさらされた可能性のある場所を座標します。")</f>
        <v>全地球測位システム (GPS) は、個人が病気にさらされた可能性のある場所を座標します。</v>
      </c>
      <c r="I2225" s="3" t="str">
        <f ca="1">IFERROR(__xludf.DUMMYFUNCTION("googletranslate(F2225,""en"",""ja"")"),"病気にさらされた可能性のある場所の GPS 座標")</f>
        <v>病気にさらされた可能性のある場所の GPS 座標</v>
      </c>
    </row>
    <row r="2226" spans="1:9" ht="30">
      <c r="A2226" s="3" t="s">
        <v>159</v>
      </c>
      <c r="B2226" s="3" t="s">
        <v>9260</v>
      </c>
      <c r="C2226" s="3" t="s">
        <v>9261</v>
      </c>
      <c r="D2226" s="3" t="s">
        <v>9261</v>
      </c>
      <c r="E2226" s="3" t="s">
        <v>9262</v>
      </c>
      <c r="F2226" s="3" t="s">
        <v>9263</v>
      </c>
      <c r="G2226" s="3" t="str">
        <f ca="1">IFERROR(__xludf.DUMMYFUNCTION("googletranslate(D2226,""en"",""ja"")"),"グラフェスジア")</f>
        <v>グラフェスジア</v>
      </c>
      <c r="H2226" s="3" t="str">
        <f ca="1">IFERROR(__xludf.DUMMYFUNCTION("googletranslate(E2226,""en"",""ja"")"),"グラフィステジア (皮膚上をなぞったときに記号を認識する能力) の評価。")</f>
        <v>グラフィステジア (皮膚上をなぞったときに記号を認識する能力) の評価。</v>
      </c>
      <c r="I2226" s="3" t="str">
        <f ca="1">IFERROR(__xludf.DUMMYFUNCTION("googletranslate(F2226,""en"",""ja"")"),"グラフィステジアの評価")</f>
        <v>グラフィステジアの評価</v>
      </c>
    </row>
    <row r="2227" spans="1:9" ht="30">
      <c r="A2227" s="3" t="s">
        <v>103</v>
      </c>
      <c r="B2227" s="3" t="s">
        <v>9264</v>
      </c>
      <c r="C2227" s="3" t="s">
        <v>9265</v>
      </c>
      <c r="D2227" s="3" t="s">
        <v>9266</v>
      </c>
      <c r="E2227" s="3" t="s">
        <v>9267</v>
      </c>
      <c r="F2227" s="3" t="s">
        <v>9268</v>
      </c>
      <c r="G2227" s="3" t="str">
        <f ca="1">IFERROR(__xludf.DUMMYFUNCTION("googletranslate(D2227,""en"",""ja"")"),"顆粒球;多形核白血球")</f>
        <v>顆粒球;多形核白血球</v>
      </c>
      <c r="H2227" s="3" t="str">
        <f ca="1">IFERROR(__xludf.DUMMYFUNCTION("googletranslate(E2227,""en"",""ja"")"),"生物学的標本中の顆粒球の測定。")</f>
        <v>生物学的標本中の顆粒球の測定。</v>
      </c>
      <c r="I2227" s="3" t="str">
        <f ca="1">IFERROR(__xludf.DUMMYFUNCTION("googletranslate(F2227,""en"",""ja"")"),"顆粒球数")</f>
        <v>顆粒球数</v>
      </c>
    </row>
    <row r="2228" spans="1:9" ht="30">
      <c r="A2228" s="3" t="s">
        <v>6</v>
      </c>
      <c r="B2228" s="3" t="s">
        <v>9264</v>
      </c>
      <c r="C2228" s="3" t="s">
        <v>9265</v>
      </c>
      <c r="D2228" s="3" t="s">
        <v>9266</v>
      </c>
      <c r="E2228" s="3" t="s">
        <v>9267</v>
      </c>
      <c r="F2228" s="3" t="s">
        <v>9268</v>
      </c>
      <c r="G2228" s="3" t="str">
        <f ca="1">IFERROR(__xludf.DUMMYFUNCTION("googletranslate(D2228,""en"",""ja"")"),"顆粒球;多形核白血球")</f>
        <v>顆粒球;多形核白血球</v>
      </c>
      <c r="H2228" s="3" t="str">
        <f ca="1">IFERROR(__xludf.DUMMYFUNCTION("googletranslate(E2228,""en"",""ja"")"),"生物学的標本中の顆粒球の測定。")</f>
        <v>生物学的標本中の顆粒球の測定。</v>
      </c>
      <c r="I2228" s="3" t="str">
        <f ca="1">IFERROR(__xludf.DUMMYFUNCTION("googletranslate(F2228,""en"",""ja"")"),"顆粒球数")</f>
        <v>顆粒球数</v>
      </c>
    </row>
    <row r="2229" spans="1:9" ht="30">
      <c r="A2229" s="3" t="s">
        <v>6</v>
      </c>
      <c r="B2229" s="3" t="s">
        <v>9269</v>
      </c>
      <c r="C2229" s="3" t="s">
        <v>9270</v>
      </c>
      <c r="D2229" s="3" t="s">
        <v>9271</v>
      </c>
      <c r="E2229" s="3" t="s">
        <v>9272</v>
      </c>
      <c r="F2229" s="3" t="s">
        <v>9273</v>
      </c>
      <c r="G2229" s="3" t="str">
        <f ca="1">IFERROR(__xludf.DUMMYFUNCTION("googletranslate(D2229,""en"",""ja"")"),"縞模様の顆粒球。顆粒球のバンド形態")</f>
        <v>縞模様の顆粒球。顆粒球のバンド形態</v>
      </c>
      <c r="H2229" s="3" t="str">
        <f ca="1">IFERROR(__xludf.DUMMYFUNCTION("googletranslate(E2229,""en"",""ja"")"),"生物学的標本中のバンド状顆粒球の測定。")</f>
        <v>生物学的標本中のバンド状顆粒球の測定。</v>
      </c>
      <c r="I2229" s="3" t="str">
        <f ca="1">IFERROR(__xludf.DUMMYFUNCTION("googletranslate(F2229,""en"",""ja"")"),"顆粒球バンドフォーム数")</f>
        <v>顆粒球バンドフォーム数</v>
      </c>
    </row>
    <row r="2230" spans="1:9" ht="30">
      <c r="A2230" s="3" t="s">
        <v>6</v>
      </c>
      <c r="B2230" s="3" t="s">
        <v>9274</v>
      </c>
      <c r="C2230" s="3" t="s">
        <v>9275</v>
      </c>
      <c r="D2230" s="3" t="s">
        <v>9275</v>
      </c>
      <c r="E2230" s="3" t="s">
        <v>9276</v>
      </c>
      <c r="F2230" s="3" t="s">
        <v>9277</v>
      </c>
      <c r="G2230" s="3" t="str">
        <f ca="1">IFERROR(__xludf.DUMMYFUNCTION("googletranslate(D2230,""en"",""ja"")"),"顆粒球バンド形態/細胞総数")</f>
        <v>顆粒球バンド形態/細胞総数</v>
      </c>
      <c r="H2230" s="3" t="str">
        <f ca="1">IFERROR(__xludf.DUMMYFUNCTION("googletranslate(E2230,""en"",""ja"")"),"生物学的標本の全細胞に対するバンド状顆粒球の相対測定値 (比率またはパーセンテージ)。")</f>
        <v>生物学的標本の全細胞に対するバンド状顆粒球の相対測定値 (比率またはパーセンテージ)。</v>
      </c>
      <c r="I2230" s="3" t="str">
        <f ca="1">IFERROR(__xludf.DUMMYFUNCTION("googletranslate(F2230,""en"",""ja"")"),"バンドフォーム顆粒球対全細胞比の測定")</f>
        <v>バンドフォーム顆粒球対全細胞比の測定</v>
      </c>
    </row>
    <row r="2231" spans="1:9" ht="45">
      <c r="A2231" s="3" t="s">
        <v>6</v>
      </c>
      <c r="B2231" s="3" t="s">
        <v>9278</v>
      </c>
      <c r="C2231" s="3" t="s">
        <v>9279</v>
      </c>
      <c r="D2231" s="3" t="s">
        <v>9279</v>
      </c>
      <c r="E2231" s="3" t="s">
        <v>9280</v>
      </c>
      <c r="F2231" s="3" t="s">
        <v>9281</v>
      </c>
      <c r="G2231" s="3" t="str">
        <f ca="1">IFERROR(__xludf.DUMMYFUNCTION("googletranslate(D2231,""en"",""ja"")"),"顆粒球/全細胞数")</f>
        <v>顆粒球/全細胞数</v>
      </c>
      <c r="H2231" s="3" t="str">
        <f ca="1">IFERROR(__xludf.DUMMYFUNCTION("googletranslate(E2231,""en"",""ja"")"),"生物学的標本 (骨髄標本など) の全細胞に対する顆粒球の相対測定値 (比率またはパーセンテージ)。")</f>
        <v>生物学的標本 (骨髄標本など) の全細胞に対する顆粒球の相対測定値 (比率またはパーセンテージ)。</v>
      </c>
      <c r="I2231" s="3" t="str">
        <f ca="1">IFERROR(__xludf.DUMMYFUNCTION("googletranslate(F2231,""en"",""ja"")"),"顆粒球対総細胞比の測定")</f>
        <v>顆粒球対総細胞比の測定</v>
      </c>
    </row>
    <row r="2232" spans="1:9" ht="30">
      <c r="A2232" s="3" t="s">
        <v>6</v>
      </c>
      <c r="B2232" s="3" t="s">
        <v>9282</v>
      </c>
      <c r="C2232" s="3" t="s">
        <v>9283</v>
      </c>
      <c r="D2232" s="3" t="s">
        <v>9283</v>
      </c>
      <c r="E2232" s="3" t="s">
        <v>9284</v>
      </c>
      <c r="F2232" s="3" t="s">
        <v>9285</v>
      </c>
      <c r="G2232" s="3" t="str">
        <f ca="1">IFERROR(__xludf.DUMMYFUNCTION("googletranslate(D2232,""en"",""ja"")"),"未熟顆粒球")</f>
        <v>未熟顆粒球</v>
      </c>
      <c r="H2232" s="3" t="str">
        <f ca="1">IFERROR(__xludf.DUMMYFUNCTION("googletranslate(E2232,""en"",""ja"")"),"生物学的標本中の未熟顆粒球の総数の測定。")</f>
        <v>生物学的標本中の未熟顆粒球の総数の測定。</v>
      </c>
      <c r="I2232" s="3" t="str">
        <f ca="1">IFERROR(__xludf.DUMMYFUNCTION("googletranslate(F2232,""en"",""ja"")"),"未熟顆粒球数")</f>
        <v>未熟顆粒球数</v>
      </c>
    </row>
    <row r="2233" spans="1:9" ht="45">
      <c r="A2233" s="3" t="s">
        <v>6</v>
      </c>
      <c r="B2233" s="3" t="s">
        <v>9286</v>
      </c>
      <c r="C2233" s="3" t="s">
        <v>9287</v>
      </c>
      <c r="D2233" s="3" t="s">
        <v>9287</v>
      </c>
      <c r="E2233" s="3" t="s">
        <v>9288</v>
      </c>
      <c r="F2233" s="3" t="s">
        <v>9289</v>
      </c>
      <c r="G2233" s="3" t="str">
        <f ca="1">IFERROR(__xludf.DUMMYFUNCTION("googletranslate(D2233,""en"",""ja"")"),"未熟顆粒球/白血球")</f>
        <v>未熟顆粒球/白血球</v>
      </c>
      <c r="H2233" s="3" t="str">
        <f ca="1">IFERROR(__xludf.DUMMYFUNCTION("googletranslate(E2233,""en"",""ja"")"),"生物学的標本 (骨髄標本など) における白血球に対する未熟顆粒球の相対測定値 (比率またはパーセンテージ)。")</f>
        <v>生物学的標本 (骨髄標本など) における白血球に対する未熟顆粒球の相対測定値 (比率またはパーセンテージ)。</v>
      </c>
      <c r="I2233" s="3" t="str">
        <f ca="1">IFERROR(__xludf.DUMMYFUNCTION("googletranslate(F2233,""en"",""ja"")"),"未熟顆粒球と白血球の比率の測定")</f>
        <v>未熟顆粒球と白血球の比率の測定</v>
      </c>
    </row>
    <row r="2234" spans="1:9" ht="60">
      <c r="A2234" s="3" t="s">
        <v>103</v>
      </c>
      <c r="B2234" s="3" t="s">
        <v>9290</v>
      </c>
      <c r="C2234" s="3" t="s">
        <v>9291</v>
      </c>
      <c r="D2234" s="3" t="s">
        <v>9292</v>
      </c>
      <c r="E2234" s="3" t="s">
        <v>9293</v>
      </c>
      <c r="F2234" s="3" t="s">
        <v>9294</v>
      </c>
      <c r="G2234" s="3" t="str">
        <f ca="1">IFERROR(__xludf.DUMMYFUNCTION("googletranslate(D2234,""en"",""ja"")"),"グラン/レウク。顆粒球/白血球;多形核白血球/白血球")</f>
        <v>グラン/レウク。顆粒球/白血球;多形核白血球/白血球</v>
      </c>
      <c r="H2234" s="3" t="str">
        <f ca="1">IFERROR(__xludf.DUMMYFUNCTION("googletranslate(E2234,""en"",""ja"")"),"生物学的標本中の総白血球に対する顆粒球の相対測定値 (比率またはパーセンテージ)。")</f>
        <v>生物学的標本中の総白血球に対する顆粒球の相対測定値 (比率またはパーセンテージ)。</v>
      </c>
      <c r="I2234" s="3" t="str">
        <f ca="1">IFERROR(__xludf.DUMMYFUNCTION("googletranslate(F2234,""en"",""ja"")"),"顆粒球と白血球の比率の測定")</f>
        <v>顆粒球と白血球の比率の測定</v>
      </c>
    </row>
    <row r="2235" spans="1:9" ht="60">
      <c r="A2235" s="3" t="s">
        <v>6</v>
      </c>
      <c r="B2235" s="3" t="s">
        <v>9290</v>
      </c>
      <c r="C2235" s="3" t="s">
        <v>9295</v>
      </c>
      <c r="D2235" s="3" t="s">
        <v>9292</v>
      </c>
      <c r="E2235" s="3" t="s">
        <v>9293</v>
      </c>
      <c r="F2235" s="3" t="s">
        <v>9294</v>
      </c>
      <c r="G2235" s="3" t="str">
        <f ca="1">IFERROR(__xludf.DUMMYFUNCTION("googletranslate(D2235,""en"",""ja"")"),"グラン/レウク。顆粒球/白血球;多形核白血球/白血球")</f>
        <v>グラン/レウク。顆粒球/白血球;多形核白血球/白血球</v>
      </c>
      <c r="H2235" s="3" t="str">
        <f ca="1">IFERROR(__xludf.DUMMYFUNCTION("googletranslate(E2235,""en"",""ja"")"),"生物学的標本中の総白血球に対する顆粒球の相対測定値 (比率またはパーセンテージ)。")</f>
        <v>生物学的標本中の総白血球に対する顆粒球の相対測定値 (比率またはパーセンテージ)。</v>
      </c>
      <c r="I2235" s="3" t="str">
        <f ca="1">IFERROR(__xludf.DUMMYFUNCTION("googletranslate(F2235,""en"",""ja"")"),"顆粒球と白血球の比率の測定")</f>
        <v>顆粒球と白血球の比率の測定</v>
      </c>
    </row>
    <row r="2236" spans="1:9" ht="30">
      <c r="A2236" s="3" t="s">
        <v>103</v>
      </c>
      <c r="B2236" s="3" t="s">
        <v>9296</v>
      </c>
      <c r="C2236" s="3" t="s">
        <v>9297</v>
      </c>
      <c r="D2236" s="3" t="s">
        <v>9298</v>
      </c>
      <c r="E2236" s="3" t="s">
        <v>9299</v>
      </c>
      <c r="F2236" s="3" t="s">
        <v>9300</v>
      </c>
      <c r="G2236" s="3" t="str">
        <f ca="1">IFERROR(__xludf.DUMMYFUNCTION("googletranslate(D2236,""en"",""ja"")"),"顆粒球サブ;顆粒球サブ集団")</f>
        <v>顆粒球サブ;顆粒球サブ集団</v>
      </c>
      <c r="H2236" s="3" t="str">
        <f ca="1">IFERROR(__xludf.DUMMYFUNCTION("googletranslate(E2236,""en"",""ja"")"),"生物学的標本中の顆粒球の部分集団の測定。")</f>
        <v>生物学的標本中の顆粒球の部分集団の測定。</v>
      </c>
      <c r="I2236" s="3" t="str">
        <f ca="1">IFERROR(__xludf.DUMMYFUNCTION("googletranslate(F2236,""en"",""ja"")"),"顆粒球部分集団数")</f>
        <v>顆粒球部分集団数</v>
      </c>
    </row>
    <row r="2237" spans="1:9" ht="30">
      <c r="A2237" s="3" t="s">
        <v>6</v>
      </c>
      <c r="B2237" s="3" t="s">
        <v>9301</v>
      </c>
      <c r="C2237" s="3" t="s">
        <v>9302</v>
      </c>
      <c r="D2237" s="3" t="s">
        <v>9302</v>
      </c>
      <c r="E2237" s="3" t="s">
        <v>9303</v>
      </c>
      <c r="F2237" s="3" t="s">
        <v>9304</v>
      </c>
      <c r="G2237" s="3" t="str">
        <f ca="1">IFERROR(__xludf.DUMMYFUNCTION("googletranslate(D2237,""en"",""ja"")"),"セグメント化された顆粒球")</f>
        <v>セグメント化された顆粒球</v>
      </c>
      <c r="H2237" s="3" t="str">
        <f ca="1">IFERROR(__xludf.DUMMYFUNCTION("googletranslate(E2237,""en"",""ja"")"),"生物学的標本中のセグメント化された顆粒球の測定。")</f>
        <v>生物学的標本中のセグメント化された顆粒球の測定。</v>
      </c>
      <c r="I2237" s="3" t="str">
        <f ca="1">IFERROR(__xludf.DUMMYFUNCTION("googletranslate(F2237,""en"",""ja"")"),"セグメント化された顆粒球数")</f>
        <v>セグメント化された顆粒球数</v>
      </c>
    </row>
    <row r="2238" spans="1:9" ht="45">
      <c r="A2238" s="3" t="s">
        <v>6</v>
      </c>
      <c r="B2238" s="3" t="s">
        <v>9305</v>
      </c>
      <c r="C2238" s="3" t="s">
        <v>9306</v>
      </c>
      <c r="D2238" s="3" t="s">
        <v>9307</v>
      </c>
      <c r="E2238" s="3" t="s">
        <v>9308</v>
      </c>
      <c r="F2238" s="3" t="s">
        <v>9309</v>
      </c>
      <c r="G2238" s="3" t="str">
        <f ca="1">IFERROR(__xludf.DUMMYFUNCTION("googletranslate(D2238,""en"",""ja"")"),"セグメント化された顆粒球/全細胞。セグメント化された顆粒球/全細胞")</f>
        <v>セグメント化された顆粒球/全細胞。セグメント化された顆粒球/全細胞</v>
      </c>
      <c r="H2238" s="3" t="str">
        <f ca="1">IFERROR(__xludf.DUMMYFUNCTION("googletranslate(E2238,""en"",""ja"")"),"生物学的標本の全細胞に対するセグメント化された顆粒球の相対的な測定値 (比率またはパーセンテージ)。")</f>
        <v>生物学的標本の全細胞に対するセグメント化された顆粒球の相対的な測定値 (比率またはパーセンテージ)。</v>
      </c>
      <c r="I2238" s="3" t="str">
        <f ca="1">IFERROR(__xludf.DUMMYFUNCTION("googletranslate(F2238,""en"",""ja"")"),"セグメント化された顆粒球対総細胞比の測定")</f>
        <v>セグメント化された顆粒球対総細胞比の測定</v>
      </c>
    </row>
    <row r="2239" spans="1:9" ht="45">
      <c r="A2239" s="3" t="s">
        <v>103</v>
      </c>
      <c r="B2239" s="3" t="s">
        <v>9310</v>
      </c>
      <c r="C2239" s="3" t="s">
        <v>9311</v>
      </c>
      <c r="D2239" s="3" t="s">
        <v>9312</v>
      </c>
      <c r="E2239" s="3" t="s">
        <v>9313</v>
      </c>
      <c r="F2239" s="3" t="s">
        <v>9314</v>
      </c>
      <c r="G2239" s="3" t="str">
        <f ca="1">IFERROR(__xludf.DUMMYFUNCTION("googletranslate(D2239,""en"",""ja"")"),"顆粒球部分集団/顆粒球;顆粒球サブ/顆粒球")</f>
        <v>顆粒球部分集団/顆粒球;顆粒球サブ/顆粒球</v>
      </c>
      <c r="H2239" s="3" t="str">
        <f ca="1">IFERROR(__xludf.DUMMYFUNCTION("googletranslate(E2239,""en"",""ja"")"),"生物学的標本中の総顆粒球に対する顆粒球の部分集団の相対的な測定値 (比率またはパーセンテージ)。")</f>
        <v>生物学的標本中の総顆粒球に対する顆粒球の部分集団の相対的な測定値 (比率またはパーセンテージ)。</v>
      </c>
      <c r="I2239" s="3" t="str">
        <f ca="1">IFERROR(__xludf.DUMMYFUNCTION("googletranslate(F2239,""en"",""ja"")"),"顆粒球サブ集団対顆粒球比の測定")</f>
        <v>顆粒球サブ集団対顆粒球比の測定</v>
      </c>
    </row>
    <row r="2240" spans="1:9">
      <c r="A2240" s="3" t="s">
        <v>6</v>
      </c>
      <c r="B2240" s="3" t="s">
        <v>9315</v>
      </c>
      <c r="C2240" s="3" t="s">
        <v>9316</v>
      </c>
      <c r="D2240" s="3" t="s">
        <v>9316</v>
      </c>
      <c r="E2240" s="3" t="s">
        <v>9317</v>
      </c>
      <c r="F2240" s="3" t="s">
        <v>9318</v>
      </c>
      <c r="G2240" s="3" t="str">
        <f ca="1">IFERROR(__xludf.DUMMYFUNCTION("googletranslate(D2240,""en"",""ja"")"),"グラニュリン")</f>
        <v>グラニュリン</v>
      </c>
      <c r="H2240" s="3" t="str">
        <f ca="1">IFERROR(__xludf.DUMMYFUNCTION("googletranslate(E2240,""en"",""ja"")"),"生物学的標本中のグラニュリンの測定。")</f>
        <v>生物学的標本中のグラニュリンの測定。</v>
      </c>
      <c r="I2240" s="3" t="str">
        <f ca="1">IFERROR(__xludf.DUMMYFUNCTION("googletranslate(F2240,""en"",""ja"")"),"グラニュリンの測定")</f>
        <v>グラニュリンの測定</v>
      </c>
    </row>
    <row r="2241" spans="1:9" ht="30">
      <c r="A2241" s="3" t="s">
        <v>142</v>
      </c>
      <c r="B2241" s="3" t="s">
        <v>9319</v>
      </c>
      <c r="C2241" s="3" t="s">
        <v>9320</v>
      </c>
      <c r="D2241" s="3" t="s">
        <v>9321</v>
      </c>
      <c r="E2241" s="3" t="s">
        <v>9322</v>
      </c>
      <c r="F2241" s="3" t="s">
        <v>9323</v>
      </c>
      <c r="G2241" s="3" t="str">
        <f ca="1">IFERROR(__xludf.DUMMYFUNCTION("googletranslate(D2241,""en"",""ja"")"),"妊娠。妊娠インジケーター")</f>
        <v>妊娠。妊娠インジケーター</v>
      </c>
      <c r="H2241" s="3" t="str">
        <f ca="1">IFERROR(__xludf.DUMMYFUNCTION("googletranslate(E2241,""en"",""ja"")"),"対象者が妊娠しているか、または妊娠したことがあるのか​​を示す指標。")</f>
        <v>対象者が妊娠しているか、または妊娠したことがあるのか​​を示す指標。</v>
      </c>
      <c r="I2241" s="3" t="str">
        <f ca="1">IFERROR(__xludf.DUMMYFUNCTION("googletranslate(F2241,""en"",""ja"")"),"妊婦")</f>
        <v>妊婦</v>
      </c>
    </row>
    <row r="2242" spans="1:9" ht="30">
      <c r="A2242" s="3" t="s">
        <v>5519</v>
      </c>
      <c r="B2242" s="3" t="s">
        <v>9324</v>
      </c>
      <c r="C2242" s="3" t="s">
        <v>9325</v>
      </c>
      <c r="D2242" s="3" t="s">
        <v>9325</v>
      </c>
      <c r="E2242" s="3" t="s">
        <v>9326</v>
      </c>
      <c r="F2242" s="3" t="s">
        <v>9325</v>
      </c>
      <c r="G2242" s="3" t="str">
        <f ca="1">IFERROR(__xludf.DUMMYFUNCTION("googletranslate(D2242,""en"",""ja"")"),"移植片病変の特定")</f>
        <v>移植片病変の特定</v>
      </c>
      <c r="H2242" s="3" t="str">
        <f ca="1">IFERROR(__xludf.DUMMYFUNCTION("googletranslate(E2242,""en"",""ja"")"),"病変のある移植片が特定され、特徴付けられたことを示す指標。")</f>
        <v>病変のある移植片が特定され、特徴付けられたことを示す指標。</v>
      </c>
      <c r="I2242" s="3" t="str">
        <f ca="1">IFERROR(__xludf.DUMMYFUNCTION("googletranslate(F2242,""en"",""ja"")"),"移植片病変の特定")</f>
        <v>移植片病変の特定</v>
      </c>
    </row>
    <row r="2243" spans="1:9">
      <c r="A2243" s="3" t="s">
        <v>6</v>
      </c>
      <c r="B2243" s="3" t="s">
        <v>9327</v>
      </c>
      <c r="C2243" s="3" t="s">
        <v>9328</v>
      </c>
      <c r="D2243" s="3" t="s">
        <v>9328</v>
      </c>
      <c r="E2243" s="3" t="s">
        <v>9329</v>
      </c>
      <c r="F2243" s="3" t="s">
        <v>9330</v>
      </c>
      <c r="G2243" s="3" t="str">
        <f ca="1">IFERROR(__xludf.DUMMYFUNCTION("googletranslate(D2243,""en"",""ja"")"),"プログラヌリン")</f>
        <v>プログラヌリン</v>
      </c>
      <c r="H2243" s="3" t="str">
        <f ca="1">IFERROR(__xludf.DUMMYFUNCTION("googletranslate(E2243,""en"",""ja"")"),"生物学的標本中のプログラニュリンの測定。")</f>
        <v>生物学的標本中のプログラニュリンの測定。</v>
      </c>
      <c r="I2243" s="3" t="str">
        <f ca="1">IFERROR(__xludf.DUMMYFUNCTION("googletranslate(F2243,""en"",""ja"")"),"プログラニュリン測定")</f>
        <v>プログラニュリン測定</v>
      </c>
    </row>
    <row r="2244" spans="1:9" ht="30">
      <c r="A2244" s="3" t="s">
        <v>6</v>
      </c>
      <c r="B2244" s="3" t="s">
        <v>9331</v>
      </c>
      <c r="C2244" s="3" t="s">
        <v>9332</v>
      </c>
      <c r="D2244" s="3" t="s">
        <v>9332</v>
      </c>
      <c r="E2244" s="3" t="s">
        <v>9333</v>
      </c>
      <c r="F2244" s="3" t="s">
        <v>9334</v>
      </c>
      <c r="G2244" s="3" t="str">
        <f ca="1">IFERROR(__xludf.DUMMYFUNCTION("googletranslate(D2244,""en"",""ja"")"),"成長調節されたがん遺伝子")</f>
        <v>成長調節されたがん遺伝子</v>
      </c>
      <c r="H2244" s="3" t="str">
        <f ca="1">IFERROR(__xludf.DUMMYFUNCTION("googletranslate(E2244,""en"",""ja"")"),"生物学的標本中の増殖調節されたがん遺伝子タンパク質の総量の測定。")</f>
        <v>生物学的標本中の増殖調節されたがん遺伝子タンパク質の総量の測定。</v>
      </c>
      <c r="I2244" s="3" t="str">
        <f ca="1">IFERROR(__xludf.DUMMYFUNCTION("googletranslate(F2244,""en"",""ja"")"),"増殖調節されたがん遺伝子の測定")</f>
        <v>増殖調節されたがん遺伝子の測定</v>
      </c>
    </row>
    <row r="2245" spans="1:9" ht="30">
      <c r="A2245" s="3" t="s">
        <v>6</v>
      </c>
      <c r="B2245" s="3" t="s">
        <v>9335</v>
      </c>
      <c r="C2245" s="3" t="s">
        <v>9336</v>
      </c>
      <c r="D2245" s="3" t="s">
        <v>9337</v>
      </c>
      <c r="E2245" s="3" t="s">
        <v>9338</v>
      </c>
      <c r="F2245" s="3" t="s">
        <v>9339</v>
      </c>
      <c r="G2245" s="3" t="str">
        <f ca="1">IFERROR(__xludf.DUMMYFUNCTION("googletranslate(D2245,""en"",""ja"")"),"成長ホルモン阻害ホルモン;ソマトスタチン")</f>
        <v>成長ホルモン阻害ホルモン;ソマトスタチン</v>
      </c>
      <c r="H2245" s="3" t="str">
        <f ca="1">IFERROR(__xludf.DUMMYFUNCTION("googletranslate(E2245,""en"",""ja"")"),"生物学的標本中の成長ホルモン阻害ホルモンの測定。")</f>
        <v>生物学的標本中の成長ホルモン阻害ホルモンの測定。</v>
      </c>
      <c r="I2245" s="3" t="str">
        <f ca="1">IFERROR(__xludf.DUMMYFUNCTION("googletranslate(F2245,""en"",""ja"")"),"成長ホルモン阻害ホルモンの測定")</f>
        <v>成長ホルモン阻害ホルモンの測定</v>
      </c>
    </row>
    <row r="2246" spans="1:9" ht="30">
      <c r="A2246" s="3" t="s">
        <v>6</v>
      </c>
      <c r="B2246" s="3" t="s">
        <v>9340</v>
      </c>
      <c r="C2246" s="3" t="s">
        <v>9341</v>
      </c>
      <c r="D2246" s="3" t="s">
        <v>9342</v>
      </c>
      <c r="E2246" s="3" t="s">
        <v>9343</v>
      </c>
      <c r="F2246" s="3" t="s">
        <v>9344</v>
      </c>
      <c r="G2246" s="3" t="str">
        <f ca="1">IFERROR(__xludf.DUMMYFUNCTION("googletranslate(D2246,""en"",""ja"")"),"成長ホルモン放出ホルモン;ソマトクリニン")</f>
        <v>成長ホルモン放出ホルモン;ソマトクリニン</v>
      </c>
      <c r="H2246" s="3" t="str">
        <f ca="1">IFERROR(__xludf.DUMMYFUNCTION("googletranslate(E2246,""en"",""ja"")"),"生物学的標本中の成長ホルモン放出ホルモンの測定。")</f>
        <v>生物学的標本中の成長ホルモン放出ホルモンの測定。</v>
      </c>
      <c r="I2246" s="3" t="str">
        <f ca="1">IFERROR(__xludf.DUMMYFUNCTION("googletranslate(F2246,""en"",""ja"")"),"成長ホルモン放出ホルモンの測定")</f>
        <v>成長ホルモン放出ホルモンの測定</v>
      </c>
    </row>
    <row r="2247" spans="1:9" ht="30">
      <c r="A2247" s="3" t="s">
        <v>6</v>
      </c>
      <c r="B2247" s="3" t="s">
        <v>9345</v>
      </c>
      <c r="C2247" s="3" t="s">
        <v>9346</v>
      </c>
      <c r="D2247" s="3" t="s">
        <v>9346</v>
      </c>
      <c r="E2247" s="3" t="s">
        <v>9347</v>
      </c>
      <c r="F2247" s="3" t="s">
        <v>9348</v>
      </c>
      <c r="G2247" s="3" t="str">
        <f ca="1">IFERROR(__xludf.DUMMYFUNCTION("googletranslate(D2247,""en"",""ja"")"),"グルタチオン S-トランスフェラーゼ、合計")</f>
        <v>グルタチオン S-トランスフェラーゼ、合計</v>
      </c>
      <c r="H2247" s="3" t="str">
        <f ca="1">IFERROR(__xludf.DUMMYFUNCTION("googletranslate(E2247,""en"",""ja"")"),"生物学的標本中の総グルタチオン-s-トランスフェラーゼの測定。")</f>
        <v>生物学的標本中の総グルタチオン-s-トランスフェラーゼの測定。</v>
      </c>
      <c r="I2247" s="3" t="str">
        <f ca="1">IFERROR(__xludf.DUMMYFUNCTION("googletranslate(F2247,""en"",""ja"")"),"グルタチオン-S-トランスフェラーゼの測定")</f>
        <v>グルタチオン-S-トランスフェラーゼの測定</v>
      </c>
    </row>
    <row r="2248" spans="1:9">
      <c r="A2248" s="3" t="s">
        <v>503</v>
      </c>
      <c r="B2248" s="3" t="s">
        <v>9349</v>
      </c>
      <c r="C2248" s="3" t="s">
        <v>9350</v>
      </c>
      <c r="D2248" s="3" t="s">
        <v>9350</v>
      </c>
      <c r="E2248" s="3" t="s">
        <v>9351</v>
      </c>
      <c r="F2248" s="3" t="s">
        <v>9350</v>
      </c>
      <c r="G2248" s="3" t="str">
        <f ca="1">IFERROR(__xludf.DUMMYFUNCTION("googletranslate(D2248,""en"",""ja"")"),"出生時の在胎齢")</f>
        <v>出生時の在胎齢</v>
      </c>
      <c r="H2248" s="3" t="str">
        <f ca="1">IFERROR(__xludf.DUMMYFUNCTION("googletranslate(E2248,""en"",""ja"")"),"被験者の出生時の在胎週数。")</f>
        <v>被験者の出生時の在胎週数。</v>
      </c>
      <c r="I2248" s="3" t="str">
        <f ca="1">IFERROR(__xludf.DUMMYFUNCTION("googletranslate(F2248,""en"",""ja"")"),"出生時の在胎齢")</f>
        <v>出生時の在胎齢</v>
      </c>
    </row>
    <row r="2249" spans="1:9" ht="30">
      <c r="A2249" s="3" t="s">
        <v>6</v>
      </c>
      <c r="B2249" s="3" t="s">
        <v>9352</v>
      </c>
      <c r="C2249" s="3" t="s">
        <v>9353</v>
      </c>
      <c r="D2249" s="3" t="s">
        <v>9353</v>
      </c>
      <c r="E2249" s="3" t="s">
        <v>9354</v>
      </c>
      <c r="F2249" s="3" t="s">
        <v>9355</v>
      </c>
      <c r="G2249" s="3" t="str">
        <f ca="1">IFERROR(__xludf.DUMMYFUNCTION("googletranslate(D2249,""en"",""ja"")"),"アルファグルタチオン-S-トランスフェラーゼ")</f>
        <v>アルファグルタチオン-S-トランスフェラーゼ</v>
      </c>
      <c r="H2249" s="3" t="str">
        <f ca="1">IFERROR(__xludf.DUMMYFUNCTION("googletranslate(E2249,""en"",""ja"")"),"生物学的標本中のグルタチオン S-トランスフェラーゼのアルファ型の測定。")</f>
        <v>生物学的標本中のグルタチオン S-トランスフェラーゼのアルファ型の測定。</v>
      </c>
      <c r="I2249" s="3" t="str">
        <f ca="1">IFERROR(__xludf.DUMMYFUNCTION("googletranslate(F2249,""en"",""ja"")"),"α-グルタチオン-S-トランスフェラーゼの測定")</f>
        <v>α-グルタチオン-S-トランスフェラーゼの測定</v>
      </c>
    </row>
    <row r="2250" spans="1:9" ht="45">
      <c r="A2250" s="3" t="s">
        <v>6</v>
      </c>
      <c r="B2250" s="3" t="s">
        <v>9356</v>
      </c>
      <c r="C2250" s="3" t="s">
        <v>9357</v>
      </c>
      <c r="D2250" s="3" t="s">
        <v>9357</v>
      </c>
      <c r="E2250" s="3" t="s">
        <v>9358</v>
      </c>
      <c r="F2250" s="3" t="s">
        <v>9359</v>
      </c>
      <c r="G2250" s="3" t="str">
        <f ca="1">IFERROR(__xludf.DUMMYFUNCTION("googletranslate(D2250,""en"",""ja"")"),"グルタチオン S-トランスフェラーゼ、アルファ/クリート")</f>
        <v>グルタチオン S-トランスフェラーゼ、アルファ/クリート</v>
      </c>
      <c r="H2250" s="3" t="str">
        <f ca="1">IFERROR(__xludf.DUMMYFUNCTION("googletranslate(E2250,""en"",""ja"")"),"生物学的標本中のクレアチニンに対するαグルタチオン-S-トランスフェラーゼの相対測定値（比率またはパーセンテージ）。")</f>
        <v>生物学的標本中のクレアチニンに対するαグルタチオン-S-トランスフェラーゼの相対測定値（比率またはパーセンテージ）。</v>
      </c>
      <c r="I2250" s="3" t="str">
        <f ca="1">IFERROR(__xludf.DUMMYFUNCTION("googletranslate(F2250,""en"",""ja"")"),"α-グルタチオン-S-トランスフェラーゼとクレアチニンの比率の測定")</f>
        <v>α-グルタチオン-S-トランスフェラーゼとクレアチニンの比率の測定</v>
      </c>
    </row>
    <row r="2251" spans="1:9" ht="45">
      <c r="A2251" s="3" t="s">
        <v>6</v>
      </c>
      <c r="B2251" s="3" t="s">
        <v>9360</v>
      </c>
      <c r="C2251" s="3" t="s">
        <v>9361</v>
      </c>
      <c r="D2251" s="3" t="s">
        <v>9361</v>
      </c>
      <c r="E2251" s="3" t="s">
        <v>9362</v>
      </c>
      <c r="F2251" s="3" t="s">
        <v>9361</v>
      </c>
      <c r="G2251" s="3" t="str">
        <f ca="1">IFERROR(__xludf.DUMMYFUNCTION("googletranslate(D2251,""en"",""ja"")"),"α-GST 排泄率")</f>
        <v>α-GST 排泄率</v>
      </c>
      <c r="H2251" s="3" t="str">
        <f ca="1">IFERROR(__xludf.DUMMYFUNCTION("googletranslate(E2251,""en"",""ja"")"),"定義された期間（たとえば、1 時間）にわたって生物学的検体中に排泄されるアルファ グルタチオン-S-トランスフェラーゼの量の測定。")</f>
        <v>定義された期間（たとえば、1 時間）にわたって生物学的検体中に排泄されるアルファ グルタチオン-S-トランスフェラーゼの量の測定。</v>
      </c>
      <c r="I2251" s="3" t="str">
        <f ca="1">IFERROR(__xludf.DUMMYFUNCTION("googletranslate(F2251,""en"",""ja"")"),"α-GST 排泄率")</f>
        <v>α-GST 排泄率</v>
      </c>
    </row>
    <row r="2252" spans="1:9" ht="45">
      <c r="A2252" s="3" t="s">
        <v>6</v>
      </c>
      <c r="B2252" s="3" t="s">
        <v>9363</v>
      </c>
      <c r="C2252" s="3" t="s">
        <v>9364</v>
      </c>
      <c r="D2252" s="3" t="s">
        <v>9364</v>
      </c>
      <c r="E2252" s="3" t="s">
        <v>9365</v>
      </c>
      <c r="F2252" s="3" t="s">
        <v>9366</v>
      </c>
      <c r="G2252" s="3" t="str">
        <f ca="1">IFERROR(__xludf.DUMMYFUNCTION("googletranslate(D2252,""en"",""ja"")"),"グルタチオン-S-トランスフェラーゼ/クレアチニン")</f>
        <v>グルタチオン-S-トランスフェラーゼ/クレアチニン</v>
      </c>
      <c r="H2252" s="3" t="str">
        <f ca="1">IFERROR(__xludf.DUMMYFUNCTION("googletranslate(E2252,""en"",""ja"")"),"生物学的標本中のクレアチニンに対するグルタチオン S-トランスフェラーゼの相対測定値 (比率またはパーセンテージ)。")</f>
        <v>生物学的標本中のクレアチニンに対するグルタチオン S-トランスフェラーゼの相対測定値 (比率またはパーセンテージ)。</v>
      </c>
      <c r="I2252" s="3" t="str">
        <f ca="1">IFERROR(__xludf.DUMMYFUNCTION("googletranslate(F2252,""en"",""ja"")"),"グルタチオン-S-トランスフェラーゼとクレアチニンの比の測定")</f>
        <v>グルタチオン-S-トランスフェラーゼとクレアチニンの比の測定</v>
      </c>
    </row>
    <row r="2253" spans="1:9" ht="30">
      <c r="A2253" s="3" t="s">
        <v>6</v>
      </c>
      <c r="B2253" s="3" t="s">
        <v>9367</v>
      </c>
      <c r="C2253" s="3" t="s">
        <v>9368</v>
      </c>
      <c r="D2253" s="3" t="s">
        <v>9368</v>
      </c>
      <c r="E2253" s="3" t="s">
        <v>9369</v>
      </c>
      <c r="F2253" s="3" t="s">
        <v>9370</v>
      </c>
      <c r="G2253" s="3" t="str">
        <f ca="1">IFERROR(__xludf.DUMMYFUNCTION("googletranslate(D2253,""en"",""ja"")"),"Mu グルタチオン-S-トランスフェラーゼ")</f>
        <v>Mu グルタチオン-S-トランスフェラーゼ</v>
      </c>
      <c r="H2253" s="3" t="str">
        <f ca="1">IFERROR(__xludf.DUMMYFUNCTION("googletranslate(E2253,""en"",""ja"")"),"生物学的標本中のグルタチオン S-トランスフェラーゼのμ型の測定。")</f>
        <v>生物学的標本中のグルタチオン S-トランスフェラーゼのμ型の測定。</v>
      </c>
      <c r="I2253" s="3" t="str">
        <f ca="1">IFERROR(__xludf.DUMMYFUNCTION("googletranslate(F2253,""en"",""ja"")"),"Mu グルタチオン-S-トランスフェラーゼの測定")</f>
        <v>Mu グルタチオン-S-トランスフェラーゼの測定</v>
      </c>
    </row>
    <row r="2254" spans="1:9" ht="45">
      <c r="A2254" s="3" t="s">
        <v>6</v>
      </c>
      <c r="B2254" s="3" t="s">
        <v>9371</v>
      </c>
      <c r="C2254" s="3" t="s">
        <v>9372</v>
      </c>
      <c r="D2254" s="3" t="s">
        <v>9372</v>
      </c>
      <c r="E2254" s="3" t="s">
        <v>9373</v>
      </c>
      <c r="F2254" s="3" t="s">
        <v>9374</v>
      </c>
      <c r="G2254" s="3" t="str">
        <f ca="1">IFERROR(__xludf.DUMMYFUNCTION("googletranslate(D2254,""en"",""ja"")"),"Mu グルタチオン-S-トランスフェラーゼ/クレアチニン")</f>
        <v>Mu グルタチオン-S-トランスフェラーゼ/クレアチニン</v>
      </c>
      <c r="H2254" s="3" t="str">
        <f ca="1">IFERROR(__xludf.DUMMYFUNCTION("googletranslate(E2254,""en"",""ja"")"),"生物学的標本中のクレアチニンに対するμガンマグルタミルトランスペプチダーゼの相対測定値（比またはパーセンテージ）。")</f>
        <v>生物学的標本中のクレアチニンに対するμガンマグルタミルトランスペプチダーゼの相対測定値（比またはパーセンテージ）。</v>
      </c>
      <c r="I2254" s="3" t="str">
        <f ca="1">IFERROR(__xludf.DUMMYFUNCTION("googletranslate(F2254,""en"",""ja"")"),"Mu グルタチオン-S-トランスフェラーゼとクレアチニンの比率の測定")</f>
        <v>Mu グルタチオン-S-トランスフェラーゼとクレアチニンの比率の測定</v>
      </c>
    </row>
    <row r="2255" spans="1:9" ht="30">
      <c r="A2255" s="3" t="s">
        <v>6</v>
      </c>
      <c r="B2255" s="3" t="s">
        <v>9375</v>
      </c>
      <c r="C2255" s="3" t="s">
        <v>9376</v>
      </c>
      <c r="D2255" s="3" t="s">
        <v>9376</v>
      </c>
      <c r="E2255" s="3" t="s">
        <v>9377</v>
      </c>
      <c r="F2255" s="3" t="s">
        <v>9378</v>
      </c>
      <c r="G2255" s="3" t="str">
        <f ca="1">IFERROR(__xludf.DUMMYFUNCTION("googletranslate(D2255,""en"",""ja"")"),"グルタチオン S-トランスフェラーゼ、Pi")</f>
        <v>グルタチオン S-トランスフェラーゼ、Pi</v>
      </c>
      <c r="H2255" s="3" t="str">
        <f ca="1">IFERROR(__xludf.DUMMYFUNCTION("googletranslate(E2255,""en"",""ja"")"),"生物学的標本中の Pi グルタチオン-S-トランスフェラーゼの測定。")</f>
        <v>生物学的標本中の Pi グルタチオン-S-トランスフェラーゼの測定。</v>
      </c>
      <c r="I2255" s="3" t="str">
        <f ca="1">IFERROR(__xludf.DUMMYFUNCTION("googletranslate(F2255,""en"",""ja"")"),"PiグルタチオンS-トランスフェラーゼの測定")</f>
        <v>PiグルタチオンS-トランスフェラーゼの測定</v>
      </c>
    </row>
    <row r="2256" spans="1:9" ht="45">
      <c r="A2256" s="3" t="s">
        <v>6</v>
      </c>
      <c r="B2256" s="3" t="s">
        <v>9379</v>
      </c>
      <c r="C2256" s="3" t="s">
        <v>9380</v>
      </c>
      <c r="D2256" s="3" t="s">
        <v>9380</v>
      </c>
      <c r="E2256" s="3" t="s">
        <v>9381</v>
      </c>
      <c r="F2256" s="3" t="s">
        <v>9380</v>
      </c>
      <c r="G2256" s="3" t="str">
        <f ca="1">IFERROR(__xludf.DUMMYFUNCTION("googletranslate(D2256,""en"",""ja"")"),"Pi-GST 排泄率")</f>
        <v>Pi-GST 排泄率</v>
      </c>
      <c r="H2256" s="3" t="str">
        <f ca="1">IFERROR(__xludf.DUMMYFUNCTION("googletranslate(E2256,""en"",""ja"")"),"定義された期間 (例: 1 時間) にわたって生物学的検体中に排泄される Pi グルタチオン-S-トランスフェラーゼの量の測定。")</f>
        <v>定義された期間 (例: 1 時間) にわたって生物学的検体中に排泄される Pi グルタチオン-S-トランスフェラーゼの量の測定。</v>
      </c>
      <c r="I2256" s="3" t="str">
        <f ca="1">IFERROR(__xludf.DUMMYFUNCTION("googletranslate(F2256,""en"",""ja"")"),"Pi-GST 排泄率")</f>
        <v>Pi-GST 排泄率</v>
      </c>
    </row>
    <row r="2257" spans="1:9" ht="30">
      <c r="A2257" s="3" t="s">
        <v>6</v>
      </c>
      <c r="B2257" s="3" t="s">
        <v>9382</v>
      </c>
      <c r="C2257" s="3" t="s">
        <v>9383</v>
      </c>
      <c r="D2257" s="3" t="s">
        <v>9383</v>
      </c>
      <c r="E2257" s="3" t="s">
        <v>9384</v>
      </c>
      <c r="F2257" s="3" t="s">
        <v>9385</v>
      </c>
      <c r="G2257" s="3" t="str">
        <f ca="1">IFERROR(__xludf.DUMMYFUNCTION("googletranslate(D2257,""en"",""ja"")"),"グルタチオン S-トランスフェラーゼ、シータ")</f>
        <v>グルタチオン S-トランスフェラーゼ、シータ</v>
      </c>
      <c r="H2257" s="3" t="str">
        <f ca="1">IFERROR(__xludf.DUMMYFUNCTION("googletranslate(E2257,""en"",""ja"")"),"生物学的標本中のシータグルタチオン-s-トランスフェラーゼの測定。")</f>
        <v>生物学的標本中のシータグルタチオン-s-トランスフェラーゼの測定。</v>
      </c>
      <c r="I2257" s="3" t="str">
        <f ca="1">IFERROR(__xludf.DUMMYFUNCTION("googletranslate(F2257,""en"",""ja"")"),"シータグルタチオン S-トランスフェラーゼの測定")</f>
        <v>シータグルタチオン S-トランスフェラーゼの測定</v>
      </c>
    </row>
    <row r="2258" spans="1:9" ht="30">
      <c r="A2258" s="3" t="s">
        <v>6</v>
      </c>
      <c r="B2258" s="3" t="s">
        <v>9386</v>
      </c>
      <c r="C2258" s="3" t="s">
        <v>9387</v>
      </c>
      <c r="D2258" s="3" t="s">
        <v>9387</v>
      </c>
      <c r="E2258" s="3" t="s">
        <v>9388</v>
      </c>
      <c r="F2258" s="3" t="s">
        <v>9389</v>
      </c>
      <c r="G2258" s="3" t="str">
        <f ca="1">IFERROR(__xludf.DUMMYFUNCTION("googletranslate(D2258,""en"",""ja"")"),"グルタチオン S-トランスフェラーゼ、Y1")</f>
        <v>グルタチオン S-トランスフェラーゼ、Y1</v>
      </c>
      <c r="H2258" s="3" t="str">
        <f ca="1">IFERROR(__xludf.DUMMYFUNCTION("googletranslate(E2258,""en"",""ja"")"),"生物学的標本中のグルタチオン-s-トランスフェラーゼの Y1 サブユニットの測定。")</f>
        <v>生物学的標本中のグルタチオン-s-トランスフェラーゼの Y1 サブユニットの測定。</v>
      </c>
      <c r="I2258" s="3" t="str">
        <f ca="1">IFERROR(__xludf.DUMMYFUNCTION("googletranslate(F2258,""en"",""ja"")"),"グルタチオン S-トランスフェラーゼ Y1 サブユニットの測定")</f>
        <v>グルタチオン S-トランスフェラーゼ Y1 サブユニットの測定</v>
      </c>
    </row>
    <row r="2259" spans="1:9" ht="45">
      <c r="A2259" s="3" t="s">
        <v>6</v>
      </c>
      <c r="B2259" s="3" t="s">
        <v>9390</v>
      </c>
      <c r="C2259" s="3" t="s">
        <v>9391</v>
      </c>
      <c r="D2259" s="3" t="s">
        <v>9392</v>
      </c>
      <c r="E2259" s="3" t="s">
        <v>9393</v>
      </c>
      <c r="F2259" s="3" t="s">
        <v>9394</v>
      </c>
      <c r="G2259" s="3" t="str">
        <f ca="1">IFERROR(__xludf.DUMMYFUNCTION("googletranslate(D2259,""en"",""ja"")"),"グリクルソデオキシコール酸塩;グリクルソデオキシコール酸")</f>
        <v>グリクルソデオキシコール酸塩;グリクルソデオキシコール酸</v>
      </c>
      <c r="H2259" s="3" t="str">
        <f ca="1">IFERROR(__xludf.DUMMYFUNCTION("googletranslate(E2259,""en"",""ja"")"),"生物学的標本中のグリクルソデオキシコール酸の測定。")</f>
        <v>生物学的標本中のグリクルソデオキシコール酸の測定。</v>
      </c>
      <c r="I2259" s="3" t="str">
        <f ca="1">IFERROR(__xludf.DUMMYFUNCTION("googletranslate(F2259,""en"",""ja"")"),"グリクルソデオキシコール酸の測定")</f>
        <v>グリクルソデオキシコール酸の測定</v>
      </c>
    </row>
    <row r="2260" spans="1:9" ht="30">
      <c r="A2260" s="3" t="s">
        <v>6</v>
      </c>
      <c r="B2260" s="3" t="s">
        <v>9395</v>
      </c>
      <c r="C2260" s="3" t="s">
        <v>9396</v>
      </c>
      <c r="D2260" s="3" t="s">
        <v>9396</v>
      </c>
      <c r="E2260" s="3" t="s">
        <v>9397</v>
      </c>
      <c r="F2260" s="3" t="s">
        <v>9398</v>
      </c>
      <c r="G2260" s="3" t="str">
        <f ca="1">IFERROR(__xludf.DUMMYFUNCTION("googletranslate(D2260,""en"",""ja"")"),"グルクロニダーゼ、アルファ")</f>
        <v>グルクロニダーゼ、アルファ</v>
      </c>
      <c r="H2260" s="3" t="str">
        <f ca="1">IFERROR(__xludf.DUMMYFUNCTION("googletranslate(E2260,""en"",""ja"")"),"生物学的標本中のαグルクロニダーゼの測定。")</f>
        <v>生物学的標本中のαグルクロニダーゼの測定。</v>
      </c>
      <c r="I2260" s="3" t="str">
        <f ca="1">IFERROR(__xludf.DUMMYFUNCTION("googletranslate(F2260,""en"",""ja"")"),"α-グルクロニダーゼの測定")</f>
        <v>α-グルクロニダーゼの測定</v>
      </c>
    </row>
    <row r="2261" spans="1:9" ht="30">
      <c r="A2261" s="3" t="s">
        <v>6</v>
      </c>
      <c r="B2261" s="3" t="s">
        <v>9399</v>
      </c>
      <c r="C2261" s="3" t="s">
        <v>9400</v>
      </c>
      <c r="D2261" s="3" t="s">
        <v>9400</v>
      </c>
      <c r="E2261" s="3" t="s">
        <v>9401</v>
      </c>
      <c r="F2261" s="3" t="s">
        <v>9402</v>
      </c>
      <c r="G2261" s="3" t="str">
        <f ca="1">IFERROR(__xludf.DUMMYFUNCTION("googletranslate(D2261,""en"",""ja"")"),"グルクロニダーゼ、ベータ")</f>
        <v>グルクロニダーゼ、ベータ</v>
      </c>
      <c r="H2261" s="3" t="str">
        <f ca="1">IFERROR(__xludf.DUMMYFUNCTION("googletranslate(E2261,""en"",""ja"")"),"生物学的標本中のベータグルクロニダーゼの測定。")</f>
        <v>生物学的標本中のベータグルクロニダーゼの測定。</v>
      </c>
      <c r="I2261" s="3" t="str">
        <f ca="1">IFERROR(__xludf.DUMMYFUNCTION("googletranslate(F2261,""en"",""ja"")"),"βグルクロニダーゼの測定")</f>
        <v>βグルクロニダーゼの測定</v>
      </c>
    </row>
    <row r="2262" spans="1:9" ht="30">
      <c r="A2262" s="3" t="s">
        <v>67</v>
      </c>
      <c r="B2262" s="3" t="s">
        <v>9403</v>
      </c>
      <c r="C2262" s="3" t="s">
        <v>9404</v>
      </c>
      <c r="D2262" s="3" t="s">
        <v>9405</v>
      </c>
      <c r="E2262" s="3" t="s">
        <v>9406</v>
      </c>
      <c r="F2262" s="3" t="s">
        <v>9407</v>
      </c>
      <c r="G2262" s="3" t="str">
        <f ca="1">IFERROR(__xludf.DUMMYFUNCTION("googletranslate(D2262,""en"",""ja"")"),"膣コリネバクテリウム;ガードネレラ・バギナリス")</f>
        <v>膣コリネバクテリウム;ガードネレラ・バギナリス</v>
      </c>
      <c r="H2262" s="3" t="str">
        <f ca="1">IFERROR(__xludf.DUMMYFUNCTION("googletranslate(E2262,""en"",""ja"")"),"生物学的標本中のガードネレラ・バギナリスの測定。")</f>
        <v>生物学的標本中のガードネレラ・バギナリスの測定。</v>
      </c>
      <c r="I2262" s="3" t="str">
        <f ca="1">IFERROR(__xludf.DUMMYFUNCTION("googletranslate(F2262,""en"",""ja"")"),"ガードネレラ・バギナリスの測定")</f>
        <v>ガードネレラ・バギナリスの測定</v>
      </c>
    </row>
    <row r="2263" spans="1:9" ht="30">
      <c r="A2263" s="3" t="s">
        <v>67</v>
      </c>
      <c r="B2263" s="3" t="s">
        <v>9408</v>
      </c>
      <c r="C2263" s="3" t="s">
        <v>9409</v>
      </c>
      <c r="D2263" s="3" t="s">
        <v>9409</v>
      </c>
      <c r="E2263" s="3" t="s">
        <v>9410</v>
      </c>
      <c r="F2263" s="3" t="s">
        <v>9411</v>
      </c>
      <c r="G2263" s="3" t="str">
        <f ca="1">IFERROR(__xludf.DUMMYFUNCTION("googletranslate(D2263,""en"",""ja"")"),"ガードネレラ・バギナリスの DNA")</f>
        <v>ガードネレラ・バギナリスの DNA</v>
      </c>
      <c r="H2263" s="3" t="str">
        <f ca="1">IFERROR(__xludf.DUMMYFUNCTION("googletranslate(E2263,""en"",""ja"")"),"生物学的標本中のガードネレラ・バギナリス DNA の測定。")</f>
        <v>生物学的標本中のガードネレラ・バギナリス DNA の測定。</v>
      </c>
      <c r="I2263" s="3" t="str">
        <f ca="1">IFERROR(__xludf.DUMMYFUNCTION("googletranslate(F2263,""en"",""ja"")"),"ガードネレラ・バギナリス DNA 測定")</f>
        <v>ガードネレラ・バギナリス DNA 測定</v>
      </c>
    </row>
    <row r="2264" spans="1:9" ht="30">
      <c r="A2264" s="3" t="s">
        <v>103</v>
      </c>
      <c r="B2264" s="3" t="s">
        <v>9412</v>
      </c>
      <c r="C2264" s="3" t="s">
        <v>9413</v>
      </c>
      <c r="D2264" s="3" t="s">
        <v>9414</v>
      </c>
      <c r="E2264" s="3" t="s">
        <v>9415</v>
      </c>
      <c r="F2264" s="3" t="s">
        <v>9416</v>
      </c>
      <c r="G2264" s="3" t="str">
        <f ca="1">IFERROR(__xludf.DUMMYFUNCTION("googletranslate(D2264,""en"",""ja"")"),"グランザイム B の発現; GZB 式。 GzmB 式")</f>
        <v>グランザイム B の発現; GZB 式。 GzmB 式</v>
      </c>
      <c r="H2264" s="3" t="str">
        <f ca="1">IFERROR(__xludf.DUMMYFUNCTION("googletranslate(E2264,""en"",""ja"")"),"生物学的標本における細胞グランザイム b 発現の測定。")</f>
        <v>生物学的標本における細胞グランザイム b 発現の測定。</v>
      </c>
      <c r="I2264" s="3" t="str">
        <f ca="1">IFERROR(__xludf.DUMMYFUNCTION("googletranslate(F2264,""en"",""ja"")"),"GZB発現測定")</f>
        <v>GZB発現測定</v>
      </c>
    </row>
    <row r="2265" spans="1:9" ht="30">
      <c r="A2265" s="3" t="s">
        <v>6</v>
      </c>
      <c r="B2265" s="3" t="s">
        <v>9417</v>
      </c>
      <c r="C2265" s="3" t="s">
        <v>9418</v>
      </c>
      <c r="D2265" s="3" t="s">
        <v>9419</v>
      </c>
      <c r="E2265" s="3" t="s">
        <v>9420</v>
      </c>
      <c r="F2265" s="3" t="s">
        <v>9421</v>
      </c>
      <c r="G2265" s="3" t="str">
        <f ca="1">IFERROR(__xludf.DUMMYFUNCTION("googletranslate(D2265,""en"",""ja"")"),"C11; CCPI; CGL1; CSPB; CTLA1; CTSGL1;グランザイムB; HLP;宗派")</f>
        <v>C11; CCPI; CGL1; CSPB; CTLA1; CTSGL1;グランザイムB; HLP;宗派</v>
      </c>
      <c r="H2265" s="3" t="str">
        <f ca="1">IFERROR(__xludf.DUMMYFUNCTION("googletranslate(E2265,""en"",""ja"")"),"生物学的標本中のグランザイム B の測定。")</f>
        <v>生物学的標本中のグランザイム B の測定。</v>
      </c>
      <c r="I2265" s="3" t="str">
        <f ca="1">IFERROR(__xludf.DUMMYFUNCTION("googletranslate(F2265,""en"",""ja"")"),"グランザイムBの測定")</f>
        <v>グランザイムBの測定</v>
      </c>
    </row>
    <row r="2266" spans="1:9" ht="45">
      <c r="A2266" s="3" t="s">
        <v>6</v>
      </c>
      <c r="B2266" s="3" t="s">
        <v>9422</v>
      </c>
      <c r="C2266" s="3" t="s">
        <v>9423</v>
      </c>
      <c r="D2266" s="3" t="s">
        <v>9424</v>
      </c>
      <c r="E2266" s="3" t="s">
        <v>9425</v>
      </c>
      <c r="F2266" s="3" t="s">
        <v>9426</v>
      </c>
      <c r="G2266" s="3" t="str">
        <f ca="1">IFERROR(__xludf.DUMMYFUNCTION("googletranslate(D2266,""en"",""ja"")"),"2-ヒドロキシエチルフルラゼパム;ヒドロキシエチルフルラゼパム")</f>
        <v>2-ヒドロキシエチルフルラゼパム;ヒドロキシエチルフルラゼパム</v>
      </c>
      <c r="H2266" s="3" t="str">
        <f ca="1">IFERROR(__xludf.DUMMYFUNCTION("googletranslate(E2266,""en"",""ja"")"),"生体試料のヒドロキシエチルフルラゼパムの測定。")</f>
        <v>生体試料のヒドロキシエチルフルラゼパムの測定。</v>
      </c>
      <c r="I2266" s="3" t="str">
        <f ca="1">IFERROR(__xludf.DUMMYFUNCTION("googletranslate(F2266,""en"",""ja"")"),"ヒドロキシエチルフルラゼパムの測定")</f>
        <v>ヒドロキシエチルフルラゼパムの測定</v>
      </c>
    </row>
    <row r="2267" spans="1:9" ht="30">
      <c r="A2267" s="3" t="s">
        <v>51</v>
      </c>
      <c r="B2267" s="3" t="s">
        <v>9427</v>
      </c>
      <c r="C2267" s="3" t="s">
        <v>9428</v>
      </c>
      <c r="D2267" s="3" t="s">
        <v>9429</v>
      </c>
      <c r="E2267" s="3" t="s">
        <v>9430</v>
      </c>
      <c r="F2267" s="3" t="s">
        <v>9431</v>
      </c>
      <c r="G2267" s="3" t="str">
        <f ca="1">IFERROR(__xludf.DUMMYFUNCTION("googletranslate(D2267,""en"",""ja"")"),"ああ、水分活性")</f>
        <v>ああ、水分活性</v>
      </c>
      <c r="H2267" s="3" t="str">
        <f ca="1">IFERROR(__xludf.DUMMYFUNCTION("googletranslate(E2267,""en"",""ja"")"),"純水の水蒸気圧に対するサンプル中の水蒸気圧の比の測定")</f>
        <v>純水の水蒸気圧に対するサンプル中の水蒸気圧の比の測定</v>
      </c>
      <c r="I2267" s="3" t="str">
        <f ca="1">IFERROR(__xludf.DUMMYFUNCTION("googletranslate(F2267,""en"",""ja"")"),"水分活性測定")</f>
        <v>水分活性測定</v>
      </c>
    </row>
    <row r="2268" spans="1:9" ht="30">
      <c r="A2268" s="3" t="s">
        <v>1255</v>
      </c>
      <c r="B2268" s="3" t="s">
        <v>9432</v>
      </c>
      <c r="C2268" s="3" t="s">
        <v>9433</v>
      </c>
      <c r="D2268" s="3" t="s">
        <v>9433</v>
      </c>
      <c r="E2268" s="3" t="s">
        <v>9434</v>
      </c>
      <c r="F2268" s="3" t="s">
        <v>9433</v>
      </c>
      <c r="G2268" s="3" t="str">
        <f ca="1">IFERROR(__xludf.DUMMYFUNCTION("googletranslate(D2268,""en"",""ja"")"),"水信号抑制方法")</f>
        <v>水信号抑制方法</v>
      </c>
      <c r="H2268" s="3" t="str">
        <f ca="1">IFERROR(__xludf.DUMMYFUNCTION("googletranslate(E2268,""en"",""ja"")"),"イメージング中に体内の水分から生成される信号を軽減するために使用される技術。")</f>
        <v>イメージング中に体内の水分から生成される信号を軽減するために使用される技術。</v>
      </c>
      <c r="I2268" s="3" t="str">
        <f ca="1">IFERROR(__xludf.DUMMYFUNCTION("googletranslate(F2268,""en"",""ja"")"),"水信号抑制方法")</f>
        <v>水信号抑制方法</v>
      </c>
    </row>
    <row r="2269" spans="1:9" ht="60">
      <c r="A2269" s="3" t="s">
        <v>6</v>
      </c>
      <c r="B2269" s="3" t="s">
        <v>9435</v>
      </c>
      <c r="C2269" s="3" t="s">
        <v>9436</v>
      </c>
      <c r="D2269" s="3" t="s">
        <v>9437</v>
      </c>
      <c r="E2269" s="3" t="s">
        <v>9438</v>
      </c>
      <c r="F2269" s="3" t="s">
        <v>9439</v>
      </c>
      <c r="G2269" s="3" t="str">
        <f ca="1">IFERROR(__xludf.DUMMYFUNCTION("googletranslate(D2269,""en"",""ja"")"),"6-アルファ ヒドロキシテトラヒドロ-11-デヒドロコルチコステロン; 6a OH-テトラヒドロ-11-DeH-コルチコステロン")</f>
        <v>6-アルファ ヒドロキシテトラヒドロ-11-デヒドロコルチコステロン; 6a OH-テトラヒドロ-11-DeH-コルチコステロン</v>
      </c>
      <c r="H2269" s="3" t="str">
        <f ca="1">IFERROR(__xludf.DUMMYFUNCTION("googletranslate(E2269,""en"",""ja"")"),"生物学的標本中の 6-アルファ ヒドロキシテトラヒドロ-11-デヒドロコルチコステロンの測定。")</f>
        <v>生物学的標本中の 6-アルファ ヒドロキシテトラヒドロ-11-デヒドロコルチコステロンの測定。</v>
      </c>
      <c r="I2269" s="3" t="str">
        <f ca="1">IFERROR(__xludf.DUMMYFUNCTION("googletranslate(F2269,""en"",""ja"")"),"6a OH-テトラヒドロ-11-DeH-コルチコステロンの測定")</f>
        <v>6a OH-テトラヒドロ-11-DeH-コルチコステロンの測定</v>
      </c>
    </row>
    <row r="2270" spans="1:9" ht="60">
      <c r="A2270" s="3" t="s">
        <v>6</v>
      </c>
      <c r="B2270" s="3" t="s">
        <v>9440</v>
      </c>
      <c r="C2270" s="3" t="s">
        <v>9441</v>
      </c>
      <c r="D2270" s="3" t="s">
        <v>9442</v>
      </c>
      <c r="E2270" s="3" t="s">
        <v>9443</v>
      </c>
      <c r="F2270" s="3" t="s">
        <v>9444</v>
      </c>
      <c r="G2270" s="3" t="str">
        <f ca="1">IFERROR(__xludf.DUMMYFUNCTION("googletranslate(D2270,""en"",""ja"")"),"6-アルファ ヒドロキシテトラヒドロ-11-デオキシコルチゾール; 6a OH-テトラヒドロ-11-デオキシコルチゾール")</f>
        <v>6-アルファ ヒドロキシテトラヒドロ-11-デオキシコルチゾール; 6a OH-テトラヒドロ-11-デオキシコルチゾール</v>
      </c>
      <c r="H2270" s="3" t="str">
        <f ca="1">IFERROR(__xludf.DUMMYFUNCTION("googletranslate(E2270,""en"",""ja"")"),"生物学的標本中の 6-アルファ ヒドロキシテトラヒドロ-11-デオキシコルチゾールの測定。")</f>
        <v>生物学的標本中の 6-アルファ ヒドロキシテトラヒドロ-11-デオキシコルチゾールの測定。</v>
      </c>
      <c r="I2270" s="3" t="str">
        <f ca="1">IFERROR(__xludf.DUMMYFUNCTION("googletranslate(F2270,""en"",""ja"")"),"6a OH-テトラヒドロ-11-デオキシコルチゾールの測定")</f>
        <v>6a OH-テトラヒドロ-11-デオキシコルチゾールの測定</v>
      </c>
    </row>
    <row r="2271" spans="1:9" ht="30">
      <c r="A2271" s="3" t="s">
        <v>67</v>
      </c>
      <c r="B2271" s="3" t="s">
        <v>9445</v>
      </c>
      <c r="C2271" s="3" t="s">
        <v>9446</v>
      </c>
      <c r="D2271" s="3" t="s">
        <v>9447</v>
      </c>
      <c r="E2271" s="3" t="s">
        <v>9448</v>
      </c>
      <c r="F2271" s="3" t="s">
        <v>9449</v>
      </c>
      <c r="G2271" s="3" t="str">
        <f ca="1">IFERROR(__xludf.DUMMYFUNCTION("googletranslate(D2271,""en"",""ja"")"),"インフルエンザ菌。インフルエンザ菌")</f>
        <v>インフルエンザ菌。インフルエンザ菌</v>
      </c>
      <c r="H2271" s="3" t="str">
        <f ca="1">IFERROR(__xludf.DUMMYFUNCTION("googletranslate(E2271,""en"",""ja"")"),"生物学的標本中のヘモフィルス インフルエンザ ウイルスの測定。")</f>
        <v>生物学的標本中のヘモフィルス インフルエンザ ウイルスの測定。</v>
      </c>
      <c r="I2271" s="3" t="str">
        <f ca="1">IFERROR(__xludf.DUMMYFUNCTION("googletranslate(F2271,""en"",""ja"")"),"インフルエンザ菌の測定")</f>
        <v>インフルエンザ菌の測定</v>
      </c>
    </row>
    <row r="2272" spans="1:9" ht="45">
      <c r="A2272" s="3" t="s">
        <v>67</v>
      </c>
      <c r="B2272" s="3" t="s">
        <v>9450</v>
      </c>
      <c r="C2272" s="3" t="s">
        <v>9451</v>
      </c>
      <c r="D2272" s="3" t="s">
        <v>9451</v>
      </c>
      <c r="E2272" s="3" t="s">
        <v>9452</v>
      </c>
      <c r="F2272" s="3" t="s">
        <v>9453</v>
      </c>
      <c r="G2272" s="3" t="str">
        <f ca="1">IFERROR(__xludf.DUMMYFUNCTION("googletranslate(D2272,""en"",""ja"")"),"ヘモフィルス")</f>
        <v>ヘモフィルス</v>
      </c>
      <c r="H2272" s="3" t="str">
        <f ca="1">IFERROR(__xludf.DUMMYFUNCTION("googletranslate(E2272,""en"",""ja"")"),"生物学的標本において、種レベルには割り当てられていないが、ヘモフィルス属レベルに割り当てられている生物の測定値。")</f>
        <v>生物学的標本において、種レベルには割り当てられていないが、ヘモフィルス属レベルに割り当てられている生物の測定値。</v>
      </c>
      <c r="I2272" s="3" t="str">
        <f ca="1">IFERROR(__xludf.DUMMYFUNCTION("googletranslate(F2272,""en"",""ja"")"),"ヘモフィルス測定")</f>
        <v>ヘモフィルス測定</v>
      </c>
    </row>
    <row r="2273" spans="1:9" ht="30">
      <c r="A2273" s="3" t="s">
        <v>180</v>
      </c>
      <c r="B2273" s="3" t="s">
        <v>9454</v>
      </c>
      <c r="C2273" s="3" t="s">
        <v>9455</v>
      </c>
      <c r="D2273" s="3" t="s">
        <v>9455</v>
      </c>
      <c r="E2273" s="3" t="s">
        <v>9456</v>
      </c>
      <c r="F2273" s="3" t="s">
        <v>9457</v>
      </c>
      <c r="G2273" s="3" t="str">
        <f ca="1">IFERROR(__xludf.DUMMYFUNCTION("googletranslate(D2273,""en"",""ja"")"),"ヒト抗ヒト抗体")</f>
        <v>ヒト抗ヒト抗体</v>
      </c>
      <c r="H2273" s="3" t="str">
        <f ca="1">IFERROR(__xludf.DUMMYFUNCTION("googletranslate(E2273,""en"",""ja"")"),"生物学的検体中の総ヒト抗ヒト抗体の測定。")</f>
        <v>生物学的検体中の総ヒト抗ヒト抗体の測定。</v>
      </c>
      <c r="I2273" s="3" t="str">
        <f ca="1">IFERROR(__xludf.DUMMYFUNCTION("googletranslate(F2273,""en"",""ja"")"),"ヒト抗ヒト抗体測定")</f>
        <v>ヒト抗ヒト抗体測定</v>
      </c>
    </row>
    <row r="2274" spans="1:9" ht="45">
      <c r="A2274" s="3" t="s">
        <v>6</v>
      </c>
      <c r="B2274" s="3" t="s">
        <v>9458</v>
      </c>
      <c r="C2274" s="3" t="s">
        <v>9459</v>
      </c>
      <c r="D2274" s="3" t="s">
        <v>9459</v>
      </c>
      <c r="E2274" s="3" t="s">
        <v>9460</v>
      </c>
      <c r="F2274" s="3" t="s">
        <v>9461</v>
      </c>
      <c r="G2274" s="3" t="str">
        <f ca="1">IFERROR(__xludf.DUMMYFUNCTION("googletranslate(D2274,""en"",""ja"")"),"有毛細胞")</f>
        <v>有毛細胞</v>
      </c>
      <c r="H2274" s="3" t="str">
        <f ca="1">IFERROR(__xludf.DUMMYFUNCTION("googletranslate(E2274,""en"",""ja"")"),"生物学的標本中の有毛細胞 (細胞質から毛状の突起を持つ b 細胞リンパ球) の測定。")</f>
        <v>生物学的標本中の有毛細胞 (細胞質から毛状の突起を持つ b 細胞リンパ球) の測定。</v>
      </c>
      <c r="I2274" s="3" t="str">
        <f ca="1">IFERROR(__xludf.DUMMYFUNCTION("googletranslate(F2274,""en"",""ja"")"),"有毛細胞数")</f>
        <v>有毛細胞数</v>
      </c>
    </row>
    <row r="2275" spans="1:9" ht="30">
      <c r="A2275" s="3" t="s">
        <v>6</v>
      </c>
      <c r="B2275" s="3" t="s">
        <v>9462</v>
      </c>
      <c r="C2275" s="3" t="s">
        <v>9463</v>
      </c>
      <c r="D2275" s="3" t="s">
        <v>9463</v>
      </c>
      <c r="E2275" s="3" t="s">
        <v>9464</v>
      </c>
      <c r="F2275" s="3" t="s">
        <v>9465</v>
      </c>
      <c r="G2275" s="3" t="str">
        <f ca="1">IFERROR(__xludf.DUMMYFUNCTION("googletranslate(D2275,""en"",""ja"")"),"幻覚剤")</f>
        <v>幻覚剤</v>
      </c>
      <c r="H2275" s="3" t="str">
        <f ca="1">IFERROR(__xludf.DUMMYFUNCTION("googletranslate(E2275,""en"",""ja"")"),"生物学的標本中に存在する幻覚剤クラスの薬物の測定値。")</f>
        <v>生物学的標本中に存在する幻覚剤クラスの薬物の測定値。</v>
      </c>
      <c r="I2275" s="3" t="str">
        <f ca="1">IFERROR(__xludf.DUMMYFUNCTION("googletranslate(F2275,""en"",""ja"")"),"幻覚剤の測定")</f>
        <v>幻覚剤の測定</v>
      </c>
    </row>
    <row r="2276" spans="1:9">
      <c r="A2276" s="3" t="s">
        <v>6</v>
      </c>
      <c r="B2276" s="3" t="s">
        <v>9466</v>
      </c>
      <c r="C2276" s="3" t="s">
        <v>9467</v>
      </c>
      <c r="D2276" s="3" t="s">
        <v>9467</v>
      </c>
      <c r="E2276" s="3" t="s">
        <v>9468</v>
      </c>
      <c r="F2276" s="3" t="s">
        <v>9469</v>
      </c>
      <c r="G2276" s="3" t="str">
        <f ca="1">IFERROR(__xludf.DUMMYFUNCTION("googletranslate(D2276,""en"",""ja"")"),"ハロペリドール")</f>
        <v>ハロペリドール</v>
      </c>
      <c r="H2276" s="3" t="str">
        <f ca="1">IFERROR(__xludf.DUMMYFUNCTION("googletranslate(E2276,""en"",""ja"")"),"生物学的標本中のハロペリドールの測定。")</f>
        <v>生物学的標本中のハロペリドールの測定。</v>
      </c>
      <c r="I2276" s="3" t="str">
        <f ca="1">IFERROR(__xludf.DUMMYFUNCTION("googletranslate(F2276,""en"",""ja"")"),"ハロペリドールの測定")</f>
        <v>ハロペリドールの測定</v>
      </c>
    </row>
    <row r="2277" spans="1:9" ht="30">
      <c r="A2277" s="3" t="s">
        <v>6</v>
      </c>
      <c r="B2277" s="3" t="s">
        <v>9470</v>
      </c>
      <c r="C2277" s="3" t="s">
        <v>9471</v>
      </c>
      <c r="D2277" s="3" t="s">
        <v>9471</v>
      </c>
      <c r="E2277" s="3" t="s">
        <v>9472</v>
      </c>
      <c r="F2277" s="3" t="s">
        <v>9473</v>
      </c>
      <c r="G2277" s="3" t="str">
        <f ca="1">IFERROR(__xludf.DUMMYFUNCTION("googletranslate(D2277,""en"",""ja"")"),"α-ヒドロキシアルプラゾラム")</f>
        <v>α-ヒドロキシアルプラゾラム</v>
      </c>
      <c r="H2277" s="3" t="str">
        <f ca="1">IFERROR(__xludf.DUMMYFUNCTION("googletranslate(E2277,""en"",""ja"")"),"生物学的標本中のα-ヒドロキシアルプラゾラムの測定。")</f>
        <v>生物学的標本中のα-ヒドロキシアルプラゾラムの測定。</v>
      </c>
      <c r="I2277" s="3" t="str">
        <f ca="1">IFERROR(__xludf.DUMMYFUNCTION("googletranslate(F2277,""en"",""ja"")"),"α-ヒドロキシアルプラゾラムの測定")</f>
        <v>α-ヒドロキシアルプラゾラムの測定</v>
      </c>
    </row>
    <row r="2278" spans="1:9" ht="30">
      <c r="A2278" s="3" t="s">
        <v>6</v>
      </c>
      <c r="B2278" s="3" t="s">
        <v>9474</v>
      </c>
      <c r="C2278" s="3" t="s">
        <v>9475</v>
      </c>
      <c r="D2278" s="3" t="s">
        <v>9475</v>
      </c>
      <c r="E2278" s="3" t="s">
        <v>9476</v>
      </c>
      <c r="F2278" s="3" t="s">
        <v>9477</v>
      </c>
      <c r="G2278" s="3" t="str">
        <f ca="1">IFERROR(__xludf.DUMMYFUNCTION("googletranslate(D2278,""en"",""ja"")"),"ヒドロキシアルプラゾラム")</f>
        <v>ヒドロキシアルプラゾラム</v>
      </c>
      <c r="H2278" s="3" t="str">
        <f ca="1">IFERROR(__xludf.DUMMYFUNCTION("googletranslate(E2278,""en"",""ja"")"),"生物学的標本中に存在する総ヒドロキシアルプラゾラムの測定。")</f>
        <v>生物学的標本中に存在する総ヒドロキシアルプラゾラムの測定。</v>
      </c>
      <c r="I2278" s="3" t="str">
        <f ca="1">IFERROR(__xludf.DUMMYFUNCTION("googletranslate(F2278,""en"",""ja"")"),"ヒドロキシアルプラゾラムの測定")</f>
        <v>ヒドロキシアルプラゾラムの測定</v>
      </c>
    </row>
    <row r="2279" spans="1:9" ht="30">
      <c r="A2279" s="3" t="s">
        <v>180</v>
      </c>
      <c r="B2279" s="3" t="s">
        <v>9478</v>
      </c>
      <c r="C2279" s="3" t="s">
        <v>9479</v>
      </c>
      <c r="D2279" s="3" t="s">
        <v>9480</v>
      </c>
      <c r="E2279" s="3" t="s">
        <v>9481</v>
      </c>
      <c r="F2279" s="3" t="s">
        <v>9482</v>
      </c>
      <c r="G2279" s="3" t="str">
        <f ca="1">IFERROR(__xludf.DUMMYFUNCTION("googletranslate(D2279,""en"",""ja"")"),"ハマ;ヒト抗マウス抗体")</f>
        <v>ハマ;ヒト抗マウス抗体</v>
      </c>
      <c r="H2279" s="3" t="str">
        <f ca="1">IFERROR(__xludf.DUMMYFUNCTION("googletranslate(E2279,""en"",""ja"")"),"生物学的検体中のヒト抗マウス抗体の測定。")</f>
        <v>生物学的検体中のヒト抗マウス抗体の測定。</v>
      </c>
      <c r="I2279" s="3" t="str">
        <f ca="1">IFERROR(__xludf.DUMMYFUNCTION("googletranslate(F2279,""en"",""ja"")"),"ヒト抗マウス抗体の測定")</f>
        <v>ヒト抗マウス抗体の測定</v>
      </c>
    </row>
    <row r="2280" spans="1:9" ht="30">
      <c r="A2280" s="3" t="s">
        <v>503</v>
      </c>
      <c r="B2280" s="3" t="s">
        <v>9483</v>
      </c>
      <c r="C2280" s="3" t="s">
        <v>9484</v>
      </c>
      <c r="D2280" s="3" t="s">
        <v>9484</v>
      </c>
      <c r="E2280" s="3" t="s">
        <v>9485</v>
      </c>
      <c r="F2280" s="3" t="s">
        <v>9484</v>
      </c>
      <c r="G2280" s="3" t="str">
        <f ca="1">IFERROR(__xludf.DUMMYFUNCTION("googletranslate(D2280,""en"",""ja"")"),"利き手")</f>
        <v>利き手</v>
      </c>
      <c r="H2280" s="3" t="str">
        <f ca="1">IFERROR(__xludf.DUMMYFUNCTION("googletranslate(E2280,""en"",""ja"")"),"運動タスクを制御され効率的に実行するための好ましい使用手。")</f>
        <v>運動タスクを制御され効率的に実行するための好ましい使用手。</v>
      </c>
      <c r="I2280" s="3" t="str">
        <f ca="1">IFERROR(__xludf.DUMMYFUNCTION("googletranslate(F2280,""en"",""ja"")"),"利き手")</f>
        <v>利き手</v>
      </c>
    </row>
    <row r="2281" spans="1:9" ht="30">
      <c r="A2281" s="3" t="s">
        <v>6</v>
      </c>
      <c r="B2281" s="3" t="s">
        <v>9486</v>
      </c>
      <c r="C2281" s="3" t="s">
        <v>9487</v>
      </c>
      <c r="D2281" s="3" t="s">
        <v>9487</v>
      </c>
      <c r="E2281" s="3" t="s">
        <v>9488</v>
      </c>
      <c r="F2281" s="3" t="s">
        <v>9489</v>
      </c>
      <c r="G2281" s="3" t="str">
        <f ca="1">IFERROR(__xludf.DUMMYFUNCTION("googletranslate(D2281,""en"",""ja"")"),"ハプトグロビン")</f>
        <v>ハプトグロビン</v>
      </c>
      <c r="H2281" s="3" t="str">
        <f ca="1">IFERROR(__xludf.DUMMYFUNCTION("googletranslate(E2281,""en"",""ja"")"),"生物学的標本中のハプトグロビンタンパク質の測定。")</f>
        <v>生物学的標本中のハプトグロビンタンパク質の測定。</v>
      </c>
      <c r="I2281" s="3" t="str">
        <f ca="1">IFERROR(__xludf.DUMMYFUNCTION("googletranslate(F2281,""en"",""ja"")"),"ハプトグロビンタンパク質の測定")</f>
        <v>ハプトグロビンタンパク質の測定</v>
      </c>
    </row>
    <row r="2282" spans="1:9" ht="30">
      <c r="A2282" s="3" t="s">
        <v>67</v>
      </c>
      <c r="B2282" s="3" t="s">
        <v>9490</v>
      </c>
      <c r="C2282" s="3" t="s">
        <v>9491</v>
      </c>
      <c r="D2282" s="3" t="s">
        <v>9492</v>
      </c>
      <c r="E2282" s="3" t="s">
        <v>9493</v>
      </c>
      <c r="F2282" s="3" t="s">
        <v>9494</v>
      </c>
      <c r="G2282" s="3" t="str">
        <f ca="1">IFERROR(__xludf.DUMMYFUNCTION("googletranslate(D2282,""en"",""ja"")"),"HAsAg; A型肝炎ウイルス表面抗原")</f>
        <v>HAsAg; A型肝炎ウイルス表面抗原</v>
      </c>
      <c r="H2282" s="3" t="str">
        <f ca="1">IFERROR(__xludf.DUMMYFUNCTION("googletranslate(E2282,""en"",""ja"")"),"A 型肝炎ウイルスに対する生体試料の表面抗原反応の測定。")</f>
        <v>A 型肝炎ウイルスに対する生体試料の表面抗原反応の測定。</v>
      </c>
      <c r="I2282" s="3" t="str">
        <f ca="1">IFERROR(__xludf.DUMMYFUNCTION("googletranslate(F2282,""en"",""ja"")"),"A型肝炎ウイルス表面抗原の測定")</f>
        <v>A型肝炎ウイルス表面抗原の測定</v>
      </c>
    </row>
    <row r="2283" spans="1:9" ht="30">
      <c r="A2283" s="3" t="s">
        <v>180</v>
      </c>
      <c r="B2283" s="3" t="s">
        <v>9495</v>
      </c>
      <c r="C2283" s="3" t="s">
        <v>9496</v>
      </c>
      <c r="D2283" s="3" t="s">
        <v>9496</v>
      </c>
      <c r="E2283" s="3" t="s">
        <v>9497</v>
      </c>
      <c r="F2283" s="3" t="s">
        <v>9498</v>
      </c>
      <c r="G2283" s="3" t="str">
        <f ca="1">IFERROR(__xludf.DUMMYFUNCTION("googletranslate(D2283,""en"",""ja"")"),"ヒト抗羊 IgE 抗体")</f>
        <v>ヒト抗羊 IgE 抗体</v>
      </c>
      <c r="H2283" s="3" t="str">
        <f ca="1">IFERROR(__xludf.DUMMYFUNCTION("googletranslate(E2283,""en"",""ja"")"),"生物学的標本中のヒト抗羊 IgE 抗体の測定。")</f>
        <v>生物学的標本中のヒト抗羊 IgE 抗体の測定。</v>
      </c>
      <c r="I2283" s="3" t="str">
        <f ca="1">IFERROR(__xludf.DUMMYFUNCTION("googletranslate(F2283,""en"",""ja"")"),"ヒト抗羊IgE抗体測定")</f>
        <v>ヒト抗羊IgE抗体測定</v>
      </c>
    </row>
    <row r="2284" spans="1:9" ht="30">
      <c r="A2284" s="3" t="s">
        <v>180</v>
      </c>
      <c r="B2284" s="3" t="s">
        <v>9499</v>
      </c>
      <c r="C2284" s="3" t="s">
        <v>9500</v>
      </c>
      <c r="D2284" s="3" t="s">
        <v>9500</v>
      </c>
      <c r="E2284" s="3" t="s">
        <v>9501</v>
      </c>
      <c r="F2284" s="3" t="s">
        <v>9502</v>
      </c>
      <c r="G2284" s="3" t="str">
        <f ca="1">IFERROR(__xludf.DUMMYFUNCTION("googletranslate(D2284,""en"",""ja"")"),"ヒト抗羊 IgG 抗体")</f>
        <v>ヒト抗羊 IgG 抗体</v>
      </c>
      <c r="H2284" s="3" t="str">
        <f ca="1">IFERROR(__xludf.DUMMYFUNCTION("googletranslate(E2284,""en"",""ja"")"),"生物学的標本中のヒト抗羊 IgG 抗体の測定。")</f>
        <v>生物学的標本中のヒト抗羊 IgG 抗体の測定。</v>
      </c>
      <c r="I2284" s="3" t="str">
        <f ca="1">IFERROR(__xludf.DUMMYFUNCTION("googletranslate(F2284,""en"",""ja"")"),"ヒト抗羊IgG抗体測定")</f>
        <v>ヒト抗羊IgG抗体測定</v>
      </c>
    </row>
    <row r="2285" spans="1:9" ht="30">
      <c r="A2285" s="3" t="s">
        <v>180</v>
      </c>
      <c r="B2285" s="3" t="s">
        <v>9503</v>
      </c>
      <c r="C2285" s="3" t="s">
        <v>9504</v>
      </c>
      <c r="D2285" s="3" t="s">
        <v>9504</v>
      </c>
      <c r="E2285" s="3" t="s">
        <v>9505</v>
      </c>
      <c r="F2285" s="3" t="s">
        <v>9506</v>
      </c>
      <c r="G2285" s="3" t="str">
        <f ca="1">IFERROR(__xludf.DUMMYFUNCTION("googletranslate(D2285,""en"",""ja"")"),"ヒト抗羊 IgM 抗体")</f>
        <v>ヒト抗羊 IgM 抗体</v>
      </c>
      <c r="H2285" s="3" t="str">
        <f ca="1">IFERROR(__xludf.DUMMYFUNCTION("googletranslate(E2285,""en"",""ja"")"),"生物学的検体中のヒト抗羊 IgM 抗体の測定。")</f>
        <v>生物学的検体中のヒト抗羊 IgM 抗体の測定。</v>
      </c>
      <c r="I2285" s="3" t="str">
        <f ca="1">IFERROR(__xludf.DUMMYFUNCTION("googletranslate(F2285,""en"",""ja"")"),"ヒト抗羊IgM抗体測定")</f>
        <v>ヒト抗羊IgM抗体測定</v>
      </c>
    </row>
    <row r="2286" spans="1:9" ht="30">
      <c r="A2286" s="3" t="s">
        <v>67</v>
      </c>
      <c r="B2286" s="3" t="s">
        <v>9507</v>
      </c>
      <c r="C2286" s="3" t="s">
        <v>9508</v>
      </c>
      <c r="D2286" s="3" t="s">
        <v>9508</v>
      </c>
      <c r="E2286" s="3" t="s">
        <v>9509</v>
      </c>
      <c r="F2286" s="3" t="s">
        <v>9510</v>
      </c>
      <c r="G2286" s="3" t="str">
        <f ca="1">IFERROR(__xludf.DUMMYFUNCTION("googletranslate(D2286,""en"",""ja"")"),"A型肝炎ウイルスRNA")</f>
        <v>A型肝炎ウイルスRNA</v>
      </c>
      <c r="H2286" s="3" t="str">
        <f ca="1">IFERROR(__xludf.DUMMYFUNCTION("googletranslate(E2286,""en"",""ja"")"),"生物学的検体中の A 型肝炎ウイルス RNA の測定。")</f>
        <v>生物学的検体中の A 型肝炎ウイルス RNA の測定。</v>
      </c>
      <c r="I2286" s="3" t="str">
        <f ca="1">IFERROR(__xludf.DUMMYFUNCTION("googletranslate(F2286,""en"",""ja"")"),"A型肝炎ウイルスRNA測定")</f>
        <v>A型肝炎ウイルスRNA測定</v>
      </c>
    </row>
    <row r="2287" spans="1:9" ht="30">
      <c r="A2287" s="3" t="s">
        <v>6</v>
      </c>
      <c r="B2287" s="3" t="s">
        <v>9511</v>
      </c>
      <c r="C2287" s="3" t="s">
        <v>9512</v>
      </c>
      <c r="D2287" s="3" t="s">
        <v>9513</v>
      </c>
      <c r="E2287" s="3" t="s">
        <v>9514</v>
      </c>
      <c r="F2287" s="3" t="s">
        <v>9515</v>
      </c>
      <c r="G2287" s="3" t="str">
        <f ca="1">IFERROR(__xludf.DUMMYFUNCTION("googletranslate(D2287,""en"",""ja"")"),"糖化ヘモグロビン 1A;ヘモグロビンA1A")</f>
        <v>糖化ヘモグロビン 1A;ヘモグロビンA1A</v>
      </c>
      <c r="H2287" s="3" t="str">
        <f ca="1">IFERROR(__xludf.DUMMYFUNCTION("googletranslate(E2287,""en"",""ja"")"),"生体試料中の糖化ヘモグロビン A1A の測定。")</f>
        <v>生体試料中の糖化ヘモグロビン A1A の測定。</v>
      </c>
      <c r="I2287" s="3" t="str">
        <f ca="1">IFERROR(__xludf.DUMMYFUNCTION("googletranslate(F2287,""en"",""ja"")"),"ヘモグロビンA1A測定")</f>
        <v>ヘモグロビンA1A測定</v>
      </c>
    </row>
    <row r="2288" spans="1:9" ht="30">
      <c r="A2288" s="3" t="s">
        <v>6</v>
      </c>
      <c r="B2288" s="3" t="s">
        <v>9516</v>
      </c>
      <c r="C2288" s="3" t="s">
        <v>9517</v>
      </c>
      <c r="D2288" s="3" t="s">
        <v>9518</v>
      </c>
      <c r="E2288" s="3" t="s">
        <v>9519</v>
      </c>
      <c r="F2288" s="3" t="s">
        <v>9520</v>
      </c>
      <c r="G2288" s="3" t="str">
        <f ca="1">IFERROR(__xludf.DUMMYFUNCTION("googletranslate(D2288,""en"",""ja"")"),"糖化ヘモグロビン1​​B;ヘモグロビンA1B")</f>
        <v>糖化ヘモグロビン1​​B;ヘモグロビンA1B</v>
      </c>
      <c r="H2288" s="3" t="str">
        <f ca="1">IFERROR(__xludf.DUMMYFUNCTION("googletranslate(E2288,""en"",""ja"")"),"生体試料中の糖化ヘモグロビン A1B の測定。")</f>
        <v>生体試料中の糖化ヘモグロビン A1B の測定。</v>
      </c>
      <c r="I2288" s="3" t="str">
        <f ca="1">IFERROR(__xludf.DUMMYFUNCTION("googletranslate(F2288,""en"",""ja"")"),"ヘモグロビンA1B測定")</f>
        <v>ヘモグロビンA1B測定</v>
      </c>
    </row>
    <row r="2289" spans="1:9" ht="30">
      <c r="A2289" s="3" t="s">
        <v>6</v>
      </c>
      <c r="B2289" s="3" t="s">
        <v>9521</v>
      </c>
      <c r="C2289" s="3" t="s">
        <v>9522</v>
      </c>
      <c r="D2289" s="3" t="s">
        <v>9523</v>
      </c>
      <c r="E2289" s="3" t="s">
        <v>9524</v>
      </c>
      <c r="F2289" s="3" t="s">
        <v>9525</v>
      </c>
      <c r="G2289" s="3" t="str">
        <f ca="1">IFERROR(__xludf.DUMMYFUNCTION("googletranslate(D2289,""en"",""ja"")"),"HbA1c;ヘモグロビンA1C")</f>
        <v>HbA1c;ヘモグロビンA1C</v>
      </c>
      <c r="H2289" s="3" t="str">
        <f ca="1">IFERROR(__xludf.DUMMYFUNCTION("googletranslate(E2289,""en"",""ja"")"),"生体試料中の糖化ヘモグロビン A1C の測定。")</f>
        <v>生体試料中の糖化ヘモグロビン A1C の測定。</v>
      </c>
      <c r="I2289" s="3" t="str">
        <f ca="1">IFERROR(__xludf.DUMMYFUNCTION("googletranslate(F2289,""en"",""ja"")"),"ヘモグロビンA1C測定")</f>
        <v>ヘモグロビンA1C測定</v>
      </c>
    </row>
    <row r="2290" spans="1:9" ht="45">
      <c r="A2290" s="3" t="s">
        <v>6</v>
      </c>
      <c r="B2290" s="3" t="s">
        <v>9526</v>
      </c>
      <c r="C2290" s="3" t="s">
        <v>9527</v>
      </c>
      <c r="D2290" s="3" t="s">
        <v>9527</v>
      </c>
      <c r="E2290" s="3" t="s">
        <v>9528</v>
      </c>
      <c r="F2290" s="3" t="s">
        <v>9529</v>
      </c>
      <c r="G2290" s="3" t="str">
        <f ca="1">IFERROR(__xludf.DUMMYFUNCTION("googletranslate(D2290,""en"",""ja"")"),"ヘモグロビンA1C/ヘモグロビン")</f>
        <v>ヘモグロビンA1C/ヘモグロビン</v>
      </c>
      <c r="H2290" s="3" t="str">
        <f ca="1">IFERROR(__xludf.DUMMYFUNCTION("googletranslate(E2290,""en"",""ja"")"),"生物学的標本中の総ヘモグロビンに対するグリコシル化ヘモグロビンの相対測定値 (比率またはパーセンテージ)。")</f>
        <v>生物学的標本中の総ヘモグロビンに対するグリコシル化ヘモグロビンの相対測定値 (比率またはパーセンテージ)。</v>
      </c>
      <c r="I2290" s="3" t="str">
        <f ca="1">IFERROR(__xludf.DUMMYFUNCTION("googletranslate(F2290,""en"",""ja"")"),"ヘモグロビンA1Cとヘモグロビンの比率の測定")</f>
        <v>ヘモグロビンA1Cとヘモグロビンの比率の測定</v>
      </c>
    </row>
    <row r="2291" spans="1:9" ht="45">
      <c r="A2291" s="3" t="s">
        <v>6</v>
      </c>
      <c r="B2291" s="3" t="s">
        <v>9530</v>
      </c>
      <c r="C2291" s="3" t="s">
        <v>9531</v>
      </c>
      <c r="D2291" s="3" t="s">
        <v>9531</v>
      </c>
      <c r="E2291" s="3" t="s">
        <v>9532</v>
      </c>
      <c r="F2291" s="3" t="s">
        <v>9533</v>
      </c>
      <c r="G2291" s="3" t="str">
        <f ca="1">IFERROR(__xludf.DUMMYFUNCTION("googletranslate(D2291,""en"",""ja"")"),"ヘモグロビン A2 プライム/総ヘモグロビン")</f>
        <v>ヘモグロビン A2 プライム/総ヘモグロビン</v>
      </c>
      <c r="H2291" s="3" t="str">
        <f ca="1">IFERROR(__xludf.DUMMYFUNCTION("googletranslate(E2291,""en"",""ja"")"),"生物学的標本中の総ヘモグロビンに対するヘモグロビン A2 プライムの相対測定値 (比率またはパーセンテージ)。")</f>
        <v>生物学的標本中の総ヘモグロビンに対するヘモグロビン A2 プライムの相対測定値 (比率またはパーセンテージ)。</v>
      </c>
      <c r="I2291" s="3" t="str">
        <f ca="1">IFERROR(__xludf.DUMMYFUNCTION("googletranslate(F2291,""en"",""ja"")"),"ヘモグロビン A2 プライム対総ヘモグロビン比の測定")</f>
        <v>ヘモグロビン A2 プライム対総ヘモグロビン比の測定</v>
      </c>
    </row>
    <row r="2292" spans="1:9" ht="45">
      <c r="A2292" s="3" t="s">
        <v>6</v>
      </c>
      <c r="B2292" s="3" t="s">
        <v>9534</v>
      </c>
      <c r="C2292" s="3" t="s">
        <v>9535</v>
      </c>
      <c r="D2292" s="3" t="s">
        <v>9535</v>
      </c>
      <c r="E2292" s="3" t="s">
        <v>9536</v>
      </c>
      <c r="F2292" s="3" t="s">
        <v>9537</v>
      </c>
      <c r="G2292" s="3" t="str">
        <f ca="1">IFERROR(__xludf.DUMMYFUNCTION("googletranslate(D2292,""en"",""ja"")"),"ヘモグロビンバーツ/総ヘモグロビン")</f>
        <v>ヘモグロビンバーツ/総ヘモグロビン</v>
      </c>
      <c r="H2292" s="3" t="str">
        <f ca="1">IFERROR(__xludf.DUMMYFUNCTION("googletranslate(E2292,""en"",""ja"")"),"生物学的標本の総ヘモグロビンに対するヘモグロビン Bart の相対測定値 (比率またはパーセンテージ)。")</f>
        <v>生物学的標本の総ヘモグロビンに対するヘモグロビン Bart の相対測定値 (比率またはパーセンテージ)。</v>
      </c>
      <c r="I2292" s="3" t="str">
        <f ca="1">IFERROR(__xludf.DUMMYFUNCTION("googletranslate(F2292,""en"",""ja"")"),"ヘモグロビンバーツ対総ヘモグロビン比の測定")</f>
        <v>ヘモグロビンバーツ対総ヘモグロビン比の測定</v>
      </c>
    </row>
    <row r="2293" spans="1:9" ht="30">
      <c r="A2293" s="3" t="s">
        <v>67</v>
      </c>
      <c r="B2293" s="3" t="s">
        <v>9538</v>
      </c>
      <c r="C2293" s="3" t="s">
        <v>9539</v>
      </c>
      <c r="D2293" s="3" t="s">
        <v>9539</v>
      </c>
      <c r="E2293" s="3" t="s">
        <v>9540</v>
      </c>
      <c r="F2293" s="3" t="s">
        <v>9541</v>
      </c>
      <c r="G2293" s="3" t="str">
        <f ca="1">IFERROR(__xludf.DUMMYFUNCTION("googletranslate(D2293,""en"",""ja"")"),"B型肝炎ウイルスコア抗原")</f>
        <v>B型肝炎ウイルスコア抗原</v>
      </c>
      <c r="H2293" s="3" t="str">
        <f ca="1">IFERROR(__xludf.DUMMYFUNCTION("googletranslate(E2293,""en"",""ja"")"),"生物学的検体中の B 型肝炎ウイルスのコア抗原の測定。")</f>
        <v>生物学的検体中の B 型肝炎ウイルスのコア抗原の測定。</v>
      </c>
      <c r="I2293" s="3" t="str">
        <f ca="1">IFERROR(__xludf.DUMMYFUNCTION("googletranslate(F2293,""en"",""ja"")"),"B型肝炎ウイルスコア抗原測定")</f>
        <v>B型肝炎ウイルスコア抗原測定</v>
      </c>
    </row>
    <row r="2294" spans="1:9" ht="45">
      <c r="A2294" s="3" t="s">
        <v>6</v>
      </c>
      <c r="B2294" s="3" t="s">
        <v>9542</v>
      </c>
      <c r="C2294" s="3" t="s">
        <v>9543</v>
      </c>
      <c r="D2294" s="3" t="s">
        <v>9543</v>
      </c>
      <c r="E2294" s="3" t="s">
        <v>9544</v>
      </c>
      <c r="F2294" s="3" t="s">
        <v>9545</v>
      </c>
      <c r="G2294" s="3" t="str">
        <f ca="1">IFERROR(__xludf.DUMMYFUNCTION("googletranslate(D2294,""en"",""ja"")"),"カルボキシヘモグロビン/総ヘモグロビン")</f>
        <v>カルボキシヘモグロビン/総ヘモグロビン</v>
      </c>
      <c r="H2294" s="3" t="str">
        <f ca="1">IFERROR(__xludf.DUMMYFUNCTION("googletranslate(E2294,""en"",""ja"")"),"生物学的標本の総ヘモグロビンと比較したカルボキシヘモグロビンの量の相対測定値 (比率またはパーセンテージ)。")</f>
        <v>生物学的標本の総ヘモグロビンと比較したカルボキシヘモグロビンの量の相対測定値 (比率またはパーセンテージ)。</v>
      </c>
      <c r="I2294" s="3" t="str">
        <f ca="1">IFERROR(__xludf.DUMMYFUNCTION("googletranslate(F2294,""en"",""ja"")"),"カルボキシヘモグロビンと総ヘモグロビンの比率の測定")</f>
        <v>カルボキシヘモグロビンと総ヘモグロビンの比率の測定</v>
      </c>
    </row>
    <row r="2295" spans="1:9" ht="30">
      <c r="A2295" s="3" t="s">
        <v>67</v>
      </c>
      <c r="B2295" s="3" t="s">
        <v>9546</v>
      </c>
      <c r="C2295" s="3" t="s">
        <v>9547</v>
      </c>
      <c r="D2295" s="3" t="s">
        <v>9547</v>
      </c>
      <c r="E2295" s="3" t="s">
        <v>9548</v>
      </c>
      <c r="F2295" s="3" t="s">
        <v>9549</v>
      </c>
      <c r="G2295" s="3" t="str">
        <f ca="1">IFERROR(__xludf.DUMMYFUNCTION("googletranslate(D2295,""en"",""ja"")"),"B型肝炎ウイルスのDNA")</f>
        <v>B型肝炎ウイルスのDNA</v>
      </c>
      <c r="H2295" s="3" t="str">
        <f ca="1">IFERROR(__xludf.DUMMYFUNCTION("googletranslate(E2295,""en"",""ja"")"),"生物学的検体中の B 型肝炎ウイルス DNA の測定。")</f>
        <v>生物学的検体中の B 型肝炎ウイルス DNA の測定。</v>
      </c>
      <c r="I2295" s="3" t="str">
        <f ca="1">IFERROR(__xludf.DUMMYFUNCTION("googletranslate(F2295,""en"",""ja"")"),"B型肝炎のDNA測定")</f>
        <v>B型肝炎のDNA測定</v>
      </c>
    </row>
    <row r="2296" spans="1:9" ht="30">
      <c r="A2296" s="3" t="s">
        <v>67</v>
      </c>
      <c r="B2296" s="3" t="s">
        <v>9550</v>
      </c>
      <c r="C2296" s="3" t="s">
        <v>9551</v>
      </c>
      <c r="D2296" s="3" t="s">
        <v>9551</v>
      </c>
      <c r="E2296" s="3" t="s">
        <v>9552</v>
      </c>
      <c r="F2296" s="3" t="s">
        <v>9553</v>
      </c>
      <c r="G2296" s="3" t="str">
        <f ca="1">IFERROR(__xludf.DUMMYFUNCTION("googletranslate(D2296,""en"",""ja"")"),"B型肝炎ウイルスおよび抗原")</f>
        <v>B型肝炎ウイルスおよび抗原</v>
      </c>
      <c r="H2296" s="3" t="str">
        <f ca="1">IFERROR(__xludf.DUMMYFUNCTION("googletranslate(E2296,""en"",""ja"")"),"生物学的標本中の B 型肝炎 e 抗原の測定。")</f>
        <v>生物学的標本中の B 型肝炎 e 抗原の測定。</v>
      </c>
      <c r="I2296" s="3" t="str">
        <f ca="1">IFERROR(__xludf.DUMMYFUNCTION("googletranslate(F2296,""en"",""ja"")"),"B型肝炎ウイルス抗原測定")</f>
        <v>B型肝炎ウイルス抗原測定</v>
      </c>
    </row>
    <row r="2297" spans="1:9" ht="75">
      <c r="A2297" s="3" t="s">
        <v>6</v>
      </c>
      <c r="B2297" s="3" t="s">
        <v>9554</v>
      </c>
      <c r="C2297" s="3" t="s">
        <v>9555</v>
      </c>
      <c r="D2297" s="3" t="s">
        <v>9556</v>
      </c>
      <c r="E2297" s="3" t="s">
        <v>9557</v>
      </c>
      <c r="F2297" s="3" t="s">
        <v>9558</v>
      </c>
      <c r="G2297" s="3" t="str">
        <f ca="1">IFERROR(__xludf.DUMMYFUNCTION("googletranslate(D2297,""en"",""ja"")"),"HB-EGF;ヘグフル;ヘパリン結合 EGF 様成長因子;ヘパリン結合性 EGF 様成長因子;プロヘパリン結合性 EGF 様成長因子")</f>
        <v>HB-EGF;ヘグフル;ヘパリン結合 EGF 様成長因子;ヘパリン結合性 EGF 様成長因子;プロヘパリン結合性 EGF 様成長因子</v>
      </c>
      <c r="H2297" s="3" t="str">
        <f ca="1">IFERROR(__xludf.DUMMYFUNCTION("googletranslate(E2297,""en"",""ja"")"),"生物学的標本中のヘパリン結合性 EGF 様成長因子の測定。")</f>
        <v>生物学的標本中のヘパリン結合性 EGF 様成長因子の測定。</v>
      </c>
      <c r="I2297" s="3" t="str">
        <f ca="1">IFERROR(__xludf.DUMMYFUNCTION("googletranslate(F2297,""en"",""ja"")"),"ヘパリン結合EGF様成長因子の測定")</f>
        <v>ヘパリン結合EGF様成長因子の測定</v>
      </c>
    </row>
    <row r="2298" spans="1:9" ht="45">
      <c r="A2298" s="3" t="s">
        <v>6</v>
      </c>
      <c r="B2298" s="3" t="s">
        <v>9559</v>
      </c>
      <c r="C2298" s="3" t="s">
        <v>9560</v>
      </c>
      <c r="D2298" s="3" t="s">
        <v>9560</v>
      </c>
      <c r="E2298" s="3" t="s">
        <v>9561</v>
      </c>
      <c r="F2298" s="3" t="s">
        <v>9562</v>
      </c>
      <c r="G2298" s="3" t="str">
        <f ca="1">IFERROR(__xludf.DUMMYFUNCTION("googletranslate(D2298,""en"",""ja"")"),"ヘモグロビン G クーシャッタ/総ヘモグロビン")</f>
        <v>ヘモグロビン G クーシャッタ/総ヘモグロビン</v>
      </c>
      <c r="H2298" s="3" t="str">
        <f ca="1">IFERROR(__xludf.DUMMYFUNCTION("googletranslate(E2298,""en"",""ja"")"),"生物学的標本の総ヘモグロビンに対するヘモグロビン G クーシャッタの相対測定値 (比率またはパーセンテージ)。")</f>
        <v>生物学的標本の総ヘモグロビンに対するヘモグロビン G クーシャッタの相対測定値 (比率またはパーセンテージ)。</v>
      </c>
      <c r="I2298" s="3" t="str">
        <f ca="1">IFERROR(__xludf.DUMMYFUNCTION("googletranslate(F2298,""en"",""ja"")"),"ヘモグロビン G クーシャッタと総ヘモグロビンの比率の測定")</f>
        <v>ヘモグロビン G クーシャッタと総ヘモグロビンの比率の測定</v>
      </c>
    </row>
    <row r="2299" spans="1:9" ht="45">
      <c r="A2299" s="3" t="s">
        <v>6</v>
      </c>
      <c r="B2299" s="3" t="s">
        <v>9563</v>
      </c>
      <c r="C2299" s="3" t="s">
        <v>9564</v>
      </c>
      <c r="D2299" s="3" t="s">
        <v>9565</v>
      </c>
      <c r="E2299" s="3" t="s">
        <v>9566</v>
      </c>
      <c r="F2299" s="3" t="s">
        <v>9567</v>
      </c>
      <c r="G2299" s="3" t="str">
        <f ca="1">IFERROR(__xludf.DUMMYFUNCTION("googletranslate(D2299,""en"",""ja"")"),"HBH 封入体;ヘモグロビン H 封入体; HGH 封入体")</f>
        <v>HBH 封入体;ヘモグロビン H 封入体; HGH 封入体</v>
      </c>
      <c r="H2299" s="3" t="str">
        <f ca="1">IFERROR(__xludf.DUMMYFUNCTION("googletranslate(E2299,""en"",""ja"")"),"生物学的標本中のヘモグロビン H 封入体の測定。")</f>
        <v>生物学的標本中のヘモグロビン H 封入体の測定。</v>
      </c>
      <c r="I2299" s="3" t="str">
        <f ca="1">IFERROR(__xludf.DUMMYFUNCTION("googletranslate(F2299,""en"",""ja"")"),"ヘモグロビンH封入体の測定")</f>
        <v>ヘモグロビンH封入体の測定</v>
      </c>
    </row>
    <row r="2300" spans="1:9" ht="45">
      <c r="A2300" s="3" t="s">
        <v>6</v>
      </c>
      <c r="B2300" s="3" t="s">
        <v>9568</v>
      </c>
      <c r="C2300" s="3" t="s">
        <v>9569</v>
      </c>
      <c r="D2300" s="3" t="s">
        <v>9569</v>
      </c>
      <c r="E2300" s="3" t="s">
        <v>9570</v>
      </c>
      <c r="F2300" s="3" t="s">
        <v>9571</v>
      </c>
      <c r="G2300" s="3" t="str">
        <f ca="1">IFERROR(__xludf.DUMMYFUNCTION("googletranslate(D2300,""en"",""ja"")"),"ヘモグロビン Lepore/総ヘモグロビン")</f>
        <v>ヘモグロビン Lepore/総ヘモグロビン</v>
      </c>
      <c r="H2300" s="3" t="str">
        <f ca="1">IFERROR(__xludf.DUMMYFUNCTION("googletranslate(E2300,""en"",""ja"")"),"生物学的標本の総ヘモグロビンに対する Lepore ヘモグロビンの相対測定値 (比率またはパーセンテージ)。")</f>
        <v>生物学的標本の総ヘモグロビンに対する Lepore ヘモグロビンの相対測定値 (比率またはパーセンテージ)。</v>
      </c>
      <c r="I2300" s="3" t="str">
        <f ca="1">IFERROR(__xludf.DUMMYFUNCTION("googletranslate(F2300,""en"",""ja"")"),"ヘモグロビン菌と総ヘモグロビンの比率の測定")</f>
        <v>ヘモグロビン菌と総ヘモグロビンの比率の測定</v>
      </c>
    </row>
    <row r="2301" spans="1:9" ht="30">
      <c r="A2301" s="3" t="s">
        <v>67</v>
      </c>
      <c r="B2301" s="3" t="s">
        <v>9572</v>
      </c>
      <c r="C2301" s="3" t="s">
        <v>9573</v>
      </c>
      <c r="D2301" s="3" t="s">
        <v>9573</v>
      </c>
      <c r="E2301" s="3" t="s">
        <v>9574</v>
      </c>
      <c r="F2301" s="3" t="s">
        <v>9575</v>
      </c>
      <c r="G2301" s="3" t="str">
        <f ca="1">IFERROR(__xludf.DUMMYFUNCTION("googletranslate(D2301,""en"",""ja"")"),"B型肝炎ウイルスの核酸")</f>
        <v>B型肝炎ウイルスの核酸</v>
      </c>
      <c r="H2301" s="3" t="str">
        <f ca="1">IFERROR(__xludf.DUMMYFUNCTION("googletranslate(E2301,""en"",""ja"")"),"生物学的検体中の B 型肝炎ウイルスの核酸の測定。")</f>
        <v>生物学的検体中の B 型肝炎ウイルスの核酸の測定。</v>
      </c>
      <c r="I2301" s="3" t="str">
        <f ca="1">IFERROR(__xludf.DUMMYFUNCTION("googletranslate(F2301,""en"",""ja"")"),"B型肝炎ウイルスの核酸測定")</f>
        <v>B型肝炎ウイルスの核酸測定</v>
      </c>
    </row>
    <row r="2302" spans="1:9" ht="45">
      <c r="A2302" s="3" t="s">
        <v>6</v>
      </c>
      <c r="B2302" s="3" t="s">
        <v>9576</v>
      </c>
      <c r="C2302" s="3" t="s">
        <v>9577</v>
      </c>
      <c r="D2302" s="3" t="s">
        <v>9577</v>
      </c>
      <c r="E2302" s="3" t="s">
        <v>9578</v>
      </c>
      <c r="F2302" s="3" t="s">
        <v>9579</v>
      </c>
      <c r="G2302" s="3" t="str">
        <f ca="1">IFERROR(__xludf.DUMMYFUNCTION("googletranslate(D2302,""en"",""ja"")"),"ヘモグロビン O-Arab/総ヘモグロビン")</f>
        <v>ヘモグロビン O-Arab/総ヘモグロビン</v>
      </c>
      <c r="H2302" s="3" t="str">
        <f ca="1">IFERROR(__xludf.DUMMYFUNCTION("googletranslate(E2302,""en"",""ja"")"),"生物学的標本の総ヘモグロビンに対するヘモグロビン O-Arab の相対測定値 (比率またはパーセンテージ)。")</f>
        <v>生物学的標本の総ヘモグロビンに対するヘモグロビン O-Arab の相対測定値 (比率またはパーセンテージ)。</v>
      </c>
      <c r="I2302" s="3" t="str">
        <f ca="1">IFERROR(__xludf.DUMMYFUNCTION("googletranslate(F2302,""en"",""ja"")"),"ヘモグロビンO-Arab対総ヘモグロビン比の測定")</f>
        <v>ヘモグロビンO-Arab対総ヘモグロビン比の測定</v>
      </c>
    </row>
    <row r="2303" spans="1:9" ht="30">
      <c r="A2303" s="3" t="s">
        <v>67</v>
      </c>
      <c r="B2303" s="3" t="s">
        <v>9580</v>
      </c>
      <c r="C2303" s="3" t="s">
        <v>9581</v>
      </c>
      <c r="D2303" s="3" t="s">
        <v>9581</v>
      </c>
      <c r="E2303" s="3" t="s">
        <v>9582</v>
      </c>
      <c r="F2303" s="3" t="s">
        <v>9583</v>
      </c>
      <c r="G2303" s="3" t="str">
        <f ca="1">IFERROR(__xludf.DUMMYFUNCTION("googletranslate(D2303,""en"",""ja"")"),"ヒトボカウイルス抗原")</f>
        <v>ヒトボカウイルス抗原</v>
      </c>
      <c r="H2303" s="3" t="str">
        <f ca="1">IFERROR(__xludf.DUMMYFUNCTION("googletranslate(E2303,""en"",""ja"")"),"生物学的標本中のヒトボカウイルス抗原の測定。")</f>
        <v>生物学的標本中のヒトボカウイルス抗原の測定。</v>
      </c>
      <c r="I2303" s="3" t="str">
        <f ca="1">IFERROR(__xludf.DUMMYFUNCTION("googletranslate(F2303,""en"",""ja"")"),"ヒトボカウイルス抗原測定")</f>
        <v>ヒトボカウイルス抗原測定</v>
      </c>
    </row>
    <row r="2304" spans="1:9" ht="30">
      <c r="A2304" s="3" t="s">
        <v>67</v>
      </c>
      <c r="B2304" s="3" t="s">
        <v>9584</v>
      </c>
      <c r="C2304" s="3" t="s">
        <v>9585</v>
      </c>
      <c r="D2304" s="3" t="s">
        <v>9585</v>
      </c>
      <c r="E2304" s="3" t="s">
        <v>9586</v>
      </c>
      <c r="F2304" s="3" t="s">
        <v>9587</v>
      </c>
      <c r="G2304" s="3" t="str">
        <f ca="1">IFERROR(__xludf.DUMMYFUNCTION("googletranslate(D2304,""en"",""ja"")"),"ヒトボカウイルス DNA")</f>
        <v>ヒトボカウイルス DNA</v>
      </c>
      <c r="H2304" s="3" t="str">
        <f ca="1">IFERROR(__xludf.DUMMYFUNCTION("googletranslate(E2304,""en"",""ja"")"),"生物学的標本中のヒトボカウイルス DNA の測定。")</f>
        <v>生物学的標本中のヒトボカウイルス DNA の測定。</v>
      </c>
      <c r="I2304" s="3" t="str">
        <f ca="1">IFERROR(__xludf.DUMMYFUNCTION("googletranslate(F2304,""en"",""ja"")"),"ヒトボカウイルスDNA測定")</f>
        <v>ヒトボカウイルスDNA測定</v>
      </c>
    </row>
    <row r="2305" spans="1:9" ht="30">
      <c r="A2305" s="3" t="s">
        <v>67</v>
      </c>
      <c r="B2305" s="3" t="s">
        <v>9588</v>
      </c>
      <c r="C2305" s="3" t="s">
        <v>9589</v>
      </c>
      <c r="D2305" s="3" t="s">
        <v>9589</v>
      </c>
      <c r="E2305" s="3" t="s">
        <v>9590</v>
      </c>
      <c r="F2305" s="3" t="s">
        <v>9591</v>
      </c>
      <c r="G2305" s="3" t="str">
        <f ca="1">IFERROR(__xludf.DUMMYFUNCTION("googletranslate(D2305,""en"",""ja"")"),"ヒトボカウイルス核酸")</f>
        <v>ヒトボカウイルス核酸</v>
      </c>
      <c r="H2305" s="3" t="str">
        <f ca="1">IFERROR(__xludf.DUMMYFUNCTION("googletranslate(E2305,""en"",""ja"")"),"生物学的標本中のヒトボカウイルス核酸の測定。")</f>
        <v>生物学的標本中のヒトボカウイルス核酸の測定。</v>
      </c>
      <c r="I2305" s="3" t="str">
        <f ca="1">IFERROR(__xludf.DUMMYFUNCTION("googletranslate(F2305,""en"",""ja"")"),"ヒトボカウイルス核酸測定")</f>
        <v>ヒトボカウイルス核酸測定</v>
      </c>
    </row>
    <row r="2306" spans="1:9" ht="45">
      <c r="A2306" s="3" t="s">
        <v>6</v>
      </c>
      <c r="B2306" s="3" t="s">
        <v>9592</v>
      </c>
      <c r="C2306" s="3" t="s">
        <v>9593</v>
      </c>
      <c r="D2306" s="3" t="s">
        <v>9594</v>
      </c>
      <c r="E2306" s="3" t="s">
        <v>9595</v>
      </c>
      <c r="F2306" s="3" t="s">
        <v>9596</v>
      </c>
      <c r="G2306" s="3" t="str">
        <f ca="1">IFERROR(__xludf.DUMMYFUNCTION("googletranslate(D2306,""en"",""ja"")"),"FO2Hb;分別オキシヘモグロビン。オキシヘモグロビン/総ヘモグロビン")</f>
        <v>FO2Hb;分別オキシヘモグロビン。オキシヘモグロビン/総ヘモグロビン</v>
      </c>
      <c r="H2306" s="3" t="str">
        <f ca="1">IFERROR(__xludf.DUMMYFUNCTION("googletranslate(E2306,""en"",""ja"")"),"生物学的標本の総ヘモグロビンと比較したオキシヘモグロビンの量の相対測定値 (比率またはパーセンテージ)。")</f>
        <v>生物学的標本の総ヘモグロビンと比較したオキシヘモグロビンの量の相対測定値 (比率またはパーセンテージ)。</v>
      </c>
      <c r="I2306" s="3" t="str">
        <f ca="1">IFERROR(__xludf.DUMMYFUNCTION("googletranslate(F2306,""en"",""ja"")"),"オキシヘモグロビン対総ヘモグロビン比の測定")</f>
        <v>オキシヘモグロビン対総ヘモグロビン比の測定</v>
      </c>
    </row>
    <row r="2307" spans="1:9" ht="30">
      <c r="A2307" s="3" t="s">
        <v>67</v>
      </c>
      <c r="B2307" s="3" t="s">
        <v>9597</v>
      </c>
      <c r="C2307" s="3" t="s">
        <v>9598</v>
      </c>
      <c r="D2307" s="3" t="s">
        <v>9598</v>
      </c>
      <c r="E2307" s="3" t="s">
        <v>9599</v>
      </c>
      <c r="F2307" s="3" t="s">
        <v>9600</v>
      </c>
      <c r="G2307" s="3" t="str">
        <f ca="1">IFERROR(__xludf.DUMMYFUNCTION("googletranslate(D2307,""en"",""ja"")"),"B型肝炎ウイルスRNA")</f>
        <v>B型肝炎ウイルスRNA</v>
      </c>
      <c r="H2307" s="3" t="str">
        <f ca="1">IFERROR(__xludf.DUMMYFUNCTION("googletranslate(E2307,""en"",""ja"")"),"生物学的標本中の B 型肝炎ウイルス RNA の測定。")</f>
        <v>生物学的標本中の B 型肝炎ウイルス RNA の測定。</v>
      </c>
      <c r="I2307" s="3" t="str">
        <f ca="1">IFERROR(__xludf.DUMMYFUNCTION("googletranslate(F2307,""en"",""ja"")"),"B型肝炎ウイルスRNA測定")</f>
        <v>B型肝炎ウイルスRNA測定</v>
      </c>
    </row>
    <row r="2308" spans="1:9" ht="30">
      <c r="A2308" s="3" t="s">
        <v>67</v>
      </c>
      <c r="B2308" s="3" t="s">
        <v>9601</v>
      </c>
      <c r="C2308" s="3" t="s">
        <v>9602</v>
      </c>
      <c r="D2308" s="3" t="s">
        <v>9603</v>
      </c>
      <c r="E2308" s="3" t="s">
        <v>9604</v>
      </c>
      <c r="F2308" s="3" t="s">
        <v>9605</v>
      </c>
      <c r="G2308" s="3" t="str">
        <f ca="1">IFERROR(__xludf.DUMMYFUNCTION("googletranslate(D2308,""en"",""ja"")"),"HBsAg; B型肝炎ウイルス表面抗原")</f>
        <v>HBsAg; B型肝炎ウイルス表面抗原</v>
      </c>
      <c r="H2308" s="3" t="str">
        <f ca="1">IFERROR(__xludf.DUMMYFUNCTION("googletranslate(E2308,""en"",""ja"")"),"B 型肝炎ウイルスに対する生体試料の表面抗原反応の測定。")</f>
        <v>B 型肝炎ウイルスに対する生体試料の表面抗原反応の測定。</v>
      </c>
      <c r="I2308" s="3" t="str">
        <f ca="1">IFERROR(__xludf.DUMMYFUNCTION("googletranslate(F2308,""en"",""ja"")"),"B型肝炎ウイルス表面抗原測定")</f>
        <v>B型肝炎ウイルス表面抗原測定</v>
      </c>
    </row>
    <row r="2309" spans="1:9" ht="30">
      <c r="A2309" s="3" t="s">
        <v>67</v>
      </c>
      <c r="B2309" s="3" t="s">
        <v>9606</v>
      </c>
      <c r="C2309" s="3" t="s">
        <v>9607</v>
      </c>
      <c r="D2309" s="3" t="s">
        <v>9607</v>
      </c>
      <c r="E2309" s="3" t="s">
        <v>9608</v>
      </c>
      <c r="F2309" s="3" t="s">
        <v>9609</v>
      </c>
      <c r="G2309" s="3" t="str">
        <f ca="1">IFERROR(__xludf.DUMMYFUNCTION("googletranslate(D2309,""en"",""ja"")"),"B型肝炎ウイルス")</f>
        <v>B型肝炎ウイルス</v>
      </c>
      <c r="H2309" s="3" t="str">
        <f ca="1">IFERROR(__xludf.DUMMYFUNCTION("googletranslate(E2309,""en"",""ja"")"),"生物学的検体中の B 型肝炎ウイルスの測定。")</f>
        <v>生物学的検体中の B 型肝炎ウイルスの測定。</v>
      </c>
      <c r="I2309" s="3" t="str">
        <f ca="1">IFERROR(__xludf.DUMMYFUNCTION("googletranslate(F2309,""en"",""ja"")"),"B型肝炎ウイルス測定")</f>
        <v>B型肝炎ウイルス測定</v>
      </c>
    </row>
    <row r="2310" spans="1:9" ht="30">
      <c r="A2310" s="3" t="s">
        <v>67</v>
      </c>
      <c r="B2310" s="3" t="s">
        <v>9610</v>
      </c>
      <c r="C2310" s="3" t="s">
        <v>9611</v>
      </c>
      <c r="D2310" s="3" t="s">
        <v>9611</v>
      </c>
      <c r="E2310" s="3" t="s">
        <v>9612</v>
      </c>
      <c r="F2310" s="3" t="s">
        <v>9613</v>
      </c>
      <c r="G2310" s="3" t="str">
        <f ca="1">IFERROR(__xludf.DUMMYFUNCTION("googletranslate(D2310,""en"",""ja"")"),"C型肝炎ウイルス抗原")</f>
        <v>C型肝炎ウイルス抗原</v>
      </c>
      <c r="H2310" s="3" t="str">
        <f ca="1">IFERROR(__xludf.DUMMYFUNCTION("googletranslate(E2310,""en"",""ja"")"),"生物学的検体中の C 型肝炎ウイルス抗原の測定。")</f>
        <v>生物学的検体中の C 型肝炎ウイルス抗原の測定。</v>
      </c>
      <c r="I2310" s="3" t="str">
        <f ca="1">IFERROR(__xludf.DUMMYFUNCTION("googletranslate(F2310,""en"",""ja"")"),"C型肝炎ウイルス抗原測定")</f>
        <v>C型肝炎ウイルス抗原測定</v>
      </c>
    </row>
    <row r="2311" spans="1:9" ht="30">
      <c r="A2311" s="3" t="s">
        <v>67</v>
      </c>
      <c r="B2311" s="3" t="s">
        <v>9614</v>
      </c>
      <c r="C2311" s="3" t="s">
        <v>9615</v>
      </c>
      <c r="D2311" s="3" t="s">
        <v>9615</v>
      </c>
      <c r="E2311" s="3" t="s">
        <v>9616</v>
      </c>
      <c r="F2311" s="3" t="s">
        <v>9617</v>
      </c>
      <c r="G2311" s="3" t="str">
        <f ca="1">IFERROR(__xludf.DUMMYFUNCTION("googletranslate(D2311,""en"",""ja"")"),"C型肝炎ウイルスコア抗原")</f>
        <v>C型肝炎ウイルスコア抗原</v>
      </c>
      <c r="H2311" s="3" t="str">
        <f ca="1">IFERROR(__xludf.DUMMYFUNCTION("googletranslate(E2311,""en"",""ja"")"),"生物学的検体中の C 型肝炎ウイルスのコア抗原の測定。")</f>
        <v>生物学的検体中の C 型肝炎ウイルスのコア抗原の測定。</v>
      </c>
      <c r="I2311" s="3" t="str">
        <f ca="1">IFERROR(__xludf.DUMMYFUNCTION("googletranslate(F2311,""en"",""ja"")"),"C型肝炎ウイルスコア抗原測定")</f>
        <v>C型肝炎ウイルスコア抗原測定</v>
      </c>
    </row>
    <row r="2312" spans="1:9" ht="30">
      <c r="A2312" s="3" t="s">
        <v>81</v>
      </c>
      <c r="B2312" s="3" t="s">
        <v>9618</v>
      </c>
      <c r="C2312" s="3" t="s">
        <v>9619</v>
      </c>
      <c r="D2312" s="3" t="s">
        <v>9619</v>
      </c>
      <c r="E2312" s="3" t="s">
        <v>9620</v>
      </c>
      <c r="F2312" s="3" t="s">
        <v>9619</v>
      </c>
      <c r="G2312" s="3" t="str">
        <f ca="1">IFERROR(__xludf.DUMMYFUNCTION("googletranslate(D2312,""en"",""ja"")"),"心腔拡大インジケーター")</f>
        <v>心腔拡大インジケーター</v>
      </c>
      <c r="H2312" s="3" t="str">
        <f ca="1">IFERROR(__xludf.DUMMYFUNCTION("googletranslate(E2312,""en"",""ja"")"),"心腔の拡張があるかどうかを示す指標。")</f>
        <v>心腔の拡張があるかどうかを示す指標。</v>
      </c>
      <c r="I2312" s="3" t="str">
        <f ca="1">IFERROR(__xludf.DUMMYFUNCTION("googletranslate(F2312,""en"",""ja"")"),"心腔拡大インジケーター")</f>
        <v>心腔拡大インジケーター</v>
      </c>
    </row>
    <row r="2313" spans="1:9" ht="30">
      <c r="A2313" s="3" t="s">
        <v>6</v>
      </c>
      <c r="B2313" s="3" t="s">
        <v>9621</v>
      </c>
      <c r="C2313" s="3" t="s">
        <v>9622</v>
      </c>
      <c r="D2313" s="3" t="s">
        <v>9623</v>
      </c>
      <c r="E2313" s="3" t="s">
        <v>9624</v>
      </c>
      <c r="F2313" s="3" t="s">
        <v>9625</v>
      </c>
      <c r="G2313" s="3" t="str">
        <f ca="1">IFERROR(__xludf.DUMMYFUNCTION("googletranslate(D2313,""en"",""ja"")"),"絨毛性ゴナドトロピン ベータ;妊娠検査薬")</f>
        <v>絨毛性ゴナドトロピン ベータ;妊娠検査薬</v>
      </c>
      <c r="H2313" s="3" t="str">
        <f ca="1">IFERROR(__xludf.DUMMYFUNCTION("googletranslate(E2313,""en"",""ja"")"),"生物学的標本中の絨毛性ゴナドトロピン ベータの測定。")</f>
        <v>生物学的標本中の絨毛性ゴナドトロピン ベータの測定。</v>
      </c>
      <c r="I2313" s="3" t="str">
        <f ca="1">IFERROR(__xludf.DUMMYFUNCTION("googletranslate(F2313,""en"",""ja"")"),"脈絡性腺刺激ホルモンベータ測定")</f>
        <v>脈絡性腺刺激ホルモンベータ測定</v>
      </c>
    </row>
    <row r="2314" spans="1:9" ht="30">
      <c r="A2314" s="3" t="s">
        <v>6</v>
      </c>
      <c r="B2314" s="3" t="s">
        <v>9626</v>
      </c>
      <c r="C2314" s="3" t="s">
        <v>9627</v>
      </c>
      <c r="D2314" s="3" t="s">
        <v>9627</v>
      </c>
      <c r="E2314" s="3" t="s">
        <v>9628</v>
      </c>
      <c r="F2314" s="3" t="s">
        <v>9629</v>
      </c>
      <c r="G2314" s="3" t="str">
        <f ca="1">IFERROR(__xludf.DUMMYFUNCTION("googletranslate(D2314,""en"",""ja"")"),"絨毛性ゴナドトロピン ベータ、無料")</f>
        <v>絨毛性ゴナドトロピン ベータ、無料</v>
      </c>
      <c r="H2314" s="3" t="str">
        <f ca="1">IFERROR(__xludf.DUMMYFUNCTION("googletranslate(E2314,""en"",""ja"")"),"生物学的標本中の遊離絨毛ゴナドトロピン ベータの測定。")</f>
        <v>生物学的標本中の遊離絨毛ゴナドトロピン ベータの測定。</v>
      </c>
      <c r="I2314" s="3" t="str">
        <f ca="1">IFERROR(__xludf.DUMMYFUNCTION("googletranslate(F2314,""en"",""ja"")"),"無料の脈絡性腺刺激ホルモンベータ測定")</f>
        <v>無料の脈絡性腺刺激ホルモンベータ測定</v>
      </c>
    </row>
    <row r="2315" spans="1:9" ht="30">
      <c r="A2315" s="3" t="s">
        <v>6</v>
      </c>
      <c r="B2315" s="3" t="s">
        <v>9630</v>
      </c>
      <c r="C2315" s="3" t="s">
        <v>9631</v>
      </c>
      <c r="D2315" s="3" t="s">
        <v>9631</v>
      </c>
      <c r="E2315" s="3" t="s">
        <v>9632</v>
      </c>
      <c r="F2315" s="3" t="s">
        <v>9633</v>
      </c>
      <c r="G2315" s="3" t="str">
        <f ca="1">IFERROR(__xludf.DUMMYFUNCTION("googletranslate(D2315,""en"",""ja"")"),"脈絡性腺刺激ホルモン")</f>
        <v>脈絡性腺刺激ホルモン</v>
      </c>
      <c r="H2315" s="3" t="str">
        <f ca="1">IFERROR(__xludf.DUMMYFUNCTION("googletranslate(E2315,""en"",""ja"")"),"生物学的標本中の総脈絡性腺刺激ホルモンの測定。")</f>
        <v>生物学的標本中の総脈絡性腺刺激ホルモンの測定。</v>
      </c>
      <c r="I2315" s="3" t="str">
        <f ca="1">IFERROR(__xludf.DUMMYFUNCTION("googletranslate(F2315,""en"",""ja"")"),"絨毛性ゴナドトロピンの測定")</f>
        <v>絨毛性ゴナドトロピンの測定</v>
      </c>
    </row>
    <row r="2316" spans="1:9" ht="30">
      <c r="A2316" s="3" t="s">
        <v>6</v>
      </c>
      <c r="B2316" s="3" t="s">
        <v>9634</v>
      </c>
      <c r="C2316" s="3" t="s">
        <v>9635</v>
      </c>
      <c r="D2316" s="3" t="s">
        <v>9635</v>
      </c>
      <c r="E2316" s="3" t="s">
        <v>9636</v>
      </c>
      <c r="F2316" s="3" t="s">
        <v>9637</v>
      </c>
      <c r="G2316" s="3" t="str">
        <f ca="1">IFERROR(__xludf.DUMMYFUNCTION("googletranslate(D2316,""en"",""ja"")"),"脈絡性腺刺激ホルモン、無傷")</f>
        <v>脈絡性腺刺激ホルモン、無傷</v>
      </c>
      <c r="H2316" s="3" t="str">
        <f ca="1">IFERROR(__xludf.DUMMYFUNCTION("googletranslate(E2316,""en"",""ja"")"),"生物学的標本中の無傷の脈絡性腺刺激ホルモンの測定。")</f>
        <v>生物学的標本中の無傷の脈絡性腺刺激ホルモンの測定。</v>
      </c>
      <c r="I2316" s="3" t="str">
        <f ca="1">IFERROR(__xludf.DUMMYFUNCTION("googletranslate(F2316,""en"",""ja"")"),"インタクトな絨毛性ゴナドトロピンの測定")</f>
        <v>インタクトな絨毛性ゴナドトロピンの測定</v>
      </c>
    </row>
    <row r="2317" spans="1:9" ht="30">
      <c r="A2317" s="3" t="s">
        <v>6</v>
      </c>
      <c r="B2317" s="3" t="s">
        <v>9638</v>
      </c>
      <c r="C2317" s="3" t="s">
        <v>9639</v>
      </c>
      <c r="D2317" s="3" t="s">
        <v>9640</v>
      </c>
      <c r="E2317" s="3" t="s">
        <v>9641</v>
      </c>
      <c r="F2317" s="3" t="s">
        <v>9642</v>
      </c>
      <c r="G2317" s="3" t="str">
        <f ca="1">IFERROR(__xludf.DUMMYFUNCTION("googletranslate(D2317,""en"",""ja"")"),"H+CH4;水素+メタン")</f>
        <v>H+CH4;水素+メタン</v>
      </c>
      <c r="H2317" s="3" t="str">
        <f ca="1">IFERROR(__xludf.DUMMYFUNCTION("googletranslate(E2317,""en"",""ja"")"),"生物学的標本中の水素とメタンの測定。")</f>
        <v>生物学的標本中の水素とメタンの測定。</v>
      </c>
      <c r="I2317" s="3" t="str">
        <f ca="1">IFERROR(__xludf.DUMMYFUNCTION("googletranslate(F2317,""en"",""ja"")"),"水素とメタンの測定")</f>
        <v>水素とメタンの測定</v>
      </c>
    </row>
    <row r="2318" spans="1:9">
      <c r="A2318" s="3" t="s">
        <v>6</v>
      </c>
      <c r="B2318" s="3" t="s">
        <v>9643</v>
      </c>
      <c r="C2318" s="3" t="s">
        <v>9644</v>
      </c>
      <c r="D2318" s="3" t="s">
        <v>9645</v>
      </c>
      <c r="E2318" s="3" t="s">
        <v>9646</v>
      </c>
      <c r="F2318" s="3" t="s">
        <v>9647</v>
      </c>
      <c r="G2318" s="3" t="str">
        <f ca="1">IFERROR(__xludf.DUMMYFUNCTION("googletranslate(D2318,""en"",""ja"")"),"ヒオコール酸;ヒオコール酸")</f>
        <v>ヒオコール酸;ヒオコール酸</v>
      </c>
      <c r="H2318" s="3" t="str">
        <f ca="1">IFERROR(__xludf.DUMMYFUNCTION("googletranslate(E2318,""en"",""ja"")"),"生物学的標本中のヒオコール酸の測定。")</f>
        <v>生物学的標本中のヒオコール酸の測定。</v>
      </c>
      <c r="I2318" s="3" t="str">
        <f ca="1">IFERROR(__xludf.DUMMYFUNCTION("googletranslate(F2318,""en"",""ja"")"),"ヒオコール酸の測定")</f>
        <v>ヒオコール酸の測定</v>
      </c>
    </row>
    <row r="2319" spans="1:9">
      <c r="A2319" s="3" t="s">
        <v>51</v>
      </c>
      <c r="B2319" s="3" t="s">
        <v>9648</v>
      </c>
      <c r="C2319" s="3" t="s">
        <v>9649</v>
      </c>
      <c r="D2319" s="3" t="s">
        <v>9649</v>
      </c>
      <c r="E2319" s="3" t="s">
        <v>9650</v>
      </c>
      <c r="F2319" s="3" t="s">
        <v>9651</v>
      </c>
      <c r="G2319" s="3" t="str">
        <f ca="1">IFERROR(__xludf.DUMMYFUNCTION("googletranslate(D2319,""en"",""ja"")"),"シアン化水素")</f>
        <v>シアン化水素</v>
      </c>
      <c r="H2319" s="3" t="str">
        <f ca="1">IFERROR(__xludf.DUMMYFUNCTION("googletranslate(E2319,""en"",""ja"")"),"試料中のシアン化水素の測定。")</f>
        <v>試料中のシアン化水素の測定。</v>
      </c>
      <c r="I2319" s="3" t="str">
        <f ca="1">IFERROR(__xludf.DUMMYFUNCTION("googletranslate(F2319,""en"",""ja"")"),"シアン化水素の測定")</f>
        <v>シアン化水素の測定</v>
      </c>
    </row>
    <row r="2320" spans="1:9" ht="30">
      <c r="A2320" s="3" t="s">
        <v>67</v>
      </c>
      <c r="B2320" s="3" t="s">
        <v>9652</v>
      </c>
      <c r="C2320" s="3" t="s">
        <v>9653</v>
      </c>
      <c r="D2320" s="3" t="s">
        <v>9653</v>
      </c>
      <c r="E2320" s="3" t="s">
        <v>9654</v>
      </c>
      <c r="F2320" s="3" t="s">
        <v>9655</v>
      </c>
      <c r="G2320" s="3" t="str">
        <f ca="1">IFERROR(__xludf.DUMMYFUNCTION("googletranslate(D2320,""en"",""ja"")"),"C型肝炎ウイルスの核酸")</f>
        <v>C型肝炎ウイルスの核酸</v>
      </c>
      <c r="H2320" s="3" t="str">
        <f ca="1">IFERROR(__xludf.DUMMYFUNCTION("googletranslate(E2320,""en"",""ja"")"),"生物学的検体中の C 型肝炎ウイルスの核酸の測定。")</f>
        <v>生物学的検体中の C 型肝炎ウイルスの核酸の測定。</v>
      </c>
      <c r="I2320" s="3" t="str">
        <f ca="1">IFERROR(__xludf.DUMMYFUNCTION("googletranslate(F2320,""en"",""ja"")"),"C型肝炎ウイルスの核酸測定")</f>
        <v>C型肝炎ウイルスの核酸測定</v>
      </c>
    </row>
    <row r="2321" spans="1:9" ht="45">
      <c r="A2321" s="3" t="s">
        <v>6</v>
      </c>
      <c r="B2321" s="3" t="s">
        <v>9656</v>
      </c>
      <c r="C2321" s="3" t="s">
        <v>9657</v>
      </c>
      <c r="D2321" s="3" t="s">
        <v>9658</v>
      </c>
      <c r="E2321" s="3" t="s">
        <v>9659</v>
      </c>
      <c r="F2321" s="3" t="s">
        <v>9660</v>
      </c>
      <c r="G2321" s="3" t="str">
        <f ca="1">IFERROR(__xludf.DUMMYFUNCTION("googletranslate(D2321,""en"",""ja"")"),"3-HCOA; 3-ヒドロキシ-5-コレステン酸; 3β-ヒドロキシ-5-コレステン酸")</f>
        <v>3-HCOA; 3-ヒドロキシ-5-コレステン酸; 3β-ヒドロキシ-5-コレステン酸</v>
      </c>
      <c r="H2321" s="3" t="str">
        <f ca="1">IFERROR(__xludf.DUMMYFUNCTION("googletranslate(E2321,""en"",""ja"")"),"生物学的標本中の 3β-ヒドロキシ-5-コレステン酸の測定。")</f>
        <v>生物学的標本中の 3β-ヒドロキシ-5-コレステン酸の測定。</v>
      </c>
      <c r="I2321" s="3" t="str">
        <f ca="1">IFERROR(__xludf.DUMMYFUNCTION("googletranslate(F2321,""en"",""ja"")"),"3β-ヒドロキシ-5-コレステン酸の測定")</f>
        <v>3β-ヒドロキシ-5-コレステン酸の測定</v>
      </c>
    </row>
    <row r="2322" spans="1:9" ht="30">
      <c r="A2322" s="3" t="s">
        <v>67</v>
      </c>
      <c r="B2322" s="3" t="s">
        <v>9661</v>
      </c>
      <c r="C2322" s="3" t="s">
        <v>9662</v>
      </c>
      <c r="D2322" s="3" t="s">
        <v>9662</v>
      </c>
      <c r="E2322" s="3" t="s">
        <v>9663</v>
      </c>
      <c r="F2322" s="3" t="s">
        <v>9664</v>
      </c>
      <c r="G2322" s="3" t="str">
        <f ca="1">IFERROR(__xludf.DUMMYFUNCTION("googletranslate(D2322,""en"",""ja"")"),"ヒトコロナウイルス 229E")</f>
        <v>ヒトコロナウイルス 229E</v>
      </c>
      <c r="H2322" s="3" t="str">
        <f ca="1">IFERROR(__xludf.DUMMYFUNCTION("googletranslate(E2322,""en"",""ja"")"),"生物学的検体中のヒトコロナウイルス 229E の測定。")</f>
        <v>生物学的検体中のヒトコロナウイルス 229E の測定。</v>
      </c>
      <c r="I2322" s="3" t="str">
        <f ca="1">IFERROR(__xludf.DUMMYFUNCTION("googletranslate(F2322,""en"",""ja"")"),"ヒトコロナウイルス229Eの測定")</f>
        <v>ヒトコロナウイルス229Eの測定</v>
      </c>
    </row>
    <row r="2323" spans="1:9" ht="30">
      <c r="A2323" s="3" t="s">
        <v>67</v>
      </c>
      <c r="B2323" s="3" t="s">
        <v>9665</v>
      </c>
      <c r="C2323" s="3" t="s">
        <v>9666</v>
      </c>
      <c r="D2323" s="3" t="s">
        <v>9666</v>
      </c>
      <c r="E2323" s="3" t="s">
        <v>9667</v>
      </c>
      <c r="F2323" s="3" t="s">
        <v>9668</v>
      </c>
      <c r="G2323" s="3" t="str">
        <f ca="1">IFERROR(__xludf.DUMMYFUNCTION("googletranslate(D2323,""en"",""ja"")"),"ヒトコロナウイルス HKU1")</f>
        <v>ヒトコロナウイルス HKU1</v>
      </c>
      <c r="H2323" s="3" t="str">
        <f ca="1">IFERROR(__xludf.DUMMYFUNCTION("googletranslate(E2323,""en"",""ja"")"),"生物学的検体中のヒトコロナウイルス HKU1 の測定。")</f>
        <v>生物学的検体中のヒトコロナウイルス HKU1 の測定。</v>
      </c>
      <c r="I2323" s="3" t="str">
        <f ca="1">IFERROR(__xludf.DUMMYFUNCTION("googletranslate(F2323,""en"",""ja"")"),"ヒトコロナウイルスHKU1の測定")</f>
        <v>ヒトコロナウイルスHKU1の測定</v>
      </c>
    </row>
    <row r="2324" spans="1:9" ht="30">
      <c r="A2324" s="3" t="s">
        <v>67</v>
      </c>
      <c r="B2324" s="3" t="s">
        <v>9669</v>
      </c>
      <c r="C2324" s="3" t="s">
        <v>9670</v>
      </c>
      <c r="D2324" s="3" t="s">
        <v>9670</v>
      </c>
      <c r="E2324" s="3" t="s">
        <v>9671</v>
      </c>
      <c r="F2324" s="3" t="s">
        <v>9672</v>
      </c>
      <c r="G2324" s="3" t="str">
        <f ca="1">IFERROR(__xludf.DUMMYFUNCTION("googletranslate(D2324,""en"",""ja"")"),"ヒトコロナウイルスNL63")</f>
        <v>ヒトコロナウイルスNL63</v>
      </c>
      <c r="H2324" s="3" t="str">
        <f ca="1">IFERROR(__xludf.DUMMYFUNCTION("googletranslate(E2324,""en"",""ja"")"),"生物学的標本中のヒトコロナウイルス NL63 の測定。")</f>
        <v>生物学的標本中のヒトコロナウイルス NL63 の測定。</v>
      </c>
      <c r="I2324" s="3" t="str">
        <f ca="1">IFERROR(__xludf.DUMMYFUNCTION("googletranslate(F2324,""en"",""ja"")"),"ヒトコロナウイルスNL63の測定")</f>
        <v>ヒトコロナウイルスNL63の測定</v>
      </c>
    </row>
    <row r="2325" spans="1:9" ht="30">
      <c r="A2325" s="3" t="s">
        <v>67</v>
      </c>
      <c r="B2325" s="3" t="s">
        <v>9673</v>
      </c>
      <c r="C2325" s="3" t="s">
        <v>9674</v>
      </c>
      <c r="D2325" s="3" t="s">
        <v>9674</v>
      </c>
      <c r="E2325" s="3" t="s">
        <v>9675</v>
      </c>
      <c r="F2325" s="3" t="s">
        <v>9676</v>
      </c>
      <c r="G2325" s="3" t="str">
        <f ca="1">IFERROR(__xludf.DUMMYFUNCTION("googletranslate(D2325,""en"",""ja"")"),"ヒトコロナウイルスOC43")</f>
        <v>ヒトコロナウイルスOC43</v>
      </c>
      <c r="H2325" s="3" t="str">
        <f ca="1">IFERROR(__xludf.DUMMYFUNCTION("googletranslate(E2325,""en"",""ja"")"),"生物学的検体中のヒトコロナウイルス OC43 の測定。")</f>
        <v>生物学的検体中のヒトコロナウイルス OC43 の測定。</v>
      </c>
      <c r="I2325" s="3" t="str">
        <f ca="1">IFERROR(__xludf.DUMMYFUNCTION("googletranslate(F2325,""en"",""ja"")"),"ヒトコロナウイルスOC43測定")</f>
        <v>ヒトコロナウイルスOC43測定</v>
      </c>
    </row>
    <row r="2326" spans="1:9" ht="30">
      <c r="A2326" s="3" t="s">
        <v>67</v>
      </c>
      <c r="B2326" s="3" t="s">
        <v>9677</v>
      </c>
      <c r="C2326" s="3" t="s">
        <v>9678</v>
      </c>
      <c r="D2326" s="3" t="s">
        <v>9678</v>
      </c>
      <c r="E2326" s="3" t="s">
        <v>9679</v>
      </c>
      <c r="F2326" s="3" t="s">
        <v>9680</v>
      </c>
      <c r="G2326" s="3" t="str">
        <f ca="1">IFERROR(__xludf.DUMMYFUNCTION("googletranslate(D2326,""en"",""ja"")"),"ヒストプラズマ・カプスレータム抗原")</f>
        <v>ヒストプラズマ・カプスレータム抗原</v>
      </c>
      <c r="H2326" s="3" t="str">
        <f ca="1">IFERROR(__xludf.DUMMYFUNCTION("googletranslate(E2326,""en"",""ja"")"),"生物学的標本中の Histoplasma capsulatum 抗原の測定。")</f>
        <v>生物学的標本中の Histoplasma capsulatum 抗原の測定。</v>
      </c>
      <c r="I2326" s="3" t="str">
        <f ca="1">IFERROR(__xludf.DUMMYFUNCTION("googletranslate(F2326,""en"",""ja"")"),"ヒストプラズマ・カプスレータム抗原測定")</f>
        <v>ヒストプラズマ・カプスレータム抗原測定</v>
      </c>
    </row>
    <row r="2327" spans="1:9" ht="45">
      <c r="A2327" s="3" t="s">
        <v>118</v>
      </c>
      <c r="B2327" s="3" t="s">
        <v>9681</v>
      </c>
      <c r="C2327" s="3" t="s">
        <v>9682</v>
      </c>
      <c r="D2327" s="3" t="s">
        <v>9683</v>
      </c>
      <c r="E2327" s="3" t="s">
        <v>9684</v>
      </c>
      <c r="F2327" s="3" t="s">
        <v>9682</v>
      </c>
      <c r="G2327" s="3" t="str">
        <f ca="1">IFERROR(__xludf.DUMMYFUNCTION("googletranslate(D2327,""en"",""ja"")"),"年齢に対する頭囲のパーセンタイル。年齢に対する後頭前頭周囲のパーセンタイル")</f>
        <v>年齢に対する頭囲のパーセンタイル。年齢に対する後頭前頭周囲のパーセンタイル</v>
      </c>
      <c r="H2327" s="3" t="str">
        <f ca="1">IFERROR(__xludf.DUMMYFUNCTION("googletranslate(E2327,""en"",""ja"")"),"個人の頭囲および年齢と参照集団の頭囲および年齢の評価された関係をパーセンタイルで表したもの。")</f>
        <v>個人の頭囲および年齢と参照集団の頭囲および年齢の評価された関係をパーセンタイルで表したもの。</v>
      </c>
      <c r="I2327" s="3" t="str">
        <f ca="1">IFERROR(__xludf.DUMMYFUNCTION("googletranslate(F2327,""en"",""ja"")"),"年齢に対する頭囲のパーセンタイル")</f>
        <v>年齢に対する頭囲のパーセンタイル</v>
      </c>
    </row>
    <row r="2328" spans="1:9" ht="30">
      <c r="A2328" s="3" t="s">
        <v>67</v>
      </c>
      <c r="B2328" s="3" t="s">
        <v>9685</v>
      </c>
      <c r="C2328" s="3" t="s">
        <v>9686</v>
      </c>
      <c r="D2328" s="3" t="s">
        <v>9686</v>
      </c>
      <c r="E2328" s="3" t="s">
        <v>9687</v>
      </c>
      <c r="F2328" s="3" t="s">
        <v>9688</v>
      </c>
      <c r="G2328" s="3" t="str">
        <f ca="1">IFERROR(__xludf.DUMMYFUNCTION("googletranslate(D2328,""en"",""ja"")"),"C型肝炎ウイルスRNA")</f>
        <v>C型肝炎ウイルスRNA</v>
      </c>
      <c r="H2328" s="3" t="str">
        <f ca="1">IFERROR(__xludf.DUMMYFUNCTION("googletranslate(E2328,""en"",""ja"")"),"生物学的検体中の C 型肝炎ウイルス RNA の測定。")</f>
        <v>生物学的検体中の C 型肝炎ウイルス RNA の測定。</v>
      </c>
      <c r="I2328" s="3" t="str">
        <f ca="1">IFERROR(__xludf.DUMMYFUNCTION("googletranslate(F2328,""en"",""ja"")"),"C型肝炎ウイルスRNA測定")</f>
        <v>C型肝炎ウイルスRNA測定</v>
      </c>
    </row>
    <row r="2329" spans="1:9" ht="45">
      <c r="A2329" s="3" t="s">
        <v>6</v>
      </c>
      <c r="B2329" s="3" t="s">
        <v>9689</v>
      </c>
      <c r="C2329" s="3" t="s">
        <v>9690</v>
      </c>
      <c r="D2329" s="3" t="s">
        <v>9691</v>
      </c>
      <c r="E2329" s="3" t="s">
        <v>9692</v>
      </c>
      <c r="F2329" s="3" t="s">
        <v>9693</v>
      </c>
      <c r="G2329" s="3" t="str">
        <f ca="1">IFERROR(__xludf.DUMMYFUNCTION("googletranslate(D2329,""en"",""ja"")"),"赤血球体積分率; EVF;ヘマトクリット;パックされたセルの体積。 PCV")</f>
        <v>赤血球体積分率; EVF;ヘマトクリット;パックされたセルの体積。 PCV</v>
      </c>
      <c r="H2329" s="3" t="str">
        <f ca="1">IFERROR(__xludf.DUMMYFUNCTION("googletranslate(E2329,""en"",""ja"")"),"赤血球 (赤血球) で構成される全血検体の割合。")</f>
        <v>赤血球 (赤血球) で構成される全血検体の割合。</v>
      </c>
      <c r="I2329" s="3" t="str">
        <f ca="1">IFERROR(__xludf.DUMMYFUNCTION("googletranslate(F2329,""en"",""ja"")"),"ヘマトクリット測定")</f>
        <v>ヘマトクリット測定</v>
      </c>
    </row>
    <row r="2330" spans="1:9" ht="30">
      <c r="A2330" s="3" t="s">
        <v>67</v>
      </c>
      <c r="B2330" s="3" t="s">
        <v>9694</v>
      </c>
      <c r="C2330" s="3" t="s">
        <v>9695</v>
      </c>
      <c r="D2330" s="3" t="s">
        <v>9695</v>
      </c>
      <c r="E2330" s="3" t="s">
        <v>9696</v>
      </c>
      <c r="F2330" s="3" t="s">
        <v>9697</v>
      </c>
      <c r="G2330" s="3" t="str">
        <f ca="1">IFERROR(__xludf.DUMMYFUNCTION("googletranslate(D2330,""en"",""ja"")"),"C型肝炎ウイルス")</f>
        <v>C型肝炎ウイルス</v>
      </c>
      <c r="H2330" s="3" t="str">
        <f ca="1">IFERROR(__xludf.DUMMYFUNCTION("googletranslate(E2330,""en"",""ja"")"),"生物学的検体中の C 型肝炎ウイルスの測定。")</f>
        <v>生物学的検体中の C 型肝炎ウイルスの測定。</v>
      </c>
      <c r="I2330" s="3" t="str">
        <f ca="1">IFERROR(__xludf.DUMMYFUNCTION("googletranslate(F2330,""en"",""ja"")"),"C型肝炎ウイルス測定")</f>
        <v>C型肝炎ウイルス測定</v>
      </c>
    </row>
    <row r="2331" spans="1:9" ht="30">
      <c r="A2331" s="3" t="s">
        <v>118</v>
      </c>
      <c r="B2331" s="3" t="s">
        <v>9698</v>
      </c>
      <c r="C2331" s="3" t="s">
        <v>9699</v>
      </c>
      <c r="D2331" s="3" t="s">
        <v>9699</v>
      </c>
      <c r="E2331" s="3" t="s">
        <v>9700</v>
      </c>
      <c r="F2331" s="3" t="s">
        <v>9699</v>
      </c>
      <c r="G2331" s="3" t="str">
        <f ca="1">IFERROR(__xludf.DUMMYFUNCTION("googletranslate(D2331,""en"",""ja"")"),"頭囲")</f>
        <v>頭囲</v>
      </c>
      <c r="H2331" s="3" t="str">
        <f ca="1">IFERROR(__xludf.DUMMYFUNCTION("googletranslate(E2331,""en"",""ja"")"),"ヘッドの最も広い部分の周方向の測定値。")</f>
        <v>ヘッドの最も広い部分の周方向の測定値。</v>
      </c>
      <c r="I2331" s="3" t="str">
        <f ca="1">IFERROR(__xludf.DUMMYFUNCTION("googletranslate(F2331,""en"",""ja"")"),"頭囲")</f>
        <v>頭囲</v>
      </c>
    </row>
    <row r="2332" spans="1:9" ht="30">
      <c r="A2332" s="3" t="s">
        <v>6</v>
      </c>
      <c r="B2332" s="3" t="s">
        <v>9701</v>
      </c>
      <c r="C2332" s="3" t="s">
        <v>9702</v>
      </c>
      <c r="D2332" s="3" t="s">
        <v>9702</v>
      </c>
      <c r="E2332" s="3" t="s">
        <v>9703</v>
      </c>
      <c r="F2332" s="3" t="s">
        <v>9704</v>
      </c>
      <c r="G2332" s="3" t="str">
        <f ca="1">IFERROR(__xludf.DUMMYFUNCTION("googletranslate(D2332,""en"",""ja"")"),"HDLコレステロール")</f>
        <v>HDLコレステロール</v>
      </c>
      <c r="H2332" s="3" t="str">
        <f ca="1">IFERROR(__xludf.DUMMYFUNCTION("googletranslate(E2332,""en"",""ja"")"),"生体標本中の高密度リポタンパク質コレステロールの測定。")</f>
        <v>生体標本中の高密度リポタンパク質コレステロールの測定。</v>
      </c>
      <c r="I2332" s="3" t="str">
        <f ca="1">IFERROR(__xludf.DUMMYFUNCTION("googletranslate(F2332,""en"",""ja"")"),"高密度リポタンパク質コレステロール測定")</f>
        <v>高密度リポタンパク質コレステロール測定</v>
      </c>
    </row>
    <row r="2333" spans="1:9" ht="60">
      <c r="A2333" s="3" t="s">
        <v>6</v>
      </c>
      <c r="B2333" s="3" t="s">
        <v>9705</v>
      </c>
      <c r="C2333" s="3" t="s">
        <v>9706</v>
      </c>
      <c r="D2333" s="3" t="s">
        <v>9706</v>
      </c>
      <c r="E2333" s="3" t="s">
        <v>9707</v>
      </c>
      <c r="F2333" s="3" t="s">
        <v>9708</v>
      </c>
      <c r="G2333" s="3" t="str">
        <f ca="1">IFERROR(__xludf.DUMMYFUNCTION("googletranslate(D2333,""en"",""ja"")"),"HDL+LDLコレステロール")</f>
        <v>HDL+LDLコレステロール</v>
      </c>
      <c r="H2333" s="3" t="str">
        <f ca="1">IFERROR(__xludf.DUMMYFUNCTION("googletranslate(E2333,""en"",""ja"")"),"生体試料中の高密度リポタンパク質コレステロールと低密度リポタンパク質コレステロールの測定。")</f>
        <v>生体試料中の高密度リポタンパク質コレステロールと低密度リポタンパク質コレステロールの測定。</v>
      </c>
      <c r="I2333" s="3" t="str">
        <f ca="1">IFERROR(__xludf.DUMMYFUNCTION("googletranslate(F2333,""en"",""ja"")"),"高密度リポタンパク質コレステロールおよび低密度リポタンパク質コレステロールの測定")</f>
        <v>高密度リポタンパク質コレステロールおよび低密度リポタンパク質コレステロールの測定</v>
      </c>
    </row>
    <row r="2334" spans="1:9" ht="30">
      <c r="A2334" s="3" t="s">
        <v>6</v>
      </c>
      <c r="B2334" s="3" t="s">
        <v>9709</v>
      </c>
      <c r="C2334" s="3" t="s">
        <v>9710</v>
      </c>
      <c r="D2334" s="3" t="s">
        <v>9710</v>
      </c>
      <c r="E2334" s="3" t="s">
        <v>9711</v>
      </c>
      <c r="F2334" s="3" t="s">
        <v>9712</v>
      </c>
      <c r="G2334" s="3" t="str">
        <f ca="1">IFERROR(__xludf.DUMMYFUNCTION("googletranslate(D2334,""en"",""ja"")"),"HDL-コレステロール サブクラス 2")</f>
        <v>HDL-コレステロール サブクラス 2</v>
      </c>
      <c r="H2334" s="3" t="str">
        <f ca="1">IFERROR(__xludf.DUMMYFUNCTION("googletranslate(E2334,""en"",""ja"")"),"生体試料中の高密度リポタンパク質 (HDL) コレステロール サブクラス 2 の測定。")</f>
        <v>生体試料中の高密度リポタンパク質 (HDL) コレステロール サブクラス 2 の測定。</v>
      </c>
      <c r="I2334" s="3" t="str">
        <f ca="1">IFERROR(__xludf.DUMMYFUNCTION("googletranslate(F2334,""en"",""ja"")"),"HDL-コレステロール サブクラス 2 の測定")</f>
        <v>HDL-コレステロール サブクラス 2 の測定</v>
      </c>
    </row>
    <row r="2335" spans="1:9" ht="30">
      <c r="A2335" s="3" t="s">
        <v>6</v>
      </c>
      <c r="B2335" s="3" t="s">
        <v>9713</v>
      </c>
      <c r="C2335" s="3" t="s">
        <v>9714</v>
      </c>
      <c r="D2335" s="3" t="s">
        <v>9714</v>
      </c>
      <c r="E2335" s="3" t="s">
        <v>9715</v>
      </c>
      <c r="F2335" s="3" t="s">
        <v>9716</v>
      </c>
      <c r="G2335" s="3" t="str">
        <f ca="1">IFERROR(__xludf.DUMMYFUNCTION("googletranslate(D2335,""en"",""ja"")"),"HDL-コレステロール サブクラス 3")</f>
        <v>HDL-コレステロール サブクラス 3</v>
      </c>
      <c r="H2335" s="3" t="str">
        <f ca="1">IFERROR(__xludf.DUMMYFUNCTION("googletranslate(E2335,""en"",""ja"")"),"生体試料中の高密度リポタンパク質 (HDL) コレステロール サブクラス 3 の測定。")</f>
        <v>生体試料中の高密度リポタンパク質 (HDL) コレステロール サブクラス 3 の測定。</v>
      </c>
      <c r="I2335" s="3" t="str">
        <f ca="1">IFERROR(__xludf.DUMMYFUNCTION("googletranslate(F2335,""en"",""ja"")"),"HDL-コレステロールサブクラス3の測定")</f>
        <v>HDL-コレステロールサブクラス3の測定</v>
      </c>
    </row>
    <row r="2336" spans="1:9" ht="45">
      <c r="A2336" s="3" t="s">
        <v>6</v>
      </c>
      <c r="B2336" s="3" t="s">
        <v>9717</v>
      </c>
      <c r="C2336" s="3" t="s">
        <v>9718</v>
      </c>
      <c r="D2336" s="3" t="s">
        <v>9718</v>
      </c>
      <c r="E2336" s="3" t="s">
        <v>9719</v>
      </c>
      <c r="F2336" s="3" t="s">
        <v>9720</v>
      </c>
      <c r="G2336" s="3" t="str">
        <f ca="1">IFERROR(__xludf.DUMMYFUNCTION("googletranslate(D2336,""en"",""ja"")"),"HDLコレステロール/総コレステロール")</f>
        <v>HDLコレステロール/総コレステロール</v>
      </c>
      <c r="H2336" s="3" t="str">
        <f ca="1">IFERROR(__xludf.DUMMYFUNCTION("googletranslate(E2336,""en"",""ja"")"),"生体試料中の総コレステロールと比較した HDL コレステロール量の相対測定値 (比率またはパーセンテージ)。")</f>
        <v>生体試料中の総コレステロールと比較した HDL コレステロール量の相対測定値 (比率またはパーセンテージ)。</v>
      </c>
      <c r="I2336" s="3" t="str">
        <f ca="1">IFERROR(__xludf.DUMMYFUNCTION("googletranslate(F2336,""en"",""ja"")"),"HDLコレステロール対総コレステロール比の測定")</f>
        <v>HDLコレステロール対総コレステロール比の測定</v>
      </c>
    </row>
    <row r="2337" spans="1:9" ht="45">
      <c r="A2337" s="3" t="s">
        <v>6</v>
      </c>
      <c r="B2337" s="3" t="s">
        <v>9721</v>
      </c>
      <c r="C2337" s="3" t="s">
        <v>9722</v>
      </c>
      <c r="D2337" s="3" t="s">
        <v>9722</v>
      </c>
      <c r="E2337" s="3" t="s">
        <v>9723</v>
      </c>
      <c r="F2337" s="3" t="s">
        <v>9724</v>
      </c>
      <c r="G2337" s="3" t="str">
        <f ca="1">IFERROR(__xludf.DUMMYFUNCTION("googletranslate(D2337,""en"",""ja"")"),"HDLコレステロール/LDLコレステロール")</f>
        <v>HDLコレステロール/LDLコレステロール</v>
      </c>
      <c r="H2337" s="3" t="str">
        <f ca="1">IFERROR(__xludf.DUMMYFUNCTION("googletranslate(E2337,""en"",""ja"")"),"生物学的検体中の LDL コレステロールと比較した HDL コレステロールの量の相対測定値 (比率またはパーセンテージ)。")</f>
        <v>生物学的検体中の LDL コレステロールと比較した HDL コレステロールの量の相対測定値 (比率またはパーセンテージ)。</v>
      </c>
      <c r="I2337" s="3" t="str">
        <f ca="1">IFERROR(__xludf.DUMMYFUNCTION("googletranslate(F2337,""en"",""ja"")"),"HDLコレステロール対LDLコレステロール比の測定")</f>
        <v>HDLコレステロール対LDLコレステロール比の測定</v>
      </c>
    </row>
    <row r="2338" spans="1:9" ht="30">
      <c r="A2338" s="3" t="s">
        <v>6</v>
      </c>
      <c r="B2338" s="3" t="s">
        <v>9725</v>
      </c>
      <c r="C2338" s="3" t="s">
        <v>9726</v>
      </c>
      <c r="D2338" s="3" t="s">
        <v>9727</v>
      </c>
      <c r="E2338" s="3" t="s">
        <v>9728</v>
      </c>
      <c r="F2338" s="3" t="s">
        <v>9729</v>
      </c>
      <c r="G2338" s="3" t="str">
        <f ca="1">IFERROR(__xludf.DUMMYFUNCTION("googletranslate(D2338,""en"",""ja"")"),"HDLリン脂質; HDL-PL")</f>
        <v>HDLリン脂質; HDL-PL</v>
      </c>
      <c r="H2338" s="3" t="str">
        <f ca="1">IFERROR(__xludf.DUMMYFUNCTION("googletranslate(E2338,""en"",""ja"")"),"生体試料中の高密度リポタンパク質リン脂質の測定。")</f>
        <v>生体試料中の高密度リポタンパク質リン脂質の測定。</v>
      </c>
      <c r="I2338" s="3" t="str">
        <f ca="1">IFERROR(__xludf.DUMMYFUNCTION("googletranslate(F2338,""en"",""ja"")"),"HDLリン脂質測定")</f>
        <v>HDLリン脂質測定</v>
      </c>
    </row>
    <row r="2339" spans="1:9" ht="30">
      <c r="A2339" s="3" t="s">
        <v>6</v>
      </c>
      <c r="B2339" s="3" t="s">
        <v>9730</v>
      </c>
      <c r="C2339" s="3" t="s">
        <v>9731</v>
      </c>
      <c r="D2339" s="3" t="s">
        <v>9731</v>
      </c>
      <c r="E2339" s="3" t="s">
        <v>9732</v>
      </c>
      <c r="F2339" s="3" t="s">
        <v>9733</v>
      </c>
      <c r="G2339" s="3" t="str">
        <f ca="1">IFERROR(__xludf.DUMMYFUNCTION("googletranslate(D2339,""en"",""ja"")"),"HDL 粒子サイズ")</f>
        <v>HDL 粒子サイズ</v>
      </c>
      <c r="H2339" s="3" t="str">
        <f ca="1">IFERROR(__xludf.DUMMYFUNCTION("googletranslate(E2339,""en"",""ja"")"),"生体試料中の高密度リポタンパク質の平均粒子サイズの測定。")</f>
        <v>生体試料中の高密度リポタンパク質の平均粒子サイズの測定。</v>
      </c>
      <c r="I2339" s="3" t="str">
        <f ca="1">IFERROR(__xludf.DUMMYFUNCTION("googletranslate(F2339,""en"",""ja"")"),"HDL粒子径測定")</f>
        <v>HDL粒子径測定</v>
      </c>
    </row>
    <row r="2340" spans="1:9" ht="45">
      <c r="A2340" s="3" t="s">
        <v>6</v>
      </c>
      <c r="B2340" s="3" t="s">
        <v>9734</v>
      </c>
      <c r="C2340" s="3" t="s">
        <v>9735</v>
      </c>
      <c r="D2340" s="3" t="s">
        <v>9735</v>
      </c>
      <c r="E2340" s="3" t="s">
        <v>9736</v>
      </c>
      <c r="F2340" s="3" t="s">
        <v>9737</v>
      </c>
      <c r="G2340" s="3" t="str">
        <f ca="1">IFERROR(__xludf.DUMMYFUNCTION("googletranslate(D2340,""en"",""ja"")"),"HLA-DR51 抗原の種類")</f>
        <v>HLA-DR51 抗原の種類</v>
      </c>
      <c r="H2340" s="3" t="str">
        <f ca="1">IFERROR(__xludf.DUMMYFUNCTION("googletranslate(E2340,""en"",""ja"")"),"生物学的標本におけるヒト白血球抗原のタイプ、クラス II、抗原 D 関連 51 (HLA-DR51) の同定。")</f>
        <v>生物学的標本におけるヒト白血球抗原のタイプ、クラス II、抗原 D 関連 51 (HLA-DR51) の同定。</v>
      </c>
      <c r="I2340" s="3" t="str">
        <f ca="1">IFERROR(__xludf.DUMMYFUNCTION("googletranslate(F2340,""en"",""ja"")"),"HLA-DR51抗原測定")</f>
        <v>HLA-DR51抗原測定</v>
      </c>
    </row>
    <row r="2341" spans="1:9" ht="45">
      <c r="A2341" s="3" t="s">
        <v>6</v>
      </c>
      <c r="B2341" s="3" t="s">
        <v>9738</v>
      </c>
      <c r="C2341" s="3" t="s">
        <v>9739</v>
      </c>
      <c r="D2341" s="3" t="s">
        <v>9739</v>
      </c>
      <c r="E2341" s="3" t="s">
        <v>9740</v>
      </c>
      <c r="F2341" s="3" t="s">
        <v>9741</v>
      </c>
      <c r="G2341" s="3" t="str">
        <f ca="1">IFERROR(__xludf.DUMMYFUNCTION("googletranslate(D2341,""en"",""ja"")"),"HLA-DR52 抗原の種類")</f>
        <v>HLA-DR52 抗原の種類</v>
      </c>
      <c r="H2341" s="3" t="str">
        <f ca="1">IFERROR(__xludf.DUMMYFUNCTION("googletranslate(E2341,""en"",""ja"")"),"生物学的標本におけるヒト白血球抗原のタイプ、クラス II、抗原 D 関連 52 (HLA-DR52) の同定。")</f>
        <v>生物学的標本におけるヒト白血球抗原のタイプ、クラス II、抗原 D 関連 52 (HLA-DR52) の同定。</v>
      </c>
      <c r="I2341" s="3" t="str">
        <f ca="1">IFERROR(__xludf.DUMMYFUNCTION("googletranslate(F2341,""en"",""ja"")"),"HLA-DR52抗原測定")</f>
        <v>HLA-DR52抗原測定</v>
      </c>
    </row>
    <row r="2342" spans="1:9" ht="45">
      <c r="A2342" s="3" t="s">
        <v>6</v>
      </c>
      <c r="B2342" s="3" t="s">
        <v>9742</v>
      </c>
      <c r="C2342" s="3" t="s">
        <v>9743</v>
      </c>
      <c r="D2342" s="3" t="s">
        <v>9743</v>
      </c>
      <c r="E2342" s="3" t="s">
        <v>9744</v>
      </c>
      <c r="F2342" s="3" t="s">
        <v>9745</v>
      </c>
      <c r="G2342" s="3" t="str">
        <f ca="1">IFERROR(__xludf.DUMMYFUNCTION("googletranslate(D2342,""en"",""ja"")"),"HLA-DR53 抗原の種類")</f>
        <v>HLA-DR53 抗原の種類</v>
      </c>
      <c r="H2342" s="3" t="str">
        <f ca="1">IFERROR(__xludf.DUMMYFUNCTION("googletranslate(E2342,""en"",""ja"")"),"生物学的標本におけるヒト白血球抗原のタイプ、クラス II、抗原 D 関連 53 (HLA-DR53) の同定。")</f>
        <v>生物学的標本におけるヒト白血球抗原のタイプ、クラス II、抗原 D 関連 53 (HLA-DR53) の同定。</v>
      </c>
      <c r="I2342" s="3" t="str">
        <f ca="1">IFERROR(__xludf.DUMMYFUNCTION("googletranslate(F2342,""en"",""ja"")"),"HLA-DR53抗原測定")</f>
        <v>HLA-DR53抗原測定</v>
      </c>
    </row>
    <row r="2343" spans="1:9" ht="30">
      <c r="A2343" s="3" t="s">
        <v>67</v>
      </c>
      <c r="B2343" s="3" t="s">
        <v>9746</v>
      </c>
      <c r="C2343" s="3" t="s">
        <v>9747</v>
      </c>
      <c r="D2343" s="3" t="s">
        <v>9747</v>
      </c>
      <c r="E2343" s="3" t="s">
        <v>9748</v>
      </c>
      <c r="F2343" s="3" t="s">
        <v>9749</v>
      </c>
      <c r="G2343" s="3" t="str">
        <f ca="1">IFERROR(__xludf.DUMMYFUNCTION("googletranslate(D2343,""en"",""ja"")"),"D型肝炎ウイルスRNA")</f>
        <v>D型肝炎ウイルスRNA</v>
      </c>
      <c r="H2343" s="3" t="str">
        <f ca="1">IFERROR(__xludf.DUMMYFUNCTION("googletranslate(E2343,""en"",""ja"")"),"生物学的検体中の D 型肝炎ウイルス RNA の測定。")</f>
        <v>生物学的検体中の D 型肝炎ウイルス RNA の測定。</v>
      </c>
      <c r="I2343" s="3" t="str">
        <f ca="1">IFERROR(__xludf.DUMMYFUNCTION("googletranslate(F2343,""en"",""ja"")"),"D型肝炎ウイルスRNA測定")</f>
        <v>D型肝炎ウイルスRNA測定</v>
      </c>
    </row>
    <row r="2344" spans="1:9" ht="45">
      <c r="A2344" s="3" t="s">
        <v>6</v>
      </c>
      <c r="B2344" s="3" t="s">
        <v>9750</v>
      </c>
      <c r="C2344" s="3" t="s">
        <v>9751</v>
      </c>
      <c r="D2344" s="3" t="s">
        <v>9752</v>
      </c>
      <c r="E2344" s="3" t="s">
        <v>9753</v>
      </c>
      <c r="F2344" s="3" t="s">
        <v>9754</v>
      </c>
      <c r="G2344" s="3" t="str">
        <f ca="1">IFERROR(__xludf.DUMMYFUNCTION("googletranslate(D2344,""en"",""ja"")"),"ヘモグロビン濃度分布幅;ヘモグロビン分布幅")</f>
        <v>ヘモグロビン濃度分布幅;ヘモグロビン分布幅</v>
      </c>
      <c r="H2344" s="3" t="str">
        <f ca="1">IFERROR(__xludf.DUMMYFUNCTION("googletranslate(E2344,""en"",""ja"")"),"赤血球内のヘモグロビン濃度の分布の測定。")</f>
        <v>赤血球内のヘモグロビン濃度の分布の測定。</v>
      </c>
      <c r="I2344" s="3" t="str">
        <f ca="1">IFERROR(__xludf.DUMMYFUNCTION("googletranslate(F2344,""en"",""ja"")"),"ヘモグロビン分布幅測定")</f>
        <v>ヘモグロビン分布幅測定</v>
      </c>
    </row>
    <row r="2345" spans="1:9" ht="45">
      <c r="A2345" s="3" t="s">
        <v>6</v>
      </c>
      <c r="B2345" s="3" t="s">
        <v>9755</v>
      </c>
      <c r="C2345" s="3" t="s">
        <v>9756</v>
      </c>
      <c r="D2345" s="3" t="s">
        <v>9757</v>
      </c>
      <c r="E2345" s="3" t="s">
        <v>9758</v>
      </c>
      <c r="F2345" s="3" t="s">
        <v>9759</v>
      </c>
      <c r="G2345" s="3" t="str">
        <f ca="1">IFERROR(__xludf.DUMMYFUNCTION("googletranslate(D2345,""en"",""ja"")"),"Retヘモグロビン分布幅;網赤血球ヘモグロビン濃度分布幅")</f>
        <v>Retヘモグロビン分布幅;網赤血球ヘモグロビン濃度分布幅</v>
      </c>
      <c r="H2345" s="3" t="str">
        <f ca="1">IFERROR(__xludf.DUMMYFUNCTION("googletranslate(E2345,""en"",""ja"")"),"網赤血球内のヘモグロビン濃度の分布の測定。")</f>
        <v>網赤血球内のヘモグロビン濃度の分布の測定。</v>
      </c>
      <c r="I2345" s="3" t="str">
        <f ca="1">IFERROR(__xludf.DUMMYFUNCTION("googletranslate(F2345,""en"",""ja"")"),"網赤血球ヘモグロビン分布幅")</f>
        <v>網赤血球ヘモグロビン分布幅</v>
      </c>
    </row>
    <row r="2346" spans="1:9" ht="30">
      <c r="A2346" s="3" t="s">
        <v>6</v>
      </c>
      <c r="B2346" s="3" t="s">
        <v>9760</v>
      </c>
      <c r="C2346" s="3" t="s">
        <v>9761</v>
      </c>
      <c r="D2346" s="3" t="s">
        <v>9761</v>
      </c>
      <c r="E2346" s="3" t="s">
        <v>9762</v>
      </c>
      <c r="F2346" s="3" t="s">
        <v>9763</v>
      </c>
      <c r="G2346" s="3" t="str">
        <f ca="1">IFERROR(__xludf.DUMMYFUNCTION("googletranslate(D2346,""en"",""ja"")"),"ヒト精巣上体タンパク質 4")</f>
        <v>ヒト精巣上体タンパク質 4</v>
      </c>
      <c r="H2346" s="3" t="str">
        <f ca="1">IFERROR(__xludf.DUMMYFUNCTION("googletranslate(E2346,""en"",""ja"")"),"生物学的標本中のヒト精巣上体タンパク質 4 の測定。")</f>
        <v>生物学的標本中のヒト精巣上体タンパク質 4 の測定。</v>
      </c>
      <c r="I2346" s="3" t="str">
        <f ca="1">IFERROR(__xludf.DUMMYFUNCTION("googletranslate(F2346,""en"",""ja"")"),"ヒト精巣上体タンパク質 4 の測定")</f>
        <v>ヒト精巣上体タンパク質 4 の測定</v>
      </c>
    </row>
    <row r="2347" spans="1:9" ht="30">
      <c r="A2347" s="3" t="s">
        <v>67</v>
      </c>
      <c r="B2347" s="3" t="s">
        <v>9764</v>
      </c>
      <c r="C2347" s="3" t="s">
        <v>9765</v>
      </c>
      <c r="D2347" s="3" t="s">
        <v>9765</v>
      </c>
      <c r="E2347" s="3" t="s">
        <v>9766</v>
      </c>
      <c r="F2347" s="3" t="s">
        <v>9767</v>
      </c>
      <c r="G2347" s="3" t="str">
        <f ca="1">IFERROR(__xludf.DUMMYFUNCTION("googletranslate(D2347,""en"",""ja"")"),"E型肝炎ウイルス抗原")</f>
        <v>E型肝炎ウイルス抗原</v>
      </c>
      <c r="H2347" s="3" t="str">
        <f ca="1">IFERROR(__xludf.DUMMYFUNCTION("googletranslate(E2347,""en"",""ja"")"),"生物学的検体中の E 型肝炎ウイルス抗原の測定。")</f>
        <v>生物学的検体中の E 型肝炎ウイルス抗原の測定。</v>
      </c>
      <c r="I2347" s="3" t="str">
        <f ca="1">IFERROR(__xludf.DUMMYFUNCTION("googletranslate(F2347,""en"",""ja"")"),"E型肝炎ウイルス抗原測定")</f>
        <v>E型肝炎ウイルス抗原測定</v>
      </c>
    </row>
    <row r="2348" spans="1:9" ht="30">
      <c r="A2348" s="3" t="s">
        <v>155</v>
      </c>
      <c r="B2348" s="3" t="s">
        <v>9768</v>
      </c>
      <c r="C2348" s="3" t="s">
        <v>9769</v>
      </c>
      <c r="D2348" s="3" t="s">
        <v>9770</v>
      </c>
      <c r="E2348" s="3" t="s">
        <v>9771</v>
      </c>
      <c r="F2348" s="3" t="s">
        <v>9769</v>
      </c>
      <c r="G2348" s="3" t="str">
        <f ca="1">IFERROR(__xludf.DUMMYFUNCTION("googletranslate(D2348,""en"",""ja"")"),"聴覚の側方化。聴覚側方化")</f>
        <v>聴覚の側方化。聴覚側方化</v>
      </c>
      <c r="H2348" s="3" t="str">
        <f ca="1">IFERROR(__xludf.DUMMYFUNCTION("googletranslate(E2348,""en"",""ja"")"),"左右の蝸牛で知覚される音の相対的な音量を決定する聴覚評価。")</f>
        <v>左右の蝸牛で知覚される音の相対的な音量を決定する聴覚評価。</v>
      </c>
      <c r="I2348" s="3" t="str">
        <f ca="1">IFERROR(__xludf.DUMMYFUNCTION("googletranslate(F2348,""en"",""ja"")"),"聴覚側方化")</f>
        <v>聴覚側方化</v>
      </c>
    </row>
    <row r="2349" spans="1:9" ht="30">
      <c r="A2349" s="3" t="s">
        <v>155</v>
      </c>
      <c r="B2349" s="3" t="s">
        <v>9772</v>
      </c>
      <c r="C2349" s="3" t="s">
        <v>9773</v>
      </c>
      <c r="D2349" s="3" t="s">
        <v>9774</v>
      </c>
      <c r="E2349" s="3" t="s">
        <v>9775</v>
      </c>
      <c r="F2349" s="3" t="s">
        <v>9773</v>
      </c>
      <c r="G2349" s="3" t="str">
        <f ca="1">IFERROR(__xludf.DUMMYFUNCTION("googletranslate(D2349,""en"",""ja"")"),"難聴の種類;難聴の種類")</f>
        <v>難聴の種類;難聴の種類</v>
      </c>
      <c r="H2349" s="3" t="str">
        <f ca="1">IFERROR(__xludf.DUMMYFUNCTION("googletranslate(E2349,""en"",""ja"")"),"個人が経験する難聴の分類または分類。")</f>
        <v>個人が経験する難聴の分類または分類。</v>
      </c>
      <c r="I2349" s="3" t="str">
        <f ca="1">IFERROR(__xludf.DUMMYFUNCTION("googletranslate(F2349,""en"",""ja"")"),"難聴の種類")</f>
        <v>難聴の種類</v>
      </c>
    </row>
    <row r="2350" spans="1:9" ht="30">
      <c r="A2350" s="3" t="s">
        <v>118</v>
      </c>
      <c r="B2350" s="3" t="s">
        <v>9776</v>
      </c>
      <c r="C2350" s="3" t="s">
        <v>9777</v>
      </c>
      <c r="D2350" s="3" t="s">
        <v>9777</v>
      </c>
      <c r="E2350" s="3" t="s">
        <v>9778</v>
      </c>
      <c r="F2350" s="3" t="s">
        <v>9777</v>
      </c>
      <c r="G2350" s="3" t="str">
        <f ca="1">IFERROR(__xludf.DUMMYFUNCTION("googletranslate(D2350,""en"",""ja"")"),"身長")</f>
        <v>身長</v>
      </c>
      <c r="H2350" s="3" t="str">
        <f ca="1">IFERROR(__xludf.DUMMYFUNCTION("googletranslate(E2350,""en"",""ja"")"),"物体の底部から上部までの垂直方向の測定値または距離。延長部分の垂直方向の寸法。 (NCI)")</f>
        <v>物体の底部から上部までの垂直方向の測定値または距離。延長部分の垂直方向の寸法。 (NCI)</v>
      </c>
      <c r="I2350" s="3" t="str">
        <f ca="1">IFERROR(__xludf.DUMMYFUNCTION("googletranslate(F2350,""en"",""ja"")"),"身長")</f>
        <v>身長</v>
      </c>
    </row>
    <row r="2351" spans="1:9" ht="30">
      <c r="A2351" s="3" t="s">
        <v>6</v>
      </c>
      <c r="B2351" s="3" t="s">
        <v>9779</v>
      </c>
      <c r="C2351" s="3" t="s">
        <v>9780</v>
      </c>
      <c r="D2351" s="3" t="s">
        <v>9781</v>
      </c>
      <c r="E2351" s="3" t="s">
        <v>9782</v>
      </c>
      <c r="F2351" s="3" t="s">
        <v>9783</v>
      </c>
      <c r="G2351" s="3" t="str">
        <f ca="1">IFERROR(__xludf.DUMMYFUNCTION("googletranslate(D2351,""en"",""ja"")"),"ハインツボディ;ハインツ・エーリッヒ体")</f>
        <v>ハインツボディ;ハインツ・エーリッヒ体</v>
      </c>
      <c r="H2351" s="3" t="str">
        <f ca="1">IFERROR(__xludf.DUMMYFUNCTION("googletranslate(E2351,""en"",""ja"")"),"生物学的標本中のハインツ小体 (赤血球の体内にある小さな丸い封入体) の測定。")</f>
        <v>生物学的標本中のハインツ小体 (赤血球の体内にある小さな丸い封入体) の測定。</v>
      </c>
      <c r="I2351" s="3" t="str">
        <f ca="1">IFERROR(__xludf.DUMMYFUNCTION("googletranslate(F2351,""en"",""ja"")"),"ハインツ・エールリッヒ身体測定")</f>
        <v>ハインツ・エールリッヒ身体測定</v>
      </c>
    </row>
    <row r="2352" spans="1:9" ht="45">
      <c r="A2352" s="3" t="s">
        <v>6</v>
      </c>
      <c r="B2352" s="3" t="s">
        <v>9784</v>
      </c>
      <c r="C2352" s="3" t="s">
        <v>9785</v>
      </c>
      <c r="D2352" s="3" t="s">
        <v>9785</v>
      </c>
      <c r="E2352" s="3" t="s">
        <v>9786</v>
      </c>
      <c r="F2352" s="3" t="s">
        <v>9787</v>
      </c>
      <c r="G2352" s="3" t="str">
        <f ca="1">IFERROR(__xludf.DUMMYFUNCTION("googletranslate(D2352,""en"",""ja"")"),"ハインツ小体/赤血球")</f>
        <v>ハインツ小体/赤血球</v>
      </c>
      <c r="H2352" s="3" t="str">
        <f ca="1">IFERROR(__xludf.DUMMYFUNCTION("googletranslate(E2352,""en"",""ja"")"),"生物学的標本の全赤血球に対するハインツ小体を含む赤血球の相対測定値 (比率またはパーセンテージ)。")</f>
        <v>生物学的標本の全赤血球に対するハインツ小体を含む赤血球の相対測定値 (比率またはパーセンテージ)。</v>
      </c>
      <c r="I2352" s="3" t="str">
        <f ca="1">IFERROR(__xludf.DUMMYFUNCTION("googletranslate(F2352,""en"",""ja"")"),"ハインツ小体対赤血球比測定")</f>
        <v>ハインツ小体対赤血球比測定</v>
      </c>
    </row>
    <row r="2353" spans="1:9" ht="45">
      <c r="A2353" s="3" t="s">
        <v>6</v>
      </c>
      <c r="B2353" s="3" t="s">
        <v>9788</v>
      </c>
      <c r="C2353" s="3" t="s">
        <v>9789</v>
      </c>
      <c r="D2353" s="3" t="s">
        <v>9789</v>
      </c>
      <c r="E2353" s="3" t="s">
        <v>9790</v>
      </c>
      <c r="F2353" s="3" t="s">
        <v>9791</v>
      </c>
      <c r="G2353" s="3" t="str">
        <f ca="1">IFERROR(__xludf.DUMMYFUNCTION("googletranslate(D2353,""en"",""ja"")"),"ヘルメットセル")</f>
        <v>ヘルメットセル</v>
      </c>
      <c r="H2353" s="3" t="str">
        <f ca="1">IFERROR(__xludf.DUMMYFUNCTION("googletranslate(E2353,""en"",""ja"")"),"生物学的標本中のヘルメット細胞（両端に先細で角状の 2 つの突起を持つ特殊な角膜実​​質細胞）の測定。")</f>
        <v>生物学的標本中のヘルメット細胞（両端に先細で角状の 2 つの突起を持つ特殊な角膜実​​質細胞）の測定。</v>
      </c>
      <c r="I2353" s="3" t="str">
        <f ca="1">IFERROR(__xludf.DUMMYFUNCTION("googletranslate(F2353,""en"",""ja"")"),"ヘルメットのセル数")</f>
        <v>ヘルメットのセル数</v>
      </c>
    </row>
    <row r="2354" spans="1:9" ht="45">
      <c r="A2354" s="3" t="s">
        <v>6</v>
      </c>
      <c r="B2354" s="3" t="s">
        <v>9792</v>
      </c>
      <c r="C2354" s="3" t="s">
        <v>9793</v>
      </c>
      <c r="D2354" s="3" t="s">
        <v>9794</v>
      </c>
      <c r="E2354" s="3" t="s">
        <v>9795</v>
      </c>
      <c r="F2354" s="3" t="s">
        <v>9796</v>
      </c>
      <c r="G2354" s="3" t="str">
        <f ca="1">IFERROR(__xludf.DUMMYFUNCTION("googletranslate(D2354,""en"",""ja"")"),"ヘリカーゼ MOV-10 タンパク質;モロニー白血病ウイルス 10 タンパク質")</f>
        <v>ヘリカーゼ MOV-10 タンパク質;モロニー白血病ウイルス 10 タンパク質</v>
      </c>
      <c r="H2354" s="3" t="str">
        <f ca="1">IFERROR(__xludf.DUMMYFUNCTION("googletranslate(E2354,""en"",""ja"")"),"生物学的標本中のヘリカーゼ MOV-10 タンパク質の測定。")</f>
        <v>生物学的標本中のヘリカーゼ MOV-10 タンパク質の測定。</v>
      </c>
      <c r="I2354" s="3" t="str">
        <f ca="1">IFERROR(__xludf.DUMMYFUNCTION("googletranslate(F2354,""en"",""ja"")"),"ヘリカーゼ MOV-10 タンパク質測定")</f>
        <v>ヘリカーゼ MOV-10 タンパク質測定</v>
      </c>
    </row>
    <row r="2355" spans="1:9" ht="30">
      <c r="A2355" s="3" t="s">
        <v>6</v>
      </c>
      <c r="B2355" s="3" t="s">
        <v>9797</v>
      </c>
      <c r="C2355" s="3" t="s">
        <v>9798</v>
      </c>
      <c r="D2355" s="3" t="s">
        <v>9799</v>
      </c>
      <c r="E2355" s="3" t="s">
        <v>9800</v>
      </c>
      <c r="F2355" s="3" t="s">
        <v>9798</v>
      </c>
      <c r="G2355" s="3" t="str">
        <f ca="1">IFERROR(__xludf.DUMMYFUNCTION("googletranslate(D2355,""en"",""ja"")"),"溶血;溶血指数")</f>
        <v>溶血;溶血指数</v>
      </c>
      <c r="H2355" s="3" t="str">
        <f ca="1">IFERROR(__xludf.DUMMYFUNCTION("googletranslate(E2355,""en"",""ja"")"),"生物学的標本における赤血球の破壊の測定。")</f>
        <v>生物学的標本における赤血球の破壊の測定。</v>
      </c>
      <c r="I2355" s="3" t="str">
        <f ca="1">IFERROR(__xludf.DUMMYFUNCTION("googletranslate(F2355,""en"",""ja"")"),"溶血指数")</f>
        <v>溶血指数</v>
      </c>
    </row>
    <row r="2356" spans="1:9" ht="60">
      <c r="A2356" s="3" t="s">
        <v>67</v>
      </c>
      <c r="B2356" s="3" t="s">
        <v>9801</v>
      </c>
      <c r="C2356" s="3" t="s">
        <v>9802</v>
      </c>
      <c r="D2356" s="3" t="s">
        <v>9802</v>
      </c>
      <c r="E2356" s="3" t="s">
        <v>9803</v>
      </c>
      <c r="F2356" s="3" t="s">
        <v>9804</v>
      </c>
      <c r="G2356" s="3" t="str">
        <f ca="1">IFERROR(__xludf.DUMMYFUNCTION("googletranslate(D2356,""en"",""ja"")"),"ヘモゾイン")</f>
        <v>ヘモゾイン</v>
      </c>
      <c r="H2356" s="3" t="str">
        <f ca="1">IFERROR(__xludf.DUMMYFUNCTION("googletranslate(E2356,""en"",""ja"")"),"生物学的標本中のヘモゾインの測定。ヘモゾインは、ヘモグロビンと鉄含有色素の分解生成物であり、吸血寄生虫の細胞質顆粒として蓄積します。")</f>
        <v>生物学的標本中のヘモゾインの測定。ヘモゾインは、ヘモグロビンと鉄含有色素の分解生成物であり、吸血寄生虫の細胞質顆粒として蓄積します。</v>
      </c>
      <c r="I2356" s="3" t="str">
        <f ca="1">IFERROR(__xludf.DUMMYFUNCTION("googletranslate(F2356,""en"",""ja"")"),"ヘモゾインの測定")</f>
        <v>ヘモゾインの測定</v>
      </c>
    </row>
    <row r="2357" spans="1:9">
      <c r="A2357" s="3" t="s">
        <v>6</v>
      </c>
      <c r="B2357" s="3" t="s">
        <v>9805</v>
      </c>
      <c r="C2357" s="3" t="s">
        <v>9806</v>
      </c>
      <c r="D2357" s="3" t="s">
        <v>9806</v>
      </c>
      <c r="E2357" s="3" t="s">
        <v>9807</v>
      </c>
      <c r="F2357" s="3" t="s">
        <v>9808</v>
      </c>
      <c r="G2357" s="3" t="str">
        <f ca="1">IFERROR(__xludf.DUMMYFUNCTION("googletranslate(D2357,""en"",""ja"")"),"ヘパリン")</f>
        <v>ヘパリン</v>
      </c>
      <c r="H2357" s="3" t="str">
        <f ca="1">IFERROR(__xludf.DUMMYFUNCTION("googletranslate(E2357,""en"",""ja"")"),"生物学的標本中のヘパリンの測定。")</f>
        <v>生物学的標本中のヘパリンの測定。</v>
      </c>
      <c r="I2357" s="3" t="str">
        <f ca="1">IFERROR(__xludf.DUMMYFUNCTION("googletranslate(F2357,""en"",""ja"")"),"ヘパリン測定")</f>
        <v>ヘパリン測定</v>
      </c>
    </row>
    <row r="2358" spans="1:9" ht="45">
      <c r="A2358" s="3" t="s">
        <v>6</v>
      </c>
      <c r="B2358" s="3" t="s">
        <v>9809</v>
      </c>
      <c r="C2358" s="3" t="s">
        <v>9810</v>
      </c>
      <c r="D2358" s="3" t="s">
        <v>9811</v>
      </c>
      <c r="E2358" s="3" t="s">
        <v>9812</v>
      </c>
      <c r="F2358" s="3" t="s">
        <v>9813</v>
      </c>
      <c r="G2358" s="3" t="str">
        <f ca="1">IFERROR(__xludf.DUMMYFUNCTION("googletranslate(D2358,""en"",""ja"")"),"アズロシジン; CAP37;カチオン性抗菌タンパク質 CAP37; HBP;ヘパリン結合タンパク質")</f>
        <v>アズロシジン; CAP37;カチオン性抗菌タンパク質 CAP37; HBP;ヘパリン結合タンパク質</v>
      </c>
      <c r="H2358" s="3" t="str">
        <f ca="1">IFERROR(__xludf.DUMMYFUNCTION("googletranslate(E2358,""en"",""ja"")"),"生物学的標本中のヘパリン結合タンパク質の測定。")</f>
        <v>生物学的標本中のヘパリン結合タンパク質の測定。</v>
      </c>
      <c r="I2358" s="3" t="str">
        <f ca="1">IFERROR(__xludf.DUMMYFUNCTION("googletranslate(F2358,""en"",""ja"")"),"ヘパリン結合タンパク質の測定")</f>
        <v>ヘパリン結合タンパク質の測定</v>
      </c>
    </row>
    <row r="2359" spans="1:9">
      <c r="A2359" s="3" t="s">
        <v>6</v>
      </c>
      <c r="B2359" s="3" t="s">
        <v>9814</v>
      </c>
      <c r="C2359" s="3" t="s">
        <v>9815</v>
      </c>
      <c r="D2359" s="3" t="s">
        <v>9815</v>
      </c>
      <c r="E2359" s="3" t="s">
        <v>9816</v>
      </c>
      <c r="F2359" s="3" t="s">
        <v>9817</v>
      </c>
      <c r="G2359" s="3" t="str">
        <f ca="1">IFERROR(__xludf.DUMMYFUNCTION("googletranslate(D2359,""en"",""ja"")"),"ヘプシジン")</f>
        <v>ヘプシジン</v>
      </c>
      <c r="H2359" s="3" t="str">
        <f ca="1">IFERROR(__xludf.DUMMYFUNCTION("googletranslate(E2359,""en"",""ja"")"),"生物学的標本中の総ヘプシジンの測定。")</f>
        <v>生物学的標本中の総ヘプシジンの測定。</v>
      </c>
      <c r="I2359" s="3" t="str">
        <f ca="1">IFERROR(__xludf.DUMMYFUNCTION("googletranslate(F2359,""en"",""ja"")"),"ヘプシジンの測定")</f>
        <v>ヘプシジンの測定</v>
      </c>
    </row>
    <row r="2360" spans="1:9" ht="45">
      <c r="A2360" s="3" t="s">
        <v>6</v>
      </c>
      <c r="B2360" s="3" t="s">
        <v>9818</v>
      </c>
      <c r="C2360" s="3" t="s">
        <v>9819</v>
      </c>
      <c r="D2360" s="3" t="s">
        <v>9820</v>
      </c>
      <c r="E2360" s="3" t="s">
        <v>9821</v>
      </c>
      <c r="F2360" s="3" t="s">
        <v>9822</v>
      </c>
      <c r="G2360" s="3" t="str">
        <f ca="1">IFERROR(__xludf.DUMMYFUNCTION("googletranslate(D2360,""en"",""ja"")"),"HEPS;ヘプシン;セリンプロテアーゼ ヘプシン; TMPRSS1;膜貫通プロテアーゼ セリン 1")</f>
        <v>HEPS;ヘプシン;セリンプロテアーゼ ヘプシン; TMPRSS1;膜貫通プロテアーゼ セリン 1</v>
      </c>
      <c r="H2360" s="3" t="str">
        <f ca="1">IFERROR(__xludf.DUMMYFUNCTION("googletranslate(E2360,""en"",""ja"")"),"生物学的標本中のヘプシンの測定。")</f>
        <v>生物学的標本中のヘプシンの測定。</v>
      </c>
      <c r="I2360" s="3" t="str">
        <f ca="1">IFERROR(__xludf.DUMMYFUNCTION("googletranslate(F2360,""en"",""ja"")"),"ヘプシン測定")</f>
        <v>ヘプシン測定</v>
      </c>
    </row>
    <row r="2361" spans="1:9" ht="45">
      <c r="A2361" s="3" t="s">
        <v>6</v>
      </c>
      <c r="B2361" s="3" t="s">
        <v>9823</v>
      </c>
      <c r="C2361" s="3" t="s">
        <v>9824</v>
      </c>
      <c r="D2361" s="3" t="s">
        <v>9825</v>
      </c>
      <c r="E2361" s="3" t="s">
        <v>9826</v>
      </c>
      <c r="F2361" s="3" t="s">
        <v>9827</v>
      </c>
      <c r="G2361" s="3" t="str">
        <f ca="1">IFERROR(__xludf.DUMMYFUNCTION("googletranslate(D2361,""en"",""ja"")"),"ERBB2; HER2/NEU;ヒト上皮成長因子受容体 2")</f>
        <v>ERBB2; HER2/NEU;ヒト上皮成長因子受容体 2</v>
      </c>
      <c r="H2361" s="3" t="str">
        <f ca="1">IFERROR(__xludf.DUMMYFUNCTION("googletranslate(E2361,""en"",""ja"")"),"生物学的標本中の HER2 タンパク質の測定。")</f>
        <v>生物学的標本中の HER2 タンパク質の測定。</v>
      </c>
      <c r="I2361" s="3" t="str">
        <f ca="1">IFERROR(__xludf.DUMMYFUNCTION("googletranslate(F2361,""en"",""ja"")"),"ヒト上皮成長因子受容体2の測定")</f>
        <v>ヒト上皮成長因子受容体2の測定</v>
      </c>
    </row>
    <row r="2362" spans="1:9" ht="45">
      <c r="A2362" s="3" t="s">
        <v>6</v>
      </c>
      <c r="B2362" s="3" t="s">
        <v>9828</v>
      </c>
      <c r="C2362" s="3" t="s">
        <v>9829</v>
      </c>
      <c r="D2362" s="3" t="s">
        <v>9830</v>
      </c>
      <c r="E2362" s="3" t="s">
        <v>9831</v>
      </c>
      <c r="F2362" s="3" t="s">
        <v>9832</v>
      </c>
      <c r="G2362" s="3" t="str">
        <f ca="1">IFERROR(__xludf.DUMMYFUNCTION("googletranslate(D2362,""en"",""ja"")"),"HER2 抗原; HER2/NEU 抗原; HER2/NEU 放出抗原;可溶性HER2;可溶性 HER2/NEU")</f>
        <v>HER2 抗原; HER2/NEU 抗原; HER2/NEU 放出抗原;可溶性HER2;可溶性 HER2/NEU</v>
      </c>
      <c r="H2362" s="3" t="str">
        <f ca="1">IFERROR(__xludf.DUMMYFUNCTION("googletranslate(E2362,""en"",""ja"")"),"生物学的標本中の可溶性 HER2 タンパク質の測定。")</f>
        <v>生物学的標本中の可溶性 HER2 タンパク質の測定。</v>
      </c>
      <c r="I2362" s="3" t="str">
        <f ca="1">IFERROR(__xludf.DUMMYFUNCTION("googletranslate(F2362,""en"",""ja"")"),"可溶性HER2抗原の測定")</f>
        <v>可溶性HER2抗原の測定</v>
      </c>
    </row>
    <row r="2363" spans="1:9" ht="75">
      <c r="A2363" s="3" t="s">
        <v>6</v>
      </c>
      <c r="B2363" s="3" t="s">
        <v>9833</v>
      </c>
      <c r="C2363" s="3" t="s">
        <v>9834</v>
      </c>
      <c r="D2363" s="3" t="s">
        <v>9835</v>
      </c>
      <c r="E2363" s="3" t="s">
        <v>9836</v>
      </c>
      <c r="F2363" s="3" t="s">
        <v>9837</v>
      </c>
      <c r="G2363" s="3" t="str">
        <f ca="1">IFERROR(__xludf.DUMMYFUNCTION("googletranslate(D2363,""en"",""ja"")"),"E3 ISG15 - プロテインリガーゼ HERC5; E3 ユビキチンタンパク質リガーゼ 5 を含む HECT および RLD ドメイン。 Hect ドメインと RLD 5")</f>
        <v>E3 ISG15 - プロテインリガーゼ HERC5; E3 ユビキチンタンパク質リガーゼ 5 を含む HECT および RLD ドメイン。 Hect ドメインと RLD 5</v>
      </c>
      <c r="H2363" s="3" t="str">
        <f ca="1">IFERROR(__xludf.DUMMYFUNCTION("googletranslate(E2363,""en"",""ja"")"),"生物学的標本における hect ドメインと RLD 5 の測定。")</f>
        <v>生物学的標本における hect ドメインと RLD 5 の測定。</v>
      </c>
      <c r="I2363" s="3" t="str">
        <f ca="1">IFERROR(__xludf.DUMMYFUNCTION("googletranslate(F2363,""en"",""ja"")"),"Hect ドメインと RLD 5 の測定")</f>
        <v>Hect ドメインと RLD 5 の測定</v>
      </c>
    </row>
    <row r="2364" spans="1:9" ht="30">
      <c r="A2364" s="3" t="s">
        <v>67</v>
      </c>
      <c r="B2364" s="3" t="s">
        <v>9838</v>
      </c>
      <c r="C2364" s="3" t="s">
        <v>9839</v>
      </c>
      <c r="D2364" s="3" t="s">
        <v>9839</v>
      </c>
      <c r="E2364" s="3" t="s">
        <v>9840</v>
      </c>
      <c r="F2364" s="3" t="s">
        <v>9841</v>
      </c>
      <c r="G2364" s="3" t="str">
        <f ca="1">IFERROR(__xludf.DUMMYFUNCTION("googletranslate(D2364,""en"",""ja"")"),"E型肝炎ウイルスRNA")</f>
        <v>E型肝炎ウイルスRNA</v>
      </c>
      <c r="H2364" s="3" t="str">
        <f ca="1">IFERROR(__xludf.DUMMYFUNCTION("googletranslate(E2364,""en"",""ja"")"),"生物学的標本中の E 型肝炎ウイルス RNA の測定。")</f>
        <v>生物学的標本中の E 型肝炎ウイルス RNA の測定。</v>
      </c>
      <c r="I2364" s="3" t="str">
        <f ca="1">IFERROR(__xludf.DUMMYFUNCTION("googletranslate(F2364,""en"",""ja"")"),"E型肝炎ウイルスRNA測定")</f>
        <v>E型肝炎ウイルスRNA測定</v>
      </c>
    </row>
    <row r="2365" spans="1:9" ht="30">
      <c r="A2365" s="3" t="s">
        <v>6</v>
      </c>
      <c r="B2365" s="3" t="s">
        <v>9842</v>
      </c>
      <c r="C2365" s="3" t="s">
        <v>9843</v>
      </c>
      <c r="D2365" s="3" t="s">
        <v>9843</v>
      </c>
      <c r="E2365" s="3" t="s">
        <v>9844</v>
      </c>
      <c r="F2365" s="3" t="s">
        <v>9845</v>
      </c>
      <c r="G2365" s="3" t="str">
        <f ca="1">IFERROR(__xludf.DUMMYFUNCTION("googletranslate(D2365,""en"",""ja"")"),"異性愛者")</f>
        <v>異性愛者</v>
      </c>
      <c r="H2365" s="3" t="str">
        <f ca="1">IFERROR(__xludf.DUMMYFUNCTION("googletranslate(E2365,""en"",""ja"")"),"鳥類の生物標本中の異好球 (顆粒白血球) の測定。")</f>
        <v>鳥類の生物標本中の異好球 (顆粒白血球) の測定。</v>
      </c>
      <c r="I2365" s="3" t="str">
        <f ca="1">IFERROR(__xludf.DUMMYFUNCTION("googletranslate(F2365,""en"",""ja"")"),"異性球の測定")</f>
        <v>異性球の測定</v>
      </c>
    </row>
    <row r="2366" spans="1:9" ht="30">
      <c r="A2366" s="3" t="s">
        <v>6</v>
      </c>
      <c r="B2366" s="3" t="s">
        <v>9846</v>
      </c>
      <c r="C2366" s="3" t="s">
        <v>9847</v>
      </c>
      <c r="D2366" s="3" t="s">
        <v>9847</v>
      </c>
      <c r="E2366" s="3" t="s">
        <v>9848</v>
      </c>
      <c r="F2366" s="3" t="s">
        <v>9849</v>
      </c>
      <c r="G2366" s="3" t="str">
        <f ca="1">IFERROR(__xludf.DUMMYFUNCTION("googletranslate(D2366,""en"",""ja"")"),"異性球/白血球")</f>
        <v>異性球/白血球</v>
      </c>
      <c r="H2366" s="3" t="str">
        <f ca="1">IFERROR(__xludf.DUMMYFUNCTION("googletranslate(E2366,""en"",""ja"")"),"鳥類の生物標本における白血球に対する異好球の相対測定値 (比率またはパーセンテージ)。")</f>
        <v>鳥類の生物標本における白血球に対する異好球の相対測定値 (比率またはパーセンテージ)。</v>
      </c>
      <c r="I2366" s="3" t="str">
        <f ca="1">IFERROR(__xludf.DUMMYFUNCTION("googletranslate(F2366,""en"",""ja"")"),"異球対白血球比の測定")</f>
        <v>異球対白血球比の測定</v>
      </c>
    </row>
    <row r="2367" spans="1:9" ht="30">
      <c r="A2367" s="3" t="s">
        <v>185</v>
      </c>
      <c r="B2367" s="3" t="s">
        <v>9850</v>
      </c>
      <c r="C2367" s="3" t="s">
        <v>9851</v>
      </c>
      <c r="D2367" s="3" t="s">
        <v>9851</v>
      </c>
      <c r="E2367" s="3" t="s">
        <v>9852</v>
      </c>
      <c r="F2367" s="3" t="s">
        <v>9851</v>
      </c>
      <c r="G2367" s="3" t="str">
        <f ca="1">IFERROR(__xludf.DUMMYFUNCTION("googletranslate(D2367,""en"",""ja"")"),"ヘルスケアエンカウンタータイプ")</f>
        <v>ヘルスケアエンカウンタータイプ</v>
      </c>
      <c r="H2367" s="3" t="str">
        <f ca="1">IFERROR(__xludf.DUMMYFUNCTION("googletranslate(E2367,""en"",""ja"")"),"医療従事者のタイプの分類。")</f>
        <v>医療従事者のタイプの分類。</v>
      </c>
      <c r="I2367" s="3" t="str">
        <f ca="1">IFERROR(__xludf.DUMMYFUNCTION("googletranslate(F2367,""en"",""ja"")"),"ヘルスケアエンカウンタータイプ")</f>
        <v>ヘルスケアエンカウンタータイプ</v>
      </c>
    </row>
    <row r="2368" spans="1:9" ht="150">
      <c r="A2368" s="3" t="s">
        <v>6</v>
      </c>
      <c r="B2368" s="3" t="s">
        <v>9853</v>
      </c>
      <c r="C2368" s="3" t="s">
        <v>9854</v>
      </c>
      <c r="D2368" s="3" t="s">
        <v>9855</v>
      </c>
      <c r="E2368" s="3" t="s">
        <v>9856</v>
      </c>
      <c r="F2368" s="3" t="s">
        <v>9857</v>
      </c>
      <c r="G2368" s="3" t="str">
        <f ca="1">IFERROR(__xludf.DUMMYFUNCTION("googletranslate(D2368,""en"",""ja"")"),"ベータ-ヘキソサミニダーゼ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f>
        <v>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v>
      </c>
      <c r="H2368" s="3" t="str">
        <f ca="1">IFERROR(__xludf.DUMMYFUNCTION("googletranslate(E2368,""en"",""ja"")"),"生物学的標本中のヘキソサミニダーゼ A の測定。")</f>
        <v>生物学的標本中のヘキソサミニダーゼ A の測定。</v>
      </c>
      <c r="I2368" s="3" t="str">
        <f ca="1">IFERROR(__xludf.DUMMYFUNCTION("googletranslate(F2368,""en"",""ja"")"),"ヘキソサミニダーゼAの測定")</f>
        <v>ヘキソサミニダーゼAの測定</v>
      </c>
    </row>
    <row r="2369" spans="1:9">
      <c r="A2369" s="3" t="s">
        <v>6</v>
      </c>
      <c r="B2369" s="3" t="s">
        <v>9858</v>
      </c>
      <c r="C2369" s="3" t="s">
        <v>9859</v>
      </c>
      <c r="D2369" s="3" t="s">
        <v>9859</v>
      </c>
      <c r="E2369" s="3" t="s">
        <v>9860</v>
      </c>
      <c r="F2369" s="3" t="s">
        <v>9861</v>
      </c>
      <c r="G2369" s="3" t="str">
        <f ca="1">IFERROR(__xludf.DUMMYFUNCTION("googletranslate(D2369,""en"",""ja"")"),"ヘキソキナーゼ")</f>
        <v>ヘキソキナーゼ</v>
      </c>
      <c r="H2369" s="3" t="str">
        <f ca="1">IFERROR(__xludf.DUMMYFUNCTION("googletranslate(E2369,""en"",""ja"")"),"生物学的標本中のヘキソキナーゼの測定。")</f>
        <v>生物学的標本中のヘキソキナーゼの測定。</v>
      </c>
      <c r="I2369" s="3" t="str">
        <f ca="1">IFERROR(__xludf.DUMMYFUNCTION("googletranslate(F2369,""en"",""ja"")"),"ヘキソキナーゼ測定")</f>
        <v>ヘキソキナーゼ測定</v>
      </c>
    </row>
    <row r="2370" spans="1:9" ht="45">
      <c r="A2370" s="3" t="s">
        <v>185</v>
      </c>
      <c r="B2370" s="3" t="s">
        <v>9862</v>
      </c>
      <c r="C2370" s="3" t="s">
        <v>9863</v>
      </c>
      <c r="D2370" s="3" t="s">
        <v>9863</v>
      </c>
      <c r="E2370" s="3" t="s">
        <v>9864</v>
      </c>
      <c r="F2370" s="3" t="s">
        <v>9865</v>
      </c>
      <c r="G2370" s="3" t="str">
        <f ca="1">IFERROR(__xludf.DUMMYFUNCTION("googletranslate(D2370,""en"",""ja"")"),"心不全の新規/悪化の検査所見")</f>
        <v>心不全の新規/悪化の検査所見</v>
      </c>
      <c r="H2370" s="3" t="str">
        <f ca="1">IFERROR(__xludf.DUMMYFUNCTION("googletranslate(E2370,""en"",""ja"")"),"患者の来院時に存在する心不全の新たな検査所見および/または悪化している検査所見の種類の分類。")</f>
        <v>患者の来院時に存在する心不全の新たな検査所見および/または悪化している検査所見の種類の分類。</v>
      </c>
      <c r="I2370" s="3" t="str">
        <f ca="1">IFERROR(__xludf.DUMMYFUNCTION("googletranslate(F2370,""en"",""ja"")"),"新たな心不全または悪化した心不全の検査所見")</f>
        <v>新たな心不全または悪化した心不全の検査所見</v>
      </c>
    </row>
    <row r="2371" spans="1:9" ht="45">
      <c r="A2371" s="3" t="s">
        <v>185</v>
      </c>
      <c r="B2371" s="3" t="s">
        <v>9866</v>
      </c>
      <c r="C2371" s="3" t="s">
        <v>9867</v>
      </c>
      <c r="D2371" s="3" t="s">
        <v>9867</v>
      </c>
      <c r="E2371" s="3" t="s">
        <v>9868</v>
      </c>
      <c r="F2371" s="3" t="s">
        <v>9869</v>
      </c>
      <c r="G2371" s="3" t="str">
        <f ca="1">IFERROR(__xludf.DUMMYFUNCTION("googletranslate(D2371,""en"",""ja"")"),"心不全 PE の新規/悪化所見")</f>
        <v>心不全 PE の新規/悪化所見</v>
      </c>
      <c r="H2371" s="3" t="str">
        <f ca="1">IFERROR(__xludf.DUMMYFUNCTION("googletranslate(E2371,""en"",""ja"")"),"患者の来院時に存在する心不全の新規および/または悪化する身体検査所見の種類の分類。")</f>
        <v>患者の来院時に存在する心不全の新規および/または悪化する身体検査所見の種類の分類。</v>
      </c>
      <c r="I2371" s="3" t="str">
        <f ca="1">IFERROR(__xludf.DUMMYFUNCTION("googletranslate(F2371,""en"",""ja"")"),"身体検査による新規または悪化の心不全の所見")</f>
        <v>身体検査による新規または悪化の心不全の所見</v>
      </c>
    </row>
    <row r="2372" spans="1:9" ht="30">
      <c r="A2372" s="3" t="s">
        <v>185</v>
      </c>
      <c r="B2372" s="3" t="s">
        <v>9870</v>
      </c>
      <c r="C2372" s="3" t="s">
        <v>9871</v>
      </c>
      <c r="D2372" s="3" t="s">
        <v>9871</v>
      </c>
      <c r="E2372" s="3" t="s">
        <v>9872</v>
      </c>
      <c r="F2372" s="3" t="s">
        <v>9873</v>
      </c>
      <c r="G2372" s="3" t="str">
        <f ca="1">IFERROR(__xludf.DUMMYFUNCTION("googletranslate(D2372,""en"",""ja"")"),"心不全治療、強化")</f>
        <v>心不全治療、強化</v>
      </c>
      <c r="H2372" s="3" t="str">
        <f ca="1">IFERROR(__xludf.DUMMYFUNCTION("googletranslate(E2372,""en"",""ja"")"),"心不全管理のために施される新規治療および/または強化治療の種類の分類。")</f>
        <v>心不全管理のために施される新規治療および/または強化治療の種類の分類。</v>
      </c>
      <c r="I2372" s="3" t="str">
        <f ca="1">IFERROR(__xludf.DUMMYFUNCTION("googletranslate(F2372,""en"",""ja"")"),"心不全治療強化型")</f>
        <v>心不全治療強化型</v>
      </c>
    </row>
    <row r="2373" spans="1:9" ht="30">
      <c r="A2373" s="3" t="s">
        <v>6</v>
      </c>
      <c r="B2373" s="3" t="s">
        <v>9874</v>
      </c>
      <c r="C2373" s="3" t="s">
        <v>9875</v>
      </c>
      <c r="D2373" s="3" t="s">
        <v>9876</v>
      </c>
      <c r="E2373" s="3" t="s">
        <v>9877</v>
      </c>
      <c r="F2373" s="3" t="s">
        <v>9878</v>
      </c>
      <c r="G2373" s="3" t="str">
        <f ca="1">IFERROR(__xludf.DUMMYFUNCTION("googletranslate(D2373,""en"",""ja"")"),"ヘモグロビン;ヘモグロビンモノマー")</f>
        <v>ヘモグロビン;ヘモグロビンモノマー</v>
      </c>
      <c r="H2373" s="3" t="str">
        <f ca="1">IFERROR(__xludf.DUMMYFUNCTION("googletranslate(E2373,""en"",""ja"")"),"生物学的標本中の総赤血球関連ヘモグロビンの測定。")</f>
        <v>生物学的標本中の総赤血球関連ヘモグロビンの測定。</v>
      </c>
      <c r="I2373" s="3" t="str">
        <f ca="1">IFERROR(__xludf.DUMMYFUNCTION("googletranslate(F2373,""en"",""ja"")"),"ヘモグロビン測定")</f>
        <v>ヘモグロビン測定</v>
      </c>
    </row>
    <row r="2374" spans="1:9">
      <c r="A2374" s="3" t="s">
        <v>6</v>
      </c>
      <c r="B2374" s="3" t="s">
        <v>9879</v>
      </c>
      <c r="C2374" s="3" t="s">
        <v>9880</v>
      </c>
      <c r="D2374" s="3" t="s">
        <v>9880</v>
      </c>
      <c r="E2374" s="3" t="s">
        <v>9881</v>
      </c>
      <c r="F2374" s="3" t="s">
        <v>9882</v>
      </c>
      <c r="G2374" s="3" t="str">
        <f ca="1">IFERROR(__xludf.DUMMYFUNCTION("googletranslate(D2374,""en"",""ja"")"),"ヘモグロビンA")</f>
        <v>ヘモグロビンA</v>
      </c>
      <c r="H2374" s="3" t="str">
        <f ca="1">IFERROR(__xludf.DUMMYFUNCTION("googletranslate(E2374,""en"",""ja"")"),"生物学的標本中のヘモグロビン A の測定。")</f>
        <v>生物学的標本中のヘモグロビン A の測定。</v>
      </c>
      <c r="I2374" s="3" t="str">
        <f ca="1">IFERROR(__xludf.DUMMYFUNCTION("googletranslate(F2374,""en"",""ja"")"),"ヘモグロビンAの測定")</f>
        <v>ヘモグロビンAの測定</v>
      </c>
    </row>
    <row r="2375" spans="1:9" ht="30">
      <c r="A2375" s="3" t="s">
        <v>6</v>
      </c>
      <c r="B2375" s="3" t="s">
        <v>9883</v>
      </c>
      <c r="C2375" s="3" t="s">
        <v>9884</v>
      </c>
      <c r="D2375" s="3" t="s">
        <v>9884</v>
      </c>
      <c r="E2375" s="3" t="s">
        <v>9885</v>
      </c>
      <c r="F2375" s="3" t="s">
        <v>9886</v>
      </c>
      <c r="G2375" s="3" t="str">
        <f ca="1">IFERROR(__xludf.DUMMYFUNCTION("googletranslate(D2375,""en"",""ja"")"),"ヘモグロビンA1/総ヘモグロビン")</f>
        <v>ヘモグロビンA1/総ヘモグロビン</v>
      </c>
      <c r="H2375" s="3" t="str">
        <f ca="1">IFERROR(__xludf.DUMMYFUNCTION("googletranslate(E2375,""en"",""ja"")"),"生体試料中の総ヘモグロビンに対するヘモグロビン A1 の相対測定値 (比率またはパーセンテージ)。")</f>
        <v>生体試料中の総ヘモグロビンに対するヘモグロビン A1 の相対測定値 (比率またはパーセンテージ)。</v>
      </c>
      <c r="I2375" s="3" t="str">
        <f ca="1">IFERROR(__xludf.DUMMYFUNCTION("googletranslate(F2375,""en"",""ja"")"),"ヘモグロビンA1対総ヘモグロビン比の測定")</f>
        <v>ヘモグロビンA1対総ヘモグロビン比の測定</v>
      </c>
    </row>
    <row r="2376" spans="1:9" ht="30">
      <c r="A2376" s="3" t="s">
        <v>6</v>
      </c>
      <c r="B2376" s="3" t="s">
        <v>9887</v>
      </c>
      <c r="C2376" s="3" t="s">
        <v>9888</v>
      </c>
      <c r="D2376" s="3" t="s">
        <v>9888</v>
      </c>
      <c r="E2376" s="3" t="s">
        <v>9889</v>
      </c>
      <c r="F2376" s="3" t="s">
        <v>9890</v>
      </c>
      <c r="G2376" s="3" t="str">
        <f ca="1">IFERROR(__xludf.DUMMYFUNCTION("googletranslate(D2376,""en"",""ja"")"),"ヘモグロビンA2")</f>
        <v>ヘモグロビンA2</v>
      </c>
      <c r="H2376" s="3" t="str">
        <f ca="1">IFERROR(__xludf.DUMMYFUNCTION("googletranslate(E2376,""en"",""ja"")"),"生物学的標本中のヘモグロビン A2 の測定。")</f>
        <v>生物学的標本中のヘモグロビン A2 の測定。</v>
      </c>
      <c r="I2376" s="3" t="str">
        <f ca="1">IFERROR(__xludf.DUMMYFUNCTION("googletranslate(F2376,""en"",""ja"")"),"ヘモグロビンA2測定")</f>
        <v>ヘモグロビンA2測定</v>
      </c>
    </row>
    <row r="2377" spans="1:9" ht="45">
      <c r="A2377" s="3" t="s">
        <v>6</v>
      </c>
      <c r="B2377" s="3" t="s">
        <v>9891</v>
      </c>
      <c r="C2377" s="3" t="s">
        <v>9892</v>
      </c>
      <c r="D2377" s="3" t="s">
        <v>9892</v>
      </c>
      <c r="E2377" s="3" t="s">
        <v>9893</v>
      </c>
      <c r="F2377" s="3" t="s">
        <v>9894</v>
      </c>
      <c r="G2377" s="3" t="str">
        <f ca="1">IFERROR(__xludf.DUMMYFUNCTION("googletranslate(D2377,""en"",""ja"")"),"ヘモグロビンA2/総ヘモグロビン")</f>
        <v>ヘモグロビンA2/総ヘモグロビン</v>
      </c>
      <c r="H2377" s="3" t="str">
        <f ca="1">IFERROR(__xludf.DUMMYFUNCTION("googletranslate(E2377,""en"",""ja"")"),"生物学的標本中の総ヘモグロビンに対するヘモグロビン A2 の相対測定値 (比率またはパーセンテージ)。")</f>
        <v>生物学的標本中の総ヘモグロビンに対するヘモグロビン A2 の相対測定値 (比率またはパーセンテージ)。</v>
      </c>
      <c r="I2377" s="3" t="str">
        <f ca="1">IFERROR(__xludf.DUMMYFUNCTION("googletranslate(F2377,""en"",""ja"")"),"ヘモグロビンA2対総ヘモグロビン比の測定")</f>
        <v>ヘモグロビンA2対総ヘモグロビン比の測定</v>
      </c>
    </row>
    <row r="2378" spans="1:9" ht="45">
      <c r="A2378" s="3" t="s">
        <v>6</v>
      </c>
      <c r="B2378" s="3" t="s">
        <v>9895</v>
      </c>
      <c r="C2378" s="3" t="s">
        <v>9896</v>
      </c>
      <c r="D2378" s="3" t="s">
        <v>9896</v>
      </c>
      <c r="E2378" s="3" t="s">
        <v>9897</v>
      </c>
      <c r="F2378" s="3" t="s">
        <v>9898</v>
      </c>
      <c r="G2378" s="3" t="str">
        <f ca="1">IFERROR(__xludf.DUMMYFUNCTION("googletranslate(D2378,""en"",""ja"")"),"ヘモグロビンA/総ヘモグロビン")</f>
        <v>ヘモグロビンA/総ヘモグロビン</v>
      </c>
      <c r="H2378" s="3" t="str">
        <f ca="1">IFERROR(__xludf.DUMMYFUNCTION("googletranslate(E2378,""en"",""ja"")"),"生物学的標本中の総ヘモグロビンに対するヘモグロビン A の相対測定値 (比率またはパーセンテージ)。")</f>
        <v>生物学的標本中の総ヘモグロビンに対するヘモグロビン A の相対測定値 (比率またはパーセンテージ)。</v>
      </c>
      <c r="I2378" s="3" t="str">
        <f ca="1">IFERROR(__xludf.DUMMYFUNCTION("googletranslate(F2378,""en"",""ja"")"),"ヘモグロビンA対総ヘモグロビン比の測定")</f>
        <v>ヘモグロビンA対総ヘモグロビン比の測定</v>
      </c>
    </row>
    <row r="2379" spans="1:9">
      <c r="A2379" s="3" t="s">
        <v>6</v>
      </c>
      <c r="B2379" s="3" t="s">
        <v>9899</v>
      </c>
      <c r="C2379" s="3" t="s">
        <v>9900</v>
      </c>
      <c r="D2379" s="3" t="s">
        <v>9900</v>
      </c>
      <c r="E2379" s="3" t="s">
        <v>9901</v>
      </c>
      <c r="F2379" s="3" t="s">
        <v>9902</v>
      </c>
      <c r="G2379" s="3" t="str">
        <f ca="1">IFERROR(__xludf.DUMMYFUNCTION("googletranslate(D2379,""en"",""ja"")"),"ヘモグロビンB")</f>
        <v>ヘモグロビンB</v>
      </c>
      <c r="H2379" s="3" t="str">
        <f ca="1">IFERROR(__xludf.DUMMYFUNCTION("googletranslate(E2379,""en"",""ja"")"),"生物学的標本中のヘモグロビン B の測定。")</f>
        <v>生物学的標本中のヘモグロビン B の測定。</v>
      </c>
      <c r="I2379" s="3" t="str">
        <f ca="1">IFERROR(__xludf.DUMMYFUNCTION("googletranslate(F2379,""en"",""ja"")"),"ヘモグロビンB測定")</f>
        <v>ヘモグロビンB測定</v>
      </c>
    </row>
    <row r="2380" spans="1:9">
      <c r="A2380" s="3" t="s">
        <v>6</v>
      </c>
      <c r="B2380" s="3" t="s">
        <v>9903</v>
      </c>
      <c r="C2380" s="3" t="s">
        <v>9904</v>
      </c>
      <c r="D2380" s="3" t="s">
        <v>9904</v>
      </c>
      <c r="E2380" s="3" t="s">
        <v>9905</v>
      </c>
      <c r="F2380" s="3" t="s">
        <v>9906</v>
      </c>
      <c r="G2380" s="3" t="str">
        <f ca="1">IFERROR(__xludf.DUMMYFUNCTION("googletranslate(D2380,""en"",""ja"")"),"ヘモグロビンC")</f>
        <v>ヘモグロビンC</v>
      </c>
      <c r="H2380" s="3" t="str">
        <f ca="1">IFERROR(__xludf.DUMMYFUNCTION("googletranslate(E2380,""en"",""ja"")"),"生物学的標本中のヘモグロビン C の測定。")</f>
        <v>生物学的標本中のヘモグロビン C の測定。</v>
      </c>
      <c r="I2380" s="3" t="str">
        <f ca="1">IFERROR(__xludf.DUMMYFUNCTION("googletranslate(F2380,""en"",""ja"")"),"ヘモグロビンC測定")</f>
        <v>ヘモグロビンC測定</v>
      </c>
    </row>
    <row r="2381" spans="1:9" ht="45">
      <c r="A2381" s="3" t="s">
        <v>6</v>
      </c>
      <c r="B2381" s="3" t="s">
        <v>9907</v>
      </c>
      <c r="C2381" s="3" t="s">
        <v>9908</v>
      </c>
      <c r="D2381" s="3" t="s">
        <v>9908</v>
      </c>
      <c r="E2381" s="3" t="s">
        <v>9909</v>
      </c>
      <c r="F2381" s="3" t="s">
        <v>9910</v>
      </c>
      <c r="G2381" s="3" t="str">
        <f ca="1">IFERROR(__xludf.DUMMYFUNCTION("googletranslate(D2381,""en"",""ja"")"),"ヘモグロビンC/総ヘモグロビン")</f>
        <v>ヘモグロビンC/総ヘモグロビン</v>
      </c>
      <c r="H2381" s="3" t="str">
        <f ca="1">IFERROR(__xludf.DUMMYFUNCTION("googletranslate(E2381,""en"",""ja"")"),"生物学的標本の総ヘモグロビンに対するヘモグロビン C の相対測定値 (比率またはパーセンテージ)。")</f>
        <v>生物学的標本の総ヘモグロビンに対するヘモグロビン C の相対測定値 (比率またはパーセンテージ)。</v>
      </c>
      <c r="I2381" s="3" t="str">
        <f ca="1">IFERROR(__xludf.DUMMYFUNCTION("googletranslate(F2381,""en"",""ja"")"),"ヘモグロビンC対総ヘモグロビン比の測定")</f>
        <v>ヘモグロビンC対総ヘモグロビン比の測定</v>
      </c>
    </row>
    <row r="2382" spans="1:9" ht="30">
      <c r="A2382" s="3" t="s">
        <v>6</v>
      </c>
      <c r="B2382" s="3" t="s">
        <v>9911</v>
      </c>
      <c r="C2382" s="3" t="s">
        <v>9912</v>
      </c>
      <c r="D2382" s="3" t="s">
        <v>9912</v>
      </c>
      <c r="E2382" s="3" t="s">
        <v>9913</v>
      </c>
      <c r="F2382" s="3" t="s">
        <v>9914</v>
      </c>
      <c r="G2382" s="3" t="str">
        <f ca="1">IFERROR(__xludf.DUMMYFUNCTION("googletranslate(D2382,""en"",""ja"")"),"ヘモグロビン円柱")</f>
        <v>ヘモグロビン円柱</v>
      </c>
      <c r="H2382" s="3" t="str">
        <f ca="1">IFERROR(__xludf.DUMMYFUNCTION("googletranslate(E2382,""en"",""ja"")"),"生物学的標本に存在するヘモグロビン鋳型の測定。")</f>
        <v>生物学的標本に存在するヘモグロビン鋳型の測定。</v>
      </c>
      <c r="I2382" s="3" t="str">
        <f ca="1">IFERROR(__xludf.DUMMYFUNCTION("googletranslate(F2382,""en"",""ja"")"),"ヘモグロビンキャスト測定")</f>
        <v>ヘモグロビンキャスト測定</v>
      </c>
    </row>
    <row r="2383" spans="1:9" ht="45">
      <c r="A2383" s="3" t="s">
        <v>6</v>
      </c>
      <c r="B2383" s="3" t="s">
        <v>9915</v>
      </c>
      <c r="C2383" s="3" t="s">
        <v>9916</v>
      </c>
      <c r="D2383" s="3" t="s">
        <v>9916</v>
      </c>
      <c r="E2383" s="3" t="s">
        <v>9917</v>
      </c>
      <c r="F2383" s="3" t="s">
        <v>9918</v>
      </c>
      <c r="G2383" s="3" t="str">
        <f ca="1">IFERROR(__xludf.DUMMYFUNCTION("googletranslate(D2383,""en"",""ja"")"),"ヘモグロビン D/総ヘモグロビン")</f>
        <v>ヘモグロビン D/総ヘモグロビン</v>
      </c>
      <c r="H2383" s="3" t="str">
        <f ca="1">IFERROR(__xludf.DUMMYFUNCTION("googletranslate(E2383,""en"",""ja"")"),"生物学的標本の総ヘモグロビンに対するヘモグロビン D の相対測定値 (比率またはパーセンテージ)。")</f>
        <v>生物学的標本の総ヘモグロビンに対するヘモグロビン D の相対測定値 (比率またはパーセンテージ)。</v>
      </c>
      <c r="I2383" s="3" t="str">
        <f ca="1">IFERROR(__xludf.DUMMYFUNCTION("googletranslate(F2383,""en"",""ja"")"),"ヘモグロビン D 対総ヘモグロビン比の測定")</f>
        <v>ヘモグロビン D 対総ヘモグロビン比の測定</v>
      </c>
    </row>
    <row r="2384" spans="1:9" ht="30">
      <c r="A2384" s="3" t="s">
        <v>6</v>
      </c>
      <c r="B2384" s="3" t="s">
        <v>9919</v>
      </c>
      <c r="C2384" s="3" t="s">
        <v>9920</v>
      </c>
      <c r="D2384" s="3" t="s">
        <v>9920</v>
      </c>
      <c r="E2384" s="3" t="s">
        <v>9921</v>
      </c>
      <c r="F2384" s="3" t="s">
        <v>9922</v>
      </c>
      <c r="G2384" s="3" t="str">
        <f ca="1">IFERROR(__xludf.DUMMYFUNCTION("googletranslate(D2384,""en"",""ja"")"),"デオキシヘモグロビン")</f>
        <v>デオキシヘモグロビン</v>
      </c>
      <c r="H2384" s="3" t="str">
        <f ca="1">IFERROR(__xludf.DUMMYFUNCTION("googletranslate(E2384,""en"",""ja"")"),"生体試料中のデオキシヘモグロビン、つまり酸素を含まないヘモグロビンの測定。")</f>
        <v>生体試料中のデオキシヘモグロビン、つまり酸素を含まないヘモグロビンの測定。</v>
      </c>
      <c r="I2384" s="3" t="str">
        <f ca="1">IFERROR(__xludf.DUMMYFUNCTION("googletranslate(F2384,""en"",""ja"")"),"デオキシヘモグロビン測定")</f>
        <v>デオキシヘモグロビン測定</v>
      </c>
    </row>
    <row r="2385" spans="1:9" ht="45">
      <c r="A2385" s="3" t="s">
        <v>6</v>
      </c>
      <c r="B2385" s="3" t="s">
        <v>9923</v>
      </c>
      <c r="C2385" s="3" t="s">
        <v>9924</v>
      </c>
      <c r="D2385" s="3" t="s">
        <v>9924</v>
      </c>
      <c r="E2385" s="3" t="s">
        <v>9925</v>
      </c>
      <c r="F2385" s="3" t="s">
        <v>9926</v>
      </c>
      <c r="G2385" s="3" t="str">
        <f ca="1">IFERROR(__xludf.DUMMYFUNCTION("googletranslate(D2385,""en"",""ja"")"),"ヘモグロビンE/総ヘモグロビン")</f>
        <v>ヘモグロビンE/総ヘモグロビン</v>
      </c>
      <c r="H2385" s="3" t="str">
        <f ca="1">IFERROR(__xludf.DUMMYFUNCTION("googletranslate(E2385,""en"",""ja"")"),"生物学的標本中の総ヘモグロビンに対するヘモグロビン E の相対測定値 (比率またはパーセンテージ)。")</f>
        <v>生物学的標本中の総ヘモグロビンに対するヘモグロビン E の相対測定値 (比率またはパーセンテージ)。</v>
      </c>
      <c r="I2385" s="3" t="str">
        <f ca="1">IFERROR(__xludf.DUMMYFUNCTION("googletranslate(F2385,""en"",""ja"")"),"ヘモグロビンE対総ヘモグロビン比の測定")</f>
        <v>ヘモグロビンE対総ヘモグロビン比の測定</v>
      </c>
    </row>
    <row r="2386" spans="1:9" ht="30">
      <c r="A2386" s="3" t="s">
        <v>6</v>
      </c>
      <c r="B2386" s="3" t="s">
        <v>9927</v>
      </c>
      <c r="C2386" s="3" t="s">
        <v>9928</v>
      </c>
      <c r="D2386" s="3" t="s">
        <v>9929</v>
      </c>
      <c r="E2386" s="3" t="s">
        <v>9930</v>
      </c>
      <c r="F2386" s="3" t="s">
        <v>9931</v>
      </c>
      <c r="G2386" s="3" t="str">
        <f ca="1">IFERROR(__xludf.DUMMYFUNCTION("googletranslate(D2386,""en"",""ja"")"),"胎児ヘモグロビン。ヘモグロビンF")</f>
        <v>胎児ヘモグロビン。ヘモグロビンF</v>
      </c>
      <c r="H2386" s="3" t="str">
        <f ca="1">IFERROR(__xludf.DUMMYFUNCTION("googletranslate(E2386,""en"",""ja"")"),"生物学的標本中のヘモグロビン F の測定。")</f>
        <v>生物学的標本中のヘモグロビン F の測定。</v>
      </c>
      <c r="I2386" s="3" t="str">
        <f ca="1">IFERROR(__xludf.DUMMYFUNCTION("googletranslate(F2386,""en"",""ja"")"),"ヘモグロビンF測定")</f>
        <v>ヘモグロビンF測定</v>
      </c>
    </row>
    <row r="2387" spans="1:9" ht="45">
      <c r="A2387" s="3" t="s">
        <v>6</v>
      </c>
      <c r="B2387" s="3" t="s">
        <v>9932</v>
      </c>
      <c r="C2387" s="3" t="s">
        <v>9933</v>
      </c>
      <c r="D2387" s="3" t="s">
        <v>9933</v>
      </c>
      <c r="E2387" s="3" t="s">
        <v>9934</v>
      </c>
      <c r="F2387" s="3" t="s">
        <v>9935</v>
      </c>
      <c r="G2387" s="3" t="str">
        <f ca="1">IFERROR(__xludf.DUMMYFUNCTION("googletranslate(D2387,""en"",""ja"")"),"ヘモグロビンF/総ヘモグロビン")</f>
        <v>ヘモグロビンF/総ヘモグロビン</v>
      </c>
      <c r="H2387" s="3" t="str">
        <f ca="1">IFERROR(__xludf.DUMMYFUNCTION("googletranslate(E2387,""en"",""ja"")"),"生体試料中の総ヘモグロビンに対する胎児ヘモグロビン (ヘモグロビン F) の相対測定値 (比率またはパーセンテージ)。")</f>
        <v>生体試料中の総ヘモグロビンに対する胎児ヘモグロビン (ヘモグロビン F) の相対測定値 (比率またはパーセンテージ)。</v>
      </c>
      <c r="I2387" s="3" t="str">
        <f ca="1">IFERROR(__xludf.DUMMYFUNCTION("googletranslate(F2387,""en"",""ja"")"),"ヘモグロビンF対総ヘモグロビン比の測定")</f>
        <v>ヘモグロビンF対総ヘモグロビン比の測定</v>
      </c>
    </row>
    <row r="2388" spans="1:9" ht="30">
      <c r="A2388" s="3" t="s">
        <v>6</v>
      </c>
      <c r="B2388" s="3" t="s">
        <v>9936</v>
      </c>
      <c r="C2388" s="3" t="s">
        <v>9937</v>
      </c>
      <c r="D2388" s="3" t="s">
        <v>9937</v>
      </c>
      <c r="E2388" s="3" t="s">
        <v>9938</v>
      </c>
      <c r="F2388" s="3" t="s">
        <v>9937</v>
      </c>
      <c r="G2388" s="3" t="str">
        <f ca="1">IFERROR(__xludf.DUMMYFUNCTION("googletranslate(D2388,""en"",""ja"")"),"ヘモグロビン分画パターン")</f>
        <v>ヘモグロビン分画パターン</v>
      </c>
      <c r="H2388" s="3" t="str">
        <f ca="1">IFERROR(__xludf.DUMMYFUNCTION("googletranslate(E2388,""en"",""ja"")"),"生物学的標本のヘモグロビン分画パターンの説明。")</f>
        <v>生物学的標本のヘモグロビン分画パターンの説明。</v>
      </c>
      <c r="I2388" s="3" t="str">
        <f ca="1">IFERROR(__xludf.DUMMYFUNCTION("googletranslate(F2388,""en"",""ja"")"),"ヘモグロビン分画パターン")</f>
        <v>ヘモグロビン分画パターン</v>
      </c>
    </row>
    <row r="2389" spans="1:9" ht="30">
      <c r="A2389" s="3" t="s">
        <v>6</v>
      </c>
      <c r="B2389" s="3" t="s">
        <v>9939</v>
      </c>
      <c r="C2389" s="3" t="s">
        <v>9940</v>
      </c>
      <c r="D2389" s="3" t="s">
        <v>9940</v>
      </c>
      <c r="E2389" s="3" t="s">
        <v>9941</v>
      </c>
      <c r="F2389" s="3" t="s">
        <v>9942</v>
      </c>
      <c r="G2389" s="3" t="str">
        <f ca="1">IFERROR(__xludf.DUMMYFUNCTION("googletranslate(D2389,""en"",""ja"")"),"ヘモグロビン、フリー")</f>
        <v>ヘモグロビン、フリー</v>
      </c>
      <c r="H2389" s="3" t="str">
        <f ca="1">IFERROR(__xludf.DUMMYFUNCTION("googletranslate(E2389,""en"",""ja"")"),"生物学的標本の赤血球の外側にあるヘモグロビンの測定。")</f>
        <v>生物学的標本の赤血球の外側にあるヘモグロビンの測定。</v>
      </c>
      <c r="I2389" s="3" t="str">
        <f ca="1">IFERROR(__xludf.DUMMYFUNCTION("googletranslate(F2389,""en"",""ja"")"),"遊離ヘモグロビン測定")</f>
        <v>遊離ヘモグロビン測定</v>
      </c>
    </row>
    <row r="2390" spans="1:9" ht="45">
      <c r="A2390" s="3" t="s">
        <v>6</v>
      </c>
      <c r="B2390" s="3" t="s">
        <v>9943</v>
      </c>
      <c r="C2390" s="3" t="s">
        <v>9944</v>
      </c>
      <c r="D2390" s="3" t="s">
        <v>9945</v>
      </c>
      <c r="E2390" s="3" t="s">
        <v>9946</v>
      </c>
      <c r="F2390" s="3" t="s">
        <v>9947</v>
      </c>
      <c r="G2390" s="3" t="str">
        <f ca="1">IFERROR(__xludf.DUMMYFUNCTION("googletranslate(D2390,""en"",""ja"")"),"HB H/総ヘモグロビン;ヘモグロビンH/総ヘモグロビン")</f>
        <v>HB H/総ヘモグロビン;ヘモグロビンH/総ヘモグロビン</v>
      </c>
      <c r="H2390" s="3" t="str">
        <f ca="1">IFERROR(__xludf.DUMMYFUNCTION("googletranslate(E2390,""en"",""ja"")"),"生物学的標本の総ヘモグロビンに対するヘモグロビン H の相対測定値 (比率またはパーセンテージ)。")</f>
        <v>生物学的標本の総ヘモグロビンに対するヘモグロビン H の相対測定値 (比率またはパーセンテージ)。</v>
      </c>
      <c r="I2390" s="3" t="str">
        <f ca="1">IFERROR(__xludf.DUMMYFUNCTION("googletranslate(F2390,""en"",""ja"")"),"ヘモグロビンH対ヘモグロビン比の測定")</f>
        <v>ヘモグロビンH対ヘモグロビン比の測定</v>
      </c>
    </row>
    <row r="2391" spans="1:9" ht="30">
      <c r="A2391" s="3" t="s">
        <v>6</v>
      </c>
      <c r="B2391" s="3" t="s">
        <v>9948</v>
      </c>
      <c r="C2391" s="3" t="s">
        <v>9949</v>
      </c>
      <c r="D2391" s="3" t="s">
        <v>9949</v>
      </c>
      <c r="E2391" s="3" t="s">
        <v>9950</v>
      </c>
      <c r="F2391" s="3" t="s">
        <v>9951</v>
      </c>
      <c r="G2391" s="3" t="str">
        <f ca="1">IFERROR(__xludf.DUMMYFUNCTION("googletranslate(D2391,""en"",""ja"")"),"メトヘモグロビン")</f>
        <v>メトヘモグロビン</v>
      </c>
      <c r="H2391" s="3" t="str">
        <f ca="1">IFERROR(__xludf.DUMMYFUNCTION("googletranslate(E2391,""en"",""ja"")"),"生物学的標本中のメトヘモグロビンの測定。")</f>
        <v>生物学的標本中のメトヘモグロビンの測定。</v>
      </c>
      <c r="I2391" s="3" t="str">
        <f ca="1">IFERROR(__xludf.DUMMYFUNCTION("googletranslate(F2391,""en"",""ja"")"),"メトヘモグロビン測定")</f>
        <v>メトヘモグロビン測定</v>
      </c>
    </row>
    <row r="2392" spans="1:9" ht="45">
      <c r="A2392" s="3" t="s">
        <v>6</v>
      </c>
      <c r="B2392" s="3" t="s">
        <v>9952</v>
      </c>
      <c r="C2392" s="3" t="s">
        <v>9953</v>
      </c>
      <c r="D2392" s="3" t="s">
        <v>9954</v>
      </c>
      <c r="E2392" s="3" t="s">
        <v>9955</v>
      </c>
      <c r="F2392" s="3" t="s">
        <v>9956</v>
      </c>
      <c r="G2392" s="3" t="str">
        <f ca="1">IFERROR(__xludf.DUMMYFUNCTION("googletranslate(D2392,""en"",""ja"")"),"FMET HB;分別メトヘモグロビン;メトヘモグロビン/総ヘモグロビン")</f>
        <v>FMET HB;分別メトヘモグロビン;メトヘモグロビン/総ヘモグロビン</v>
      </c>
      <c r="H2392" s="3" t="str">
        <f ca="1">IFERROR(__xludf.DUMMYFUNCTION("googletranslate(E2392,""en"",""ja"")"),"生物学的標本中の総ヘモグロビンと比較したメトヘモグロビン量の相対測定値 (比率またはパーセンテージ)。")</f>
        <v>生物学的標本中の総ヘモグロビンと比較したメトヘモグロビン量の相対測定値 (比率またはパーセンテージ)。</v>
      </c>
      <c r="I2392" s="3" t="str">
        <f ca="1">IFERROR(__xludf.DUMMYFUNCTION("googletranslate(F2392,""en"",""ja"")"),"メトヘモグロビン対総ヘモグロビン比の測定")</f>
        <v>メトヘモグロビン対総ヘモグロビン比の測定</v>
      </c>
    </row>
    <row r="2393" spans="1:9" ht="30">
      <c r="A2393" s="3" t="s">
        <v>6</v>
      </c>
      <c r="B2393" s="3" t="s">
        <v>9957</v>
      </c>
      <c r="C2393" s="3" t="s">
        <v>9958</v>
      </c>
      <c r="D2393" s="3" t="s">
        <v>9958</v>
      </c>
      <c r="E2393" s="3" t="s">
        <v>9959</v>
      </c>
      <c r="F2393" s="3" t="s">
        <v>9960</v>
      </c>
      <c r="G2393" s="3" t="str">
        <f ca="1">IFERROR(__xludf.DUMMYFUNCTION("googletranslate(D2393,""en"",""ja"")"),"オキシヘモグロビン")</f>
        <v>オキシヘモグロビン</v>
      </c>
      <c r="H2393" s="3" t="str">
        <f ca="1">IFERROR(__xludf.DUMMYFUNCTION("googletranslate(E2393,""en"",""ja"")"),"生物学的標本中のオキシヘモグロビン、つまり酸素と結合したヘモグロビンの測定。")</f>
        <v>生物学的標本中のオキシヘモグロビン、つまり酸素と結合したヘモグロビンの測定。</v>
      </c>
      <c r="I2393" s="3" t="str">
        <f ca="1">IFERROR(__xludf.DUMMYFUNCTION("googletranslate(F2393,""en"",""ja"")"),"オキシヘモグロビン測定")</f>
        <v>オキシヘモグロビン測定</v>
      </c>
    </row>
    <row r="2394" spans="1:9" ht="30">
      <c r="A2394" s="3" t="s">
        <v>6</v>
      </c>
      <c r="B2394" s="3" t="s">
        <v>9961</v>
      </c>
      <c r="C2394" s="3" t="s">
        <v>9962</v>
      </c>
      <c r="D2394" s="3" t="s">
        <v>9963</v>
      </c>
      <c r="E2394" s="3" t="s">
        <v>9964</v>
      </c>
      <c r="F2394" s="3" t="s">
        <v>9965</v>
      </c>
      <c r="G2394" s="3" t="str">
        <f ca="1">IFERROR(__xludf.DUMMYFUNCTION("googletranslate(D2394,""en"",""ja"")"),"ヘモグロビンS;鎌状ヘモグロビン")</f>
        <v>ヘモグロビンS;鎌状ヘモグロビン</v>
      </c>
      <c r="H2394" s="3" t="str">
        <f ca="1">IFERROR(__xludf.DUMMYFUNCTION("googletranslate(E2394,""en"",""ja"")"),"生物学的標本中のヘモグロビン S の測定。")</f>
        <v>生物学的標本中のヘモグロビン S の測定。</v>
      </c>
      <c r="I2394" s="3" t="str">
        <f ca="1">IFERROR(__xludf.DUMMYFUNCTION("googletranslate(F2394,""en"",""ja"")"),"ヘモグロビンS測定")</f>
        <v>ヘモグロビンS測定</v>
      </c>
    </row>
    <row r="2395" spans="1:9" ht="45">
      <c r="A2395" s="3" t="s">
        <v>6</v>
      </c>
      <c r="B2395" s="3" t="s">
        <v>9966</v>
      </c>
      <c r="C2395" s="3" t="s">
        <v>9967</v>
      </c>
      <c r="D2395" s="3" t="s">
        <v>9967</v>
      </c>
      <c r="E2395" s="3" t="s">
        <v>9968</v>
      </c>
      <c r="F2395" s="3" t="s">
        <v>9969</v>
      </c>
      <c r="G2395" s="3" t="str">
        <f ca="1">IFERROR(__xludf.DUMMYFUNCTION("googletranslate(D2395,""en"",""ja"")"),"ヘモグロビンS/総ヘモグロビン")</f>
        <v>ヘモグロビンS/総ヘモグロビン</v>
      </c>
      <c r="H2395" s="3" t="str">
        <f ca="1">IFERROR(__xludf.DUMMYFUNCTION("googletranslate(E2395,""en"",""ja"")"),"生物学的標本中の総ヘモグロビンに対するヘモグロビン S の相対測定値 (比率またはパーセンテージ)。")</f>
        <v>生物学的標本中の総ヘモグロビンに対するヘモグロビン S の相対測定値 (比率またはパーセンテージ)。</v>
      </c>
      <c r="I2395" s="3" t="str">
        <f ca="1">IFERROR(__xludf.DUMMYFUNCTION("googletranslate(F2395,""en"",""ja"")"),"ヘモグロビンS対総ヘモグロビン比の測定")</f>
        <v>ヘモグロビンS対総ヘモグロビン比の測定</v>
      </c>
    </row>
    <row r="2396" spans="1:9" ht="30">
      <c r="A2396" s="3" t="s">
        <v>6</v>
      </c>
      <c r="B2396" s="3" t="s">
        <v>9970</v>
      </c>
      <c r="C2396" s="3" t="s">
        <v>9971</v>
      </c>
      <c r="D2396" s="3" t="s">
        <v>9971</v>
      </c>
      <c r="E2396" s="3" t="s">
        <v>9972</v>
      </c>
      <c r="F2396" s="3" t="s">
        <v>9973</v>
      </c>
      <c r="G2396" s="3" t="str">
        <f ca="1">IFERROR(__xludf.DUMMYFUNCTION("googletranslate(D2396,""en"",""ja"")"),"ヘモグロビンテトラマー")</f>
        <v>ヘモグロビンテトラマー</v>
      </c>
      <c r="H2396" s="3" t="str">
        <f ca="1">IFERROR(__xludf.DUMMYFUNCTION("googletranslate(E2396,""en"",""ja"")"),"生物学的標本中のヘモグロビン四量体の測定。")</f>
        <v>生物学的標本中のヘモグロビン四量体の測定。</v>
      </c>
      <c r="I2396" s="3" t="str">
        <f ca="1">IFERROR(__xludf.DUMMYFUNCTION("googletranslate(F2396,""en"",""ja"")"),"ヘモグロビン四量体測定")</f>
        <v>ヘモグロビン四量体測定</v>
      </c>
    </row>
    <row r="2397" spans="1:9" ht="30">
      <c r="A2397" s="3" t="s">
        <v>6</v>
      </c>
      <c r="B2397" s="3" t="s">
        <v>9974</v>
      </c>
      <c r="C2397" s="3" t="s">
        <v>9975</v>
      </c>
      <c r="D2397" s="3" t="s">
        <v>9975</v>
      </c>
      <c r="E2397" s="3" t="s">
        <v>9976</v>
      </c>
      <c r="F2397" s="3" t="s">
        <v>9977</v>
      </c>
      <c r="G2397" s="3" t="str">
        <f ca="1">IFERROR(__xludf.DUMMYFUNCTION("googletranslate(D2397,""en"",""ja"")"),"ヘモグロビンの変異体")</f>
        <v>ヘモグロビンの変異体</v>
      </c>
      <c r="H2397" s="3" t="str">
        <f ca="1">IFERROR(__xludf.DUMMYFUNCTION("googletranslate(E2397,""en"",""ja"")"),"定義された一連のヘモグロビン変異体が生物学的標本で検索されたことを示すステートメント。")</f>
        <v>定義された一連のヘモグロビン変異体が生物学的標本で検索されたことを示すステートメント。</v>
      </c>
      <c r="I2397" s="3" t="str">
        <f ca="1">IFERROR(__xludf.DUMMYFUNCTION("googletranslate(F2397,""en"",""ja"")"),"ヘモグロビン変異体の測定")</f>
        <v>ヘモグロビン変異体の測定</v>
      </c>
    </row>
    <row r="2398" spans="1:9" ht="30">
      <c r="A2398" s="3" t="s">
        <v>6</v>
      </c>
      <c r="B2398" s="3" t="s">
        <v>9978</v>
      </c>
      <c r="C2398" s="3" t="s">
        <v>9979</v>
      </c>
      <c r="D2398" s="3" t="s">
        <v>9979</v>
      </c>
      <c r="E2398" s="3" t="s">
        <v>9980</v>
      </c>
      <c r="F2398" s="3" t="s">
        <v>9981</v>
      </c>
      <c r="G2398" s="3" t="str">
        <f ca="1">IFERROR(__xludf.DUMMYFUNCTION("googletranslate(D2398,""en"",""ja"")"),"肝細胞成長因子")</f>
        <v>肝細胞成長因子</v>
      </c>
      <c r="H2398" s="3" t="str">
        <f ca="1">IFERROR(__xludf.DUMMYFUNCTION("googletranslate(E2398,""en"",""ja"")"),"生物学的標本中の肝細胞増殖因子の測定。")</f>
        <v>生物学的標本中の肝細胞増殖因子の測定。</v>
      </c>
      <c r="I2398" s="3" t="str">
        <f ca="1">IFERROR(__xludf.DUMMYFUNCTION("googletranslate(F2398,""en"",""ja"")"),"肝細胞増殖因子の測定")</f>
        <v>肝細胞増殖因子の測定</v>
      </c>
    </row>
    <row r="2399" spans="1:9" ht="60">
      <c r="A2399" s="3" t="s">
        <v>6</v>
      </c>
      <c r="B2399" s="3" t="s">
        <v>9982</v>
      </c>
      <c r="C2399" s="3" t="s">
        <v>9983</v>
      </c>
      <c r="D2399" s="3" t="s">
        <v>9984</v>
      </c>
      <c r="E2399" s="3" t="s">
        <v>9985</v>
      </c>
      <c r="F2399" s="3" t="s">
        <v>9986</v>
      </c>
      <c r="G2399" s="3" t="str">
        <f ca="1">IFERROR(__xludf.DUMMYFUNCTION("googletranslate(D2399,""en"",""ja"")"),"c-Met;肝細胞増殖因子受容体; MET 癌原遺伝子、受容体チロシンキナーゼ。チロシンプロテインキナーゼMet")</f>
        <v>c-Met;肝細胞増殖因子受容体; MET 癌原遺伝子、受容体チロシンキナーゼ。チロシンプロテインキナーゼMet</v>
      </c>
      <c r="H2399" s="3" t="str">
        <f ca="1">IFERROR(__xludf.DUMMYFUNCTION("googletranslate(E2399,""en"",""ja"")"),"生物学的標本中の肝細胞増殖因子受容体の測定。")</f>
        <v>生物学的標本中の肝細胞増殖因子受容体の測定。</v>
      </c>
      <c r="I2399" s="3" t="str">
        <f ca="1">IFERROR(__xludf.DUMMYFUNCTION("googletranslate(F2399,""en"",""ja"")"),"肝細胞増殖因子受容体測定")</f>
        <v>肝細胞増殖因子受容体測定</v>
      </c>
    </row>
    <row r="2400" spans="1:9" ht="30">
      <c r="A2400" s="3" t="s">
        <v>6</v>
      </c>
      <c r="B2400" s="3" t="s">
        <v>9987</v>
      </c>
      <c r="C2400" s="3" t="s">
        <v>9988</v>
      </c>
      <c r="D2400" s="3" t="s">
        <v>9988</v>
      </c>
      <c r="E2400" s="3" t="s">
        <v>9989</v>
      </c>
      <c r="F2400" s="3" t="s">
        <v>9990</v>
      </c>
      <c r="G2400" s="3" t="str">
        <f ca="1">IFERROR(__xludf.DUMMYFUNCTION("googletranslate(D2400,""en"",""ja"")"),"肝細胞成長因子受容体、無料")</f>
        <v>肝細胞成長因子受容体、無料</v>
      </c>
      <c r="H2400" s="3" t="str">
        <f ca="1">IFERROR(__xludf.DUMMYFUNCTION("googletranslate(E2400,""en"",""ja"")"),"生物学的標本中の遊離（結合していない）肝細胞増殖因子受容体の測定。")</f>
        <v>生物学的標本中の遊離（結合していない）肝細胞増殖因子受容体の測定。</v>
      </c>
      <c r="I2400" s="3" t="str">
        <f ca="1">IFERROR(__xludf.DUMMYFUNCTION("googletranslate(F2400,""en"",""ja"")"),"遊離肝細胞増殖因子受容体測定")</f>
        <v>遊離肝細胞増殖因子受容体測定</v>
      </c>
    </row>
    <row r="2401" spans="1:9" ht="60">
      <c r="A2401" s="3" t="s">
        <v>6</v>
      </c>
      <c r="B2401" s="3" t="s">
        <v>9991</v>
      </c>
      <c r="C2401" s="3" t="s">
        <v>9992</v>
      </c>
      <c r="D2401" s="3" t="s">
        <v>9993</v>
      </c>
      <c r="E2401" s="3" t="s">
        <v>9994</v>
      </c>
      <c r="F2401" s="3" t="s">
        <v>9995</v>
      </c>
      <c r="G2401" s="3" t="str">
        <f ca="1">IFERROR(__xludf.DUMMYFUNCTION("googletranslate(D2401,""en"",""ja"")"),"ヒポキサンチン-グアニンホスホリボシルトランスフェラーゼ;ヒポキサンチン-グアニンPRT")</f>
        <v>ヒポキサンチン-グアニンホスホリボシルトランスフェラーゼ;ヒポキサンチン-グアニンPRT</v>
      </c>
      <c r="H2401" s="3" t="str">
        <f ca="1">IFERROR(__xludf.DUMMYFUNCTION("googletranslate(E2401,""en"",""ja"")"),"生物学的標本におけるヒポキサンチン - グアニン ホスホリボシルトランスフェラーゼの測定。")</f>
        <v>生物学的標本におけるヒポキサンチン - グアニン ホスホリボシルトランスフェラーゼの測定。</v>
      </c>
      <c r="I2401" s="3" t="str">
        <f ca="1">IFERROR(__xludf.DUMMYFUNCTION("googletranslate(F2401,""en"",""ja"")"),"ヒポキサンチン・グアニンホスホリボシルトランスフェラーゼの測定")</f>
        <v>ヒポキサンチン・グアニンホスホリボシルトランスフェラーゼの測定</v>
      </c>
    </row>
    <row r="2402" spans="1:9" ht="30">
      <c r="A2402" s="3" t="s">
        <v>67</v>
      </c>
      <c r="B2402" s="3" t="s">
        <v>9996</v>
      </c>
      <c r="C2402" s="3" t="s">
        <v>9997</v>
      </c>
      <c r="D2402" s="3" t="s">
        <v>9997</v>
      </c>
      <c r="E2402" s="3" t="s">
        <v>9998</v>
      </c>
      <c r="F2402" s="3" t="s">
        <v>9999</v>
      </c>
      <c r="G2402" s="3" t="str">
        <f ca="1">IFERROR(__xludf.DUMMYFUNCTION("googletranslate(D2402,""en"",""ja"")"),"ヒトヘルペスウイルス 6")</f>
        <v>ヒトヘルペスウイルス 6</v>
      </c>
      <c r="H2402" s="3" t="str">
        <f ca="1">IFERROR(__xludf.DUMMYFUNCTION("googletranslate(E2402,""en"",""ja"")"),"生物学的検体中のヒトヘルペスウイルス 6 の測定。")</f>
        <v>生物学的検体中のヒトヘルペスウイルス 6 の測定。</v>
      </c>
      <c r="I2402" s="3" t="str">
        <f ca="1">IFERROR(__xludf.DUMMYFUNCTION("googletranslate(F2402,""en"",""ja"")"),"ヒトヘルペスウイルス6型の測定")</f>
        <v>ヒトヘルペスウイルス6型の測定</v>
      </c>
    </row>
    <row r="2403" spans="1:9" ht="30">
      <c r="A2403" s="3" t="s">
        <v>67</v>
      </c>
      <c r="B2403" s="3" t="s">
        <v>10000</v>
      </c>
      <c r="C2403" s="3" t="s">
        <v>10001</v>
      </c>
      <c r="D2403" s="3" t="s">
        <v>10001</v>
      </c>
      <c r="E2403" s="3" t="s">
        <v>10002</v>
      </c>
      <c r="F2403" s="3" t="s">
        <v>10003</v>
      </c>
      <c r="G2403" s="3" t="str">
        <f ca="1">IFERROR(__xludf.DUMMYFUNCTION("googletranslate(D2403,""en"",""ja"")"),"ヒトヘルペスウイルス 6 DNA")</f>
        <v>ヒトヘルペスウイルス 6 DNA</v>
      </c>
      <c r="H2403" s="3" t="str">
        <f ca="1">IFERROR(__xludf.DUMMYFUNCTION("googletranslate(E2403,""en"",""ja"")"),"生物学的検体中のヒトヘルペスウイルス 6 DNA の測定。")</f>
        <v>生物学的検体中のヒトヘルペスウイルス 6 DNA の測定。</v>
      </c>
      <c r="I2403" s="3" t="str">
        <f ca="1">IFERROR(__xludf.DUMMYFUNCTION("googletranslate(F2403,""en"",""ja"")"),"ヒトヘルペスウイルス6型DNA測定")</f>
        <v>ヒトヘルペスウイルス6型DNA測定</v>
      </c>
    </row>
    <row r="2404" spans="1:9" ht="30">
      <c r="A2404" s="3" t="s">
        <v>67</v>
      </c>
      <c r="B2404" s="3" t="s">
        <v>10004</v>
      </c>
      <c r="C2404" s="3" t="s">
        <v>10005</v>
      </c>
      <c r="D2404" s="3" t="s">
        <v>10005</v>
      </c>
      <c r="E2404" s="3" t="s">
        <v>10006</v>
      </c>
      <c r="F2404" s="3" t="s">
        <v>10007</v>
      </c>
      <c r="G2404" s="3" t="str">
        <f ca="1">IFERROR(__xludf.DUMMYFUNCTION("googletranslate(D2404,""en"",""ja"")"),"ヒトヘルペスウイルス 7")</f>
        <v>ヒトヘルペスウイルス 7</v>
      </c>
      <c r="H2404" s="3" t="str">
        <f ca="1">IFERROR(__xludf.DUMMYFUNCTION("googletranslate(E2404,""en"",""ja"")"),"生物学的検体中のヒトヘルペスウイルス 7 の測定。")</f>
        <v>生物学的検体中のヒトヘルペスウイルス 7 の測定。</v>
      </c>
      <c r="I2404" s="3" t="str">
        <f ca="1">IFERROR(__xludf.DUMMYFUNCTION("googletranslate(F2404,""en"",""ja"")"),"ヒトヘルペスウイルス7型の測定")</f>
        <v>ヒトヘルペスウイルス7型の測定</v>
      </c>
    </row>
    <row r="2405" spans="1:9" ht="30">
      <c r="A2405" s="3" t="s">
        <v>67</v>
      </c>
      <c r="B2405" s="3" t="s">
        <v>10008</v>
      </c>
      <c r="C2405" s="3" t="s">
        <v>10009</v>
      </c>
      <c r="D2405" s="3" t="s">
        <v>10009</v>
      </c>
      <c r="E2405" s="3" t="s">
        <v>10010</v>
      </c>
      <c r="F2405" s="3" t="s">
        <v>10011</v>
      </c>
      <c r="G2405" s="3" t="str">
        <f ca="1">IFERROR(__xludf.DUMMYFUNCTION("googletranslate(D2405,""en"",""ja"")"),"ヒトヘルペスウイルス 7 DNA")</f>
        <v>ヒトヘルペスウイルス 7 DNA</v>
      </c>
      <c r="H2405" s="3" t="str">
        <f ca="1">IFERROR(__xludf.DUMMYFUNCTION("googletranslate(E2405,""en"",""ja"")"),"生物学的標本中のヒトヘルペスウイルス 7 DNA の測定。")</f>
        <v>生物学的標本中のヒトヘルペスウイルス 7 DNA の測定。</v>
      </c>
      <c r="I2405" s="3" t="str">
        <f ca="1">IFERROR(__xludf.DUMMYFUNCTION("googletranslate(F2405,""en"",""ja"")"),"ヒトヘルペスウイルス7型DNA測定")</f>
        <v>ヒトヘルペスウイルス7型DNA測定</v>
      </c>
    </row>
    <row r="2406" spans="1:9" ht="30">
      <c r="A2406" s="3" t="s">
        <v>67</v>
      </c>
      <c r="B2406" s="3" t="s">
        <v>10012</v>
      </c>
      <c r="C2406" s="3" t="s">
        <v>10013</v>
      </c>
      <c r="D2406" s="3" t="s">
        <v>10014</v>
      </c>
      <c r="E2406" s="3" t="s">
        <v>10015</v>
      </c>
      <c r="F2406" s="3" t="s">
        <v>10016</v>
      </c>
      <c r="G2406" s="3" t="str">
        <f ca="1">IFERROR(__xludf.DUMMYFUNCTION("googletranslate(D2406,""en"",""ja"")"),"ヒトヘルペスウイルス 8;ヒトヘルペスウイルス 8")</f>
        <v>ヒトヘルペスウイルス 8;ヒトヘルペスウイルス 8</v>
      </c>
      <c r="H2406" s="3" t="str">
        <f ca="1">IFERROR(__xludf.DUMMYFUNCTION("googletranslate(E2406,""en"",""ja"")"),"生物学的検体中のヒトヘルペスウイルス 8 の測定。")</f>
        <v>生物学的検体中のヒトヘルペスウイルス 8 の測定。</v>
      </c>
      <c r="I2406" s="3" t="str">
        <f ca="1">IFERROR(__xludf.DUMMYFUNCTION("googletranslate(F2406,""en"",""ja"")"),"ヒトヘルペスウイルス8型の測定")</f>
        <v>ヒトヘルペスウイルス8型の測定</v>
      </c>
    </row>
    <row r="2407" spans="1:9" ht="30">
      <c r="A2407" s="3" t="s">
        <v>67</v>
      </c>
      <c r="B2407" s="3" t="s">
        <v>10017</v>
      </c>
      <c r="C2407" s="3" t="s">
        <v>10018</v>
      </c>
      <c r="D2407" s="3" t="s">
        <v>10018</v>
      </c>
      <c r="E2407" s="3" t="s">
        <v>10019</v>
      </c>
      <c r="F2407" s="3" t="s">
        <v>10020</v>
      </c>
      <c r="G2407" s="3" t="str">
        <f ca="1">IFERROR(__xludf.DUMMYFUNCTION("googletranslate(D2407,""en"",""ja"")"),"ヒトヘルペスウイルス 8 DNA")</f>
        <v>ヒトヘルペスウイルス 8 DNA</v>
      </c>
      <c r="H2407" s="3" t="str">
        <f ca="1">IFERROR(__xludf.DUMMYFUNCTION("googletranslate(E2407,""en"",""ja"")"),"生物学的検体中のヒトヘルペスウイルス 8 DNA の測定。")</f>
        <v>生物学的検体中のヒトヘルペスウイルス 8 DNA の測定。</v>
      </c>
      <c r="I2407" s="3" t="str">
        <f ca="1">IFERROR(__xludf.DUMMYFUNCTION("googletranslate(F2407,""en"",""ja"")"),"ヒトヘルペスウイルス8型DNA測定")</f>
        <v>ヒトヘルペスウイルス8型DNA測定</v>
      </c>
    </row>
    <row r="2408" spans="1:9" ht="30">
      <c r="A2408" s="3" t="s">
        <v>503</v>
      </c>
      <c r="B2408" s="3" t="s">
        <v>10021</v>
      </c>
      <c r="C2408" s="3" t="s">
        <v>10022</v>
      </c>
      <c r="D2408" s="3" t="s">
        <v>10022</v>
      </c>
      <c r="E2408" s="3" t="s">
        <v>10023</v>
      </c>
      <c r="F2408" s="3" t="s">
        <v>10024</v>
      </c>
      <c r="G2408" s="3" t="str">
        <f ca="1">IFERROR(__xludf.DUMMYFUNCTION("googletranslate(D2408,""en"",""ja"")"),"雇用主ベースの健康保険協会")</f>
        <v>雇用主ベースの健康保険協会</v>
      </c>
      <c r="H2408" s="3" t="str">
        <f ca="1">IFERROR(__xludf.DUMMYFUNCTION("googletranslate(E2408,""en"",""ja"")"),"被験者が自分自身または家族の雇用主ベースの健康保険に加入しているかどうかに関する指標。")</f>
        <v>被験者が自分自身または家族の雇用主ベースの健康保険に加入しているかどうかに関する指標。</v>
      </c>
      <c r="I2408" s="3" t="str">
        <f ca="1">IFERROR(__xludf.DUMMYFUNCTION("googletranslate(F2408,""en"",""ja"")"),"雇用主ベースの健康保険指標")</f>
        <v>雇用主ベースの健康保険指標</v>
      </c>
    </row>
    <row r="2409" spans="1:9" ht="45">
      <c r="A2409" s="3" t="s">
        <v>503</v>
      </c>
      <c r="B2409" s="3" t="s">
        <v>10025</v>
      </c>
      <c r="C2409" s="3" t="s">
        <v>10026</v>
      </c>
      <c r="D2409" s="3" t="s">
        <v>10026</v>
      </c>
      <c r="E2409" s="3" t="s">
        <v>10027</v>
      </c>
      <c r="F2409" s="3" t="s">
        <v>10028</v>
      </c>
      <c r="G2409" s="3" t="str">
        <f ca="1">IFERROR(__xludf.DUMMYFUNCTION("googletranslate(D2409,""en"",""ja"")"),"インド医療保険産業")</f>
        <v>インド医療保険産業</v>
      </c>
      <c r="H2409" s="3" t="str">
        <f ca="1">IFERROR(__xludf.DUMMYFUNCTION("googletranslate(E2409,""en"",""ja"")"),"対象者が自分自身または家族の米国インディアン医療サービス保険に加入しているかどうかに関する指標。")</f>
        <v>対象者が自分自身または家族の米国インディアン医療サービス保険に加入しているかどうかに関する指標。</v>
      </c>
      <c r="I2409" s="3" t="str">
        <f ca="1">IFERROR(__xludf.DUMMYFUNCTION("googletranslate(F2409,""en"",""ja"")"),"インドの医療保険指標")</f>
        <v>インドの医療保険指標</v>
      </c>
    </row>
    <row r="2410" spans="1:9" ht="30">
      <c r="A2410" s="3" t="s">
        <v>503</v>
      </c>
      <c r="B2410" s="3" t="s">
        <v>10029</v>
      </c>
      <c r="C2410" s="3" t="s">
        <v>10030</v>
      </c>
      <c r="D2410" s="3" t="s">
        <v>10030</v>
      </c>
      <c r="E2410" s="3" t="s">
        <v>10031</v>
      </c>
      <c r="F2410" s="3" t="s">
        <v>10030</v>
      </c>
      <c r="G2410" s="3" t="str">
        <f ca="1">IFERROR(__xludf.DUMMYFUNCTION("googletranslate(D2410,""en"",""ja"")"),"健康保険指標")</f>
        <v>健康保険指標</v>
      </c>
      <c r="H2410" s="3" t="str">
        <f ca="1">IFERROR(__xludf.DUMMYFUNCTION("googletranslate(E2410,""en"",""ja"")"),"対象者が健康保険に加入しているかどうかの指標。")</f>
        <v>対象者が健康保険に加入しているかどうかの指標。</v>
      </c>
      <c r="I2410" s="3" t="str">
        <f ca="1">IFERROR(__xludf.DUMMYFUNCTION("googletranslate(F2410,""en"",""ja"")"),"健康保険指標")</f>
        <v>健康保険指標</v>
      </c>
    </row>
    <row r="2411" spans="1:9" ht="30">
      <c r="A2411" s="3" t="s">
        <v>503</v>
      </c>
      <c r="B2411" s="3" t="s">
        <v>10032</v>
      </c>
      <c r="C2411" s="3" t="s">
        <v>10033</v>
      </c>
      <c r="D2411" s="3" t="s">
        <v>10033</v>
      </c>
      <c r="E2411" s="3" t="s">
        <v>10034</v>
      </c>
      <c r="F2411" s="3" t="s">
        <v>10033</v>
      </c>
      <c r="G2411" s="3" t="str">
        <f ca="1">IFERROR(__xludf.DUMMYFUNCTION("googletranslate(D2411,""en"",""ja"")"),"軍人健康保険インジケーター")</f>
        <v>軍人健康保険インジケーター</v>
      </c>
      <c r="H2411" s="3" t="str">
        <f ca="1">IFERROR(__xludf.DUMMYFUNCTION("googletranslate(E2411,""en"",""ja"")"),"被験者が自分自身または家族の軍ベースの健康保険に加入しているかどうかに関する指標。")</f>
        <v>被験者が自分自身または家族の軍ベースの健康保険に加入しているかどうかに関する指標。</v>
      </c>
      <c r="I2411" s="3" t="str">
        <f ca="1">IFERROR(__xludf.DUMMYFUNCTION("googletranslate(F2411,""en"",""ja"")"),"軍人健康保険インジケーター")</f>
        <v>軍人健康保険インジケーター</v>
      </c>
    </row>
    <row r="2412" spans="1:9" ht="30">
      <c r="A2412" s="3" t="s">
        <v>67</v>
      </c>
      <c r="B2412" s="3" t="s">
        <v>10035</v>
      </c>
      <c r="C2412" s="3" t="s">
        <v>10036</v>
      </c>
      <c r="D2412" s="3" t="s">
        <v>10036</v>
      </c>
      <c r="E2412" s="3" t="s">
        <v>10037</v>
      </c>
      <c r="F2412" s="3" t="s">
        <v>10038</v>
      </c>
      <c r="G2412" s="3" t="str">
        <f ca="1">IFERROR(__xludf.DUMMYFUNCTION("googletranslate(D2412,""en"",""ja"")"),"インフルエンザ菌のDNA")</f>
        <v>インフルエンザ菌のDNA</v>
      </c>
      <c r="H2412" s="3" t="str">
        <f ca="1">IFERROR(__xludf.DUMMYFUNCTION("googletranslate(E2412,""en"",""ja"")"),"生物学的標本中のヘモフィルス インフルエンザ ウイルス DNA の測定。")</f>
        <v>生物学的標本中のヘモフィルス インフルエンザ ウイルス DNA の測定。</v>
      </c>
      <c r="I2412" s="3" t="str">
        <f ca="1">IFERROR(__xludf.DUMMYFUNCTION("googletranslate(F2412,""en"",""ja"")"),"インフルエンザ菌DNA測定")</f>
        <v>インフルエンザ菌DNA測定</v>
      </c>
    </row>
    <row r="2413" spans="1:9">
      <c r="A2413" s="3" t="s">
        <v>118</v>
      </c>
      <c r="B2413" s="3" t="s">
        <v>10039</v>
      </c>
      <c r="C2413" s="3" t="s">
        <v>10040</v>
      </c>
      <c r="D2413" s="3" t="s">
        <v>10040</v>
      </c>
      <c r="E2413" s="3" t="s">
        <v>10041</v>
      </c>
      <c r="F2413" s="3" t="s">
        <v>10040</v>
      </c>
      <c r="G2413" s="3" t="str">
        <f ca="1">IFERROR(__xludf.DUMMYFUNCTION("googletranslate(D2413,""en"",""ja"")"),"ヒップ周囲")</f>
        <v>ヒップ周囲</v>
      </c>
      <c r="H2413" s="3" t="str">
        <f ca="1">IFERROR(__xludf.DUMMYFUNCTION("googletranslate(E2413,""en"",""ja"")"),"個人の骨盤領域または腰の周囲の距離。")</f>
        <v>個人の骨盤領域または腰の周囲の距離。</v>
      </c>
      <c r="I2413" s="3" t="str">
        <f ca="1">IFERROR(__xludf.DUMMYFUNCTION("googletranslate(F2413,""en"",""ja"")"),"ヒップ周囲")</f>
        <v>ヒップ周囲</v>
      </c>
    </row>
    <row r="2414" spans="1:9" ht="30">
      <c r="A2414" s="3" t="s">
        <v>503</v>
      </c>
      <c r="B2414" s="3" t="s">
        <v>10042</v>
      </c>
      <c r="C2414" s="3" t="s">
        <v>10043</v>
      </c>
      <c r="D2414" s="3" t="s">
        <v>10043</v>
      </c>
      <c r="E2414" s="3" t="s">
        <v>10044</v>
      </c>
      <c r="F2414" s="3" t="s">
        <v>10043</v>
      </c>
      <c r="G2414" s="3" t="str">
        <f ca="1">IFERROR(__xludf.DUMMYFUNCTION("googletranslate(D2414,""en"",""ja"")"),"民間の健康保険の指標")</f>
        <v>民間の健康保険の指標</v>
      </c>
      <c r="H2414" s="3" t="str">
        <f ca="1">IFERROR(__xludf.DUMMYFUNCTION("googletranslate(E2414,""en"",""ja"")"),"対象者が自分自身または家族が個人的に加入した健康保険に加入しているかどうかを示します。")</f>
        <v>対象者が自分自身または家族が個人的に加入した健康保険に加入しているかどうかを示します。</v>
      </c>
      <c r="I2414" s="3" t="str">
        <f ca="1">IFERROR(__xludf.DUMMYFUNCTION("googletranslate(F2414,""en"",""ja"")"),"民間の健康保険の指標")</f>
        <v>民間の健康保険の指標</v>
      </c>
    </row>
    <row r="2415" spans="1:9">
      <c r="A2415" s="3" t="s">
        <v>6</v>
      </c>
      <c r="B2415" s="3" t="s">
        <v>10045</v>
      </c>
      <c r="C2415" s="3" t="s">
        <v>10046</v>
      </c>
      <c r="D2415" s="3" t="s">
        <v>10046</v>
      </c>
      <c r="E2415" s="3" t="s">
        <v>10047</v>
      </c>
      <c r="F2415" s="3" t="s">
        <v>10048</v>
      </c>
      <c r="G2415" s="3" t="str">
        <f ca="1">IFERROR(__xludf.DUMMYFUNCTION("googletranslate(D2415,""en"",""ja"")"),"ヒスチジン")</f>
        <v>ヒスチジン</v>
      </c>
      <c r="H2415" s="3" t="str">
        <f ca="1">IFERROR(__xludf.DUMMYFUNCTION("googletranslate(E2415,""en"",""ja"")"),"生物学的標本中のヒスチジンの測定。")</f>
        <v>生物学的標本中のヒスチジンの測定。</v>
      </c>
      <c r="I2415" s="3" t="str">
        <f ca="1">IFERROR(__xludf.DUMMYFUNCTION("googletranslate(F2415,""en"",""ja"")"),"ヒスチジン測定")</f>
        <v>ヒスチジン測定</v>
      </c>
    </row>
    <row r="2416" spans="1:9">
      <c r="A2416" s="3" t="s">
        <v>6</v>
      </c>
      <c r="B2416" s="3" t="s">
        <v>10049</v>
      </c>
      <c r="C2416" s="3" t="s">
        <v>10050</v>
      </c>
      <c r="D2416" s="3" t="s">
        <v>10050</v>
      </c>
      <c r="E2416" s="3" t="s">
        <v>10051</v>
      </c>
      <c r="F2416" s="3" t="s">
        <v>10052</v>
      </c>
      <c r="G2416" s="3" t="str">
        <f ca="1">IFERROR(__xludf.DUMMYFUNCTION("googletranslate(D2416,""en"",""ja"")"),"ヒスタミン")</f>
        <v>ヒスタミン</v>
      </c>
      <c r="H2416" s="3" t="str">
        <f ca="1">IFERROR(__xludf.DUMMYFUNCTION("googletranslate(E2416,""en"",""ja"")"),"生物学的標本中のヒスタミンの測定。")</f>
        <v>生物学的標本中のヒスタミンの測定。</v>
      </c>
      <c r="I2416" s="3" t="str">
        <f ca="1">IFERROR(__xludf.DUMMYFUNCTION("googletranslate(F2416,""en"",""ja"")"),"ヒスタミン測定")</f>
        <v>ヒスタミン測定</v>
      </c>
    </row>
    <row r="2417" spans="1:9" ht="30">
      <c r="A2417" s="3" t="s">
        <v>67</v>
      </c>
      <c r="B2417" s="3" t="s">
        <v>10053</v>
      </c>
      <c r="C2417" s="3" t="s">
        <v>10054</v>
      </c>
      <c r="D2417" s="3" t="s">
        <v>10054</v>
      </c>
      <c r="E2417" s="3" t="s">
        <v>10055</v>
      </c>
      <c r="F2417" s="3" t="s">
        <v>10056</v>
      </c>
      <c r="G2417" s="3" t="str">
        <f ca="1">IFERROR(__xludf.DUMMYFUNCTION("googletranslate(D2417,""en"",""ja"")"),"ヒト免疫不全ウイルス")</f>
        <v>ヒト免疫不全ウイルス</v>
      </c>
      <c r="H2417" s="3" t="str">
        <f ca="1">IFERROR(__xludf.DUMMYFUNCTION("googletranslate(E2417,""en"",""ja"")"),"生物学的検体中のヒト免疫不全ウイルスの測定。")</f>
        <v>生物学的検体中のヒト免疫不全ウイルスの測定。</v>
      </c>
      <c r="I2417" s="3" t="str">
        <f ca="1">IFERROR(__xludf.DUMMYFUNCTION("googletranslate(F2417,""en"",""ja"")"),"ヒト免疫不全ウイルス測定")</f>
        <v>ヒト免疫不全ウイルス測定</v>
      </c>
    </row>
    <row r="2418" spans="1:9" ht="30">
      <c r="A2418" s="3" t="s">
        <v>67</v>
      </c>
      <c r="B2418" s="3" t="s">
        <v>10057</v>
      </c>
      <c r="C2418" s="3" t="s">
        <v>10058</v>
      </c>
      <c r="D2418" s="3" t="s">
        <v>10058</v>
      </c>
      <c r="E2418" s="3" t="s">
        <v>10059</v>
      </c>
      <c r="F2418" s="3" t="s">
        <v>10060</v>
      </c>
      <c r="G2418" s="3" t="str">
        <f ca="1">IFERROR(__xludf.DUMMYFUNCTION("googletranslate(D2418,""en"",""ja"")"),"HIV-1 p24 抗原")</f>
        <v>HIV-1 p24 抗原</v>
      </c>
      <c r="H2418" s="3" t="str">
        <f ca="1">IFERROR(__xludf.DUMMYFUNCTION("googletranslate(E2418,""en"",""ja"")"),"生物学的標本中の HIV-1 p24 抗原の測定。")</f>
        <v>生物学的標本中の HIV-1 p24 抗原の測定。</v>
      </c>
      <c r="I2418" s="3" t="str">
        <f ca="1">IFERROR(__xludf.DUMMYFUNCTION("googletranslate(F2418,""en"",""ja"")"),"HIV-1 p24 抗原の測定")</f>
        <v>HIV-1 p24 抗原の測定</v>
      </c>
    </row>
    <row r="2419" spans="1:9" ht="45">
      <c r="A2419" s="3" t="s">
        <v>67</v>
      </c>
      <c r="B2419" s="3" t="s">
        <v>10061</v>
      </c>
      <c r="C2419" s="3" t="s">
        <v>10062</v>
      </c>
      <c r="D2419" s="3" t="s">
        <v>10062</v>
      </c>
      <c r="E2419" s="3" t="s">
        <v>10063</v>
      </c>
      <c r="F2419" s="3" t="s">
        <v>10064</v>
      </c>
      <c r="G2419" s="3" t="str">
        <f ca="1">IFERROR(__xludf.DUMMYFUNCTION("googletranslate(D2419,""en"",""ja"")"),"HIV-1/2 抗原/抗体")</f>
        <v>HIV-1/2 抗原/抗体</v>
      </c>
      <c r="H2419" s="3" t="str">
        <f ca="1">IFERROR(__xludf.DUMMYFUNCTION("googletranslate(E2419,""en"",""ja"")"),"生物学的検体中の HIV-1/HIV-2 抗原および/または HIV-1/HIV-2 抗体の測定 (抗原が特定されていない場合に使用されます)。")</f>
        <v>生物学的検体中の HIV-1/HIV-2 抗原および/または HIV-1/HIV-2 抗体の測定 (抗原が特定されていない場合に使用されます)。</v>
      </c>
      <c r="I2419" s="3" t="str">
        <f ca="1">IFERROR(__xludf.DUMMYFUNCTION("googletranslate(F2419,""en"",""ja"")"),"HIV-1/2抗原・抗体測定")</f>
        <v>HIV-1/2抗原・抗体測定</v>
      </c>
    </row>
    <row r="2420" spans="1:9" ht="45">
      <c r="A2420" s="3" t="s">
        <v>67</v>
      </c>
      <c r="B2420" s="3" t="s">
        <v>10065</v>
      </c>
      <c r="C2420" s="3" t="s">
        <v>10066</v>
      </c>
      <c r="D2420" s="3" t="s">
        <v>10066</v>
      </c>
      <c r="E2420" s="3" t="s">
        <v>10067</v>
      </c>
      <c r="F2420" s="3" t="s">
        <v>10068</v>
      </c>
      <c r="G2420" s="3" t="str">
        <f ca="1">IFERROR(__xludf.DUMMYFUNCTION("googletranslate(D2420,""en"",""ja"")"),"HIV-1/2 抗体 + HIV-1 p24 抗原")</f>
        <v>HIV-1/2 抗体 + HIV-1 p24 抗原</v>
      </c>
      <c r="H2420" s="3" t="str">
        <f ca="1">IFERROR(__xludf.DUMMYFUNCTION("googletranslate(E2420,""en"",""ja"")"),"HIV-1 または HIV-2 ウイルスに対する生体試料の抗体反応の測定、および生体試料中の HIV-1 p24 抗原の測定。")</f>
        <v>HIV-1 または HIV-2 ウイルスに対する生体試料の抗体反応の測定、および生体試料中の HIV-1 p24 抗原の測定。</v>
      </c>
      <c r="I2420" s="3" t="str">
        <f ca="1">IFERROR(__xludf.DUMMYFUNCTION("googletranslate(F2420,""en"",""ja"")"),"HIV-1/2 抗体および HIV-1 p24 抗原の測定")</f>
        <v>HIV-1/2 抗体および HIV-1 p24 抗原の測定</v>
      </c>
    </row>
    <row r="2421" spans="1:9" ht="30">
      <c r="A2421" s="3" t="s">
        <v>67</v>
      </c>
      <c r="B2421" s="3" t="s">
        <v>10069</v>
      </c>
      <c r="C2421" s="3" t="s">
        <v>10070</v>
      </c>
      <c r="D2421" s="3" t="s">
        <v>10070</v>
      </c>
      <c r="E2421" s="3" t="s">
        <v>10071</v>
      </c>
      <c r="F2421" s="3" t="s">
        <v>10072</v>
      </c>
      <c r="G2421" s="3" t="str">
        <f ca="1">IFERROR(__xludf.DUMMYFUNCTION("googletranslate(D2421,""en"",""ja"")"),"HIV-1/2 RNA")</f>
        <v>HIV-1/2 RNA</v>
      </c>
      <c r="H2421" s="3" t="str">
        <f ca="1">IFERROR(__xludf.DUMMYFUNCTION("googletranslate(E2421,""en"",""ja"")"),"生物学的検体中の HIV-1 および/または HIV-2 RNA の測定。")</f>
        <v>生物学的検体中の HIV-1 および/または HIV-2 RNA の測定。</v>
      </c>
      <c r="I2421" s="3" t="str">
        <f ca="1">IFERROR(__xludf.DUMMYFUNCTION("googletranslate(F2421,""en"",""ja"")"),"HIV-1/2 RNA測定")</f>
        <v>HIV-1/2 RNA測定</v>
      </c>
    </row>
    <row r="2422" spans="1:9" ht="45">
      <c r="A2422" s="3" t="s">
        <v>67</v>
      </c>
      <c r="B2422" s="3" t="s">
        <v>10073</v>
      </c>
      <c r="C2422" s="3" t="s">
        <v>10074</v>
      </c>
      <c r="D2422" s="3" t="s">
        <v>10074</v>
      </c>
      <c r="E2422" s="3" t="s">
        <v>10075</v>
      </c>
      <c r="F2422" s="3" t="s">
        <v>10076</v>
      </c>
      <c r="G2422" s="3" t="str">
        <f ca="1">IFERROR(__xludf.DUMMYFUNCTION("googletranslate(D2422,""en"",""ja"")"),"HIV-1 抗体 + HIV-1 p24 抗原")</f>
        <v>HIV-1 抗体 + HIV-1 p24 抗原</v>
      </c>
      <c r="H2422" s="3" t="str">
        <f ca="1">IFERROR(__xludf.DUMMYFUNCTION("googletranslate(E2422,""en"",""ja"")"),"HIV-1 ウイルスに対する抗体反応の測定、および生物学的検体中の HIV-1 p24 抗原の測定。")</f>
        <v>HIV-1 ウイルスに対する抗体反応の測定、および生物学的検体中の HIV-1 p24 抗原の測定。</v>
      </c>
      <c r="I2422" s="3" t="str">
        <f ca="1">IFERROR(__xludf.DUMMYFUNCTION("googletranslate(F2422,""en"",""ja"")"),"HIV-1 抗体および HIV-1 p24 抗原の測定")</f>
        <v>HIV-1 抗体および HIV-1 p24 抗原の測定</v>
      </c>
    </row>
    <row r="2423" spans="1:9">
      <c r="A2423" s="3" t="s">
        <v>67</v>
      </c>
      <c r="B2423" s="3" t="s">
        <v>10077</v>
      </c>
      <c r="C2423" s="3" t="s">
        <v>10078</v>
      </c>
      <c r="D2423" s="3" t="s">
        <v>10078</v>
      </c>
      <c r="E2423" s="3" t="s">
        <v>10079</v>
      </c>
      <c r="F2423" s="3" t="s">
        <v>10080</v>
      </c>
      <c r="G2423" s="3" t="str">
        <f ca="1">IFERROR(__xludf.DUMMYFUNCTION("googletranslate(D2423,""en"",""ja"")"),"HIV-1 抗原")</f>
        <v>HIV-1 抗原</v>
      </c>
      <c r="H2423" s="3" t="str">
        <f ca="1">IFERROR(__xludf.DUMMYFUNCTION("googletranslate(E2423,""en"",""ja"")"),"生物学的標本中の HIV-1 抗原の測定。")</f>
        <v>生物学的標本中の HIV-1 抗原の測定。</v>
      </c>
      <c r="I2423" s="3" t="str">
        <f ca="1">IFERROR(__xludf.DUMMYFUNCTION("googletranslate(F2423,""en"",""ja"")"),"HIV-1抗原測定")</f>
        <v>HIV-1抗原測定</v>
      </c>
    </row>
    <row r="2424" spans="1:9" ht="30">
      <c r="A2424" s="3" t="s">
        <v>67</v>
      </c>
      <c r="B2424" s="3" t="s">
        <v>10081</v>
      </c>
      <c r="C2424" s="3" t="s">
        <v>10082</v>
      </c>
      <c r="D2424" s="3" t="s">
        <v>10082</v>
      </c>
      <c r="E2424" s="3" t="s">
        <v>10083</v>
      </c>
      <c r="F2424" s="3" t="s">
        <v>10084</v>
      </c>
      <c r="G2424" s="3" t="str">
        <f ca="1">IFERROR(__xludf.DUMMYFUNCTION("googletranslate(D2424,""en"",""ja"")"),"HIV-1 グループ M および O の核酸")</f>
        <v>HIV-1 グループ M および O の核酸</v>
      </c>
      <c r="H2424" s="3" t="str">
        <f ca="1">IFERROR(__xludf.DUMMYFUNCTION("googletranslate(E2424,""en"",""ja"")"),"生物学的検体中の HIV-1 グループ M および O 核酸の測定。")</f>
        <v>生物学的検体中の HIV-1 グループ M および O 核酸の測定。</v>
      </c>
      <c r="I2424" s="3" t="str">
        <f ca="1">IFERROR(__xludf.DUMMYFUNCTION("googletranslate(F2424,""en"",""ja"")"),"HIV-1 グループ M および O の核酸測定")</f>
        <v>HIV-1 グループ M および O の核酸測定</v>
      </c>
    </row>
    <row r="2425" spans="1:9" ht="30">
      <c r="A2425" s="3" t="s">
        <v>67</v>
      </c>
      <c r="B2425" s="3" t="s">
        <v>10085</v>
      </c>
      <c r="C2425" s="3" t="s">
        <v>10086</v>
      </c>
      <c r="D2425" s="3" t="s">
        <v>10086</v>
      </c>
      <c r="E2425" s="3" t="s">
        <v>10087</v>
      </c>
      <c r="F2425" s="3" t="s">
        <v>10088</v>
      </c>
      <c r="G2425" s="3" t="str">
        <f ca="1">IFERROR(__xludf.DUMMYFUNCTION("googletranslate(D2425,""en"",""ja"")"),"HIV-1 核酸")</f>
        <v>HIV-1 核酸</v>
      </c>
      <c r="H2425" s="3" t="str">
        <f ca="1">IFERROR(__xludf.DUMMYFUNCTION("googletranslate(E2425,""en"",""ja"")"),"生物学的検体中の HIV-1 核酸の測定。")</f>
        <v>生物学的検体中の HIV-1 核酸の測定。</v>
      </c>
      <c r="I2425" s="3" t="str">
        <f ca="1">IFERROR(__xludf.DUMMYFUNCTION("googletranslate(F2425,""en"",""ja"")"),"HIV-1 核酸測定")</f>
        <v>HIV-1 核酸測定</v>
      </c>
    </row>
    <row r="2426" spans="1:9">
      <c r="A2426" s="3" t="s">
        <v>67</v>
      </c>
      <c r="B2426" s="3" t="s">
        <v>10089</v>
      </c>
      <c r="C2426" s="3" t="s">
        <v>10090</v>
      </c>
      <c r="D2426" s="3" t="s">
        <v>10090</v>
      </c>
      <c r="E2426" s="3" t="s">
        <v>10091</v>
      </c>
      <c r="F2426" s="3" t="s">
        <v>10092</v>
      </c>
      <c r="G2426" s="3" t="str">
        <f ca="1">IFERROR(__xludf.DUMMYFUNCTION("googletranslate(D2426,""en"",""ja"")"),"HIV-1 RNA")</f>
        <v>HIV-1 RNA</v>
      </c>
      <c r="H2426" s="3" t="str">
        <f ca="1">IFERROR(__xludf.DUMMYFUNCTION("googletranslate(E2426,""en"",""ja"")"),"生物学的標本中の HIV-1 RNA の測定。")</f>
        <v>生物学的標本中の HIV-1 RNA の測定。</v>
      </c>
      <c r="I2426" s="3" t="str">
        <f ca="1">IFERROR(__xludf.DUMMYFUNCTION("googletranslate(F2426,""en"",""ja"")"),"HIV-1 RNA測定")</f>
        <v>HIV-1 RNA測定</v>
      </c>
    </row>
    <row r="2427" spans="1:9" ht="30">
      <c r="A2427" s="3" t="s">
        <v>180</v>
      </c>
      <c r="B2427" s="3" t="s">
        <v>10093</v>
      </c>
      <c r="C2427" s="3" t="s">
        <v>10094</v>
      </c>
      <c r="D2427" s="3" t="s">
        <v>10094</v>
      </c>
      <c r="E2427" s="3" t="s">
        <v>10095</v>
      </c>
      <c r="F2427" s="3" t="s">
        <v>10096</v>
      </c>
      <c r="G2427" s="3" t="str">
        <f ca="1">IFERROR(__xludf.DUMMYFUNCTION("googletranslate(D2427,""en"",""ja"")"),"HIV-1 血清反応性")</f>
        <v>HIV-1 血清反応性</v>
      </c>
      <c r="H2427" s="3" t="str">
        <f ca="1">IFERROR(__xludf.DUMMYFUNCTION("googletranslate(E2427,""en"",""ja"")"),"生物学的検体における HIV-1 血清反応性の測定。")</f>
        <v>生物学的検体における HIV-1 血清反応性の測定。</v>
      </c>
      <c r="I2427" s="3" t="str">
        <f ca="1">IFERROR(__xludf.DUMMYFUNCTION("googletranslate(F2427,""en"",""ja"")"),"HIV-1 血清反応性の測定")</f>
        <v>HIV-1 血清反応性の測定</v>
      </c>
    </row>
    <row r="2428" spans="1:9" ht="45">
      <c r="A2428" s="3" t="s">
        <v>67</v>
      </c>
      <c r="B2428" s="3" t="s">
        <v>10097</v>
      </c>
      <c r="C2428" s="3" t="s">
        <v>10098</v>
      </c>
      <c r="D2428" s="3" t="s">
        <v>10098</v>
      </c>
      <c r="E2428" s="3" t="s">
        <v>10099</v>
      </c>
      <c r="F2428" s="3" t="s">
        <v>10100</v>
      </c>
      <c r="G2428" s="3" t="str">
        <f ca="1">IFERROR(__xludf.DUMMYFUNCTION("googletranslate(D2428,""en"",""ja"")"),"HIV-2 抗体 + HIV-1 p24 抗原")</f>
        <v>HIV-2 抗体 + HIV-1 p24 抗原</v>
      </c>
      <c r="H2428" s="3" t="str">
        <f ca="1">IFERROR(__xludf.DUMMYFUNCTION("googletranslate(E2428,""en"",""ja"")"),"生体試料中の HIV-2 ウイルスに対する抗体反応の測定および HIV-1 p24 抗原の測定。")</f>
        <v>生体試料中の HIV-2 ウイルスに対する抗体反応の測定および HIV-1 p24 抗原の測定。</v>
      </c>
      <c r="I2428" s="3" t="str">
        <f ca="1">IFERROR(__xludf.DUMMYFUNCTION("googletranslate(F2428,""en"",""ja"")"),"HIV-2 抗体および HIV-1 p24 抗原の測定")</f>
        <v>HIV-2 抗体および HIV-1 p24 抗原の測定</v>
      </c>
    </row>
    <row r="2429" spans="1:9" ht="30">
      <c r="A2429" s="3" t="s">
        <v>67</v>
      </c>
      <c r="B2429" s="3" t="s">
        <v>10101</v>
      </c>
      <c r="C2429" s="3" t="s">
        <v>10102</v>
      </c>
      <c r="D2429" s="3" t="s">
        <v>10102</v>
      </c>
      <c r="E2429" s="3" t="s">
        <v>10103</v>
      </c>
      <c r="F2429" s="3" t="s">
        <v>10104</v>
      </c>
      <c r="G2429" s="3" t="str">
        <f ca="1">IFERROR(__xludf.DUMMYFUNCTION("googletranslate(D2429,""en"",""ja"")"),"HIV-2 核酸")</f>
        <v>HIV-2 核酸</v>
      </c>
      <c r="H2429" s="3" t="str">
        <f ca="1">IFERROR(__xludf.DUMMYFUNCTION("googletranslate(E2429,""en"",""ja"")"),"生物学的検体中の HIV-2 核酸の測定。")</f>
        <v>生物学的検体中の HIV-2 核酸の測定。</v>
      </c>
      <c r="I2429" s="3" t="str">
        <f ca="1">IFERROR(__xludf.DUMMYFUNCTION("googletranslate(F2429,""en"",""ja"")"),"HIV-2 核酸測定")</f>
        <v>HIV-2 核酸測定</v>
      </c>
    </row>
    <row r="2430" spans="1:9">
      <c r="A2430" s="3" t="s">
        <v>67</v>
      </c>
      <c r="B2430" s="3" t="s">
        <v>10105</v>
      </c>
      <c r="C2430" s="3" t="s">
        <v>10106</v>
      </c>
      <c r="D2430" s="3" t="s">
        <v>10106</v>
      </c>
      <c r="E2430" s="3" t="s">
        <v>10107</v>
      </c>
      <c r="F2430" s="3" t="s">
        <v>10108</v>
      </c>
      <c r="G2430" s="3" t="str">
        <f ca="1">IFERROR(__xludf.DUMMYFUNCTION("googletranslate(D2430,""en"",""ja"")"),"HIV-2 RNA")</f>
        <v>HIV-2 RNA</v>
      </c>
      <c r="H2430" s="3" t="str">
        <f ca="1">IFERROR(__xludf.DUMMYFUNCTION("googletranslate(E2430,""en"",""ja"")"),"生物学的標本中の HIV-2 RNA の測定。")</f>
        <v>生物学的標本中の HIV-2 RNA の測定。</v>
      </c>
      <c r="I2430" s="3" t="str">
        <f ca="1">IFERROR(__xludf.DUMMYFUNCTION("googletranslate(F2430,""en"",""ja"")"),"HIV-2 RNA測定")</f>
        <v>HIV-2 RNA測定</v>
      </c>
    </row>
    <row r="2431" spans="1:9" ht="30">
      <c r="A2431" s="3" t="s">
        <v>180</v>
      </c>
      <c r="B2431" s="3" t="s">
        <v>10109</v>
      </c>
      <c r="C2431" s="3" t="s">
        <v>10110</v>
      </c>
      <c r="D2431" s="3" t="s">
        <v>10110</v>
      </c>
      <c r="E2431" s="3" t="s">
        <v>10111</v>
      </c>
      <c r="F2431" s="3" t="s">
        <v>10112</v>
      </c>
      <c r="G2431" s="3" t="str">
        <f ca="1">IFERROR(__xludf.DUMMYFUNCTION("googletranslate(D2431,""en"",""ja"")"),"HIV-2 血清反応性")</f>
        <v>HIV-2 血清反応性</v>
      </c>
      <c r="H2431" s="3" t="str">
        <f ca="1">IFERROR(__xludf.DUMMYFUNCTION("googletranslate(E2431,""en"",""ja"")"),"生物学的検体における HIV-2 血清反応性の測定。")</f>
        <v>生物学的検体における HIV-2 血清反応性の測定。</v>
      </c>
      <c r="I2431" s="3" t="str">
        <f ca="1">IFERROR(__xludf.DUMMYFUNCTION("googletranslate(F2431,""en"",""ja"")"),"HIV-2 血清反応性の測定")</f>
        <v>HIV-2 血清反応性の測定</v>
      </c>
    </row>
    <row r="2432" spans="1:9" ht="30">
      <c r="A2432" s="3" t="s">
        <v>67</v>
      </c>
      <c r="B2432" s="3" t="s">
        <v>10113</v>
      </c>
      <c r="C2432" s="3" t="s">
        <v>10114</v>
      </c>
      <c r="D2432" s="3" t="s">
        <v>10114</v>
      </c>
      <c r="E2432" s="3" t="s">
        <v>10115</v>
      </c>
      <c r="F2432" s="3" t="s">
        <v>10116</v>
      </c>
      <c r="G2432" s="3" t="str">
        <f ca="1">IFERROR(__xludf.DUMMYFUNCTION("googletranslate(D2432,""en"",""ja"")"),"HIV抗原/抗体")</f>
        <v>HIV抗原/抗体</v>
      </c>
      <c r="H2432" s="3" t="str">
        <f ca="1">IFERROR(__xludf.DUMMYFUNCTION("googletranslate(E2432,""en"",""ja"")"),"生物学的標本中の HIV 抗原および/または HIV 抗体の測定。")</f>
        <v>生物学的標本中の HIV 抗原および/または HIV 抗体の測定。</v>
      </c>
      <c r="I2432" s="3" t="str">
        <f ca="1">IFERROR(__xludf.DUMMYFUNCTION("googletranslate(F2432,""en"",""ja"")"),"HIV抗原・抗体測定")</f>
        <v>HIV抗原・抗体測定</v>
      </c>
    </row>
    <row r="2433" spans="1:9" ht="75">
      <c r="A2433" s="3" t="s">
        <v>503</v>
      </c>
      <c r="B2433" s="3" t="s">
        <v>10117</v>
      </c>
      <c r="C2433" s="3" t="s">
        <v>10118</v>
      </c>
      <c r="D2433" s="3" t="s">
        <v>10118</v>
      </c>
      <c r="E2433" s="3" t="s">
        <v>10119</v>
      </c>
      <c r="F2433" s="3" t="s">
        <v>10118</v>
      </c>
      <c r="G2433" s="3" t="str">
        <f ca="1">IFERROR(__xludf.DUMMYFUNCTION("googletranslate(D2433,""en"",""ja"")"),"CDC HIV ハイリスクドナー指標")</f>
        <v>CDC HIV ハイリスクドナー指標</v>
      </c>
      <c r="H2433" s="3" t="str">
        <f ca="1">IFERROR(__xludf.DUMMYFUNCTION("googletranslate(E2433,""en"",""ja"")"),"1994 年の疾病管理センター (CDC) 公衆衛生サービス基準で定義された、臓器提供者がヒト免疫不全ウイルス (HIV) 感染のリスク増加に関連する 1 つ以上の行動カテゴリーに該当する可能性があるかどうかに関する指標。")</f>
        <v>1994 年の疾病管理センター (CDC) 公衆衛生サービス基準で定義された、臓器提供者がヒト免疫不全ウイルス (HIV) 感染のリスク増加に関連する 1 つ以上の行動カテゴリーに該当する可能性があるかどうかに関する指標。</v>
      </c>
      <c r="I2433" s="3" t="str">
        <f ca="1">IFERROR(__xludf.DUMMYFUNCTION("googletranslate(F2433,""en"",""ja"")"),"CDC HIV ハイリスクドナー指標")</f>
        <v>CDC HIV ハイリスクドナー指標</v>
      </c>
    </row>
    <row r="2434" spans="1:9" ht="45">
      <c r="A2434" s="3" t="s">
        <v>67</v>
      </c>
      <c r="B2434" s="3" t="s">
        <v>10120</v>
      </c>
      <c r="C2434" s="3" t="s">
        <v>10121</v>
      </c>
      <c r="D2434" s="3" t="s">
        <v>10122</v>
      </c>
      <c r="E2434" s="3" t="s">
        <v>10123</v>
      </c>
      <c r="F2434" s="3" t="s">
        <v>10124</v>
      </c>
      <c r="G2434" s="3" t="str">
        <f ca="1">IFERROR(__xludf.DUMMYFUNCTION("googletranslate(D2434,""en"",""ja"")"),"HCoV-HKU1 核酸; HCoV-HKU1 RNA;ヒトコロナウイルス HKU1 核酸")</f>
        <v>HCoV-HKU1 核酸; HCoV-HKU1 RNA;ヒトコロナウイルス HKU1 核酸</v>
      </c>
      <c r="H2434" s="3" t="str">
        <f ca="1">IFERROR(__xludf.DUMMYFUNCTION("googletranslate(E2434,""en"",""ja"")"),"生物学的検体中のヒトコロナウイルス HKU1 核酸の測定。")</f>
        <v>生物学的検体中のヒトコロナウイルス HKU1 核酸の測定。</v>
      </c>
      <c r="I2434" s="3" t="str">
        <f ca="1">IFERROR(__xludf.DUMMYFUNCTION("googletranslate(F2434,""en"",""ja"")"),"ヒトコロナウイルスHKU1核酸測定")</f>
        <v>ヒトコロナウイルスHKU1核酸測定</v>
      </c>
    </row>
    <row r="2435" spans="1:9" ht="30">
      <c r="A2435" s="3" t="s">
        <v>67</v>
      </c>
      <c r="B2435" s="3" t="s">
        <v>10125</v>
      </c>
      <c r="C2435" s="3" t="s">
        <v>10126</v>
      </c>
      <c r="D2435" s="3" t="s">
        <v>10127</v>
      </c>
      <c r="E2435" s="3" t="s">
        <v>10128</v>
      </c>
      <c r="F2435" s="3" t="s">
        <v>10129</v>
      </c>
      <c r="G2435" s="3" t="str">
        <f ca="1">IFERROR(__xludf.DUMMYFUNCTION("googletranslate(D2435,""en"",""ja"")"),"HCoV-HKU1 RNA;ヒトコロナウイルス HKU1 RNA")</f>
        <v>HCoV-HKU1 RNA;ヒトコロナウイルス HKU1 RNA</v>
      </c>
      <c r="H2435" s="3" t="str">
        <f ca="1">IFERROR(__xludf.DUMMYFUNCTION("googletranslate(E2435,""en"",""ja"")"),"生物学的標本中のヒトコロナウイルス HKU1 RNA の測定。")</f>
        <v>生物学的標本中のヒトコロナウイルス HKU1 RNA の測定。</v>
      </c>
      <c r="I2435" s="3" t="str">
        <f ca="1">IFERROR(__xludf.DUMMYFUNCTION("googletranslate(F2435,""en"",""ja"")"),"HCoV-HKU1 RNA測定")</f>
        <v>HCoV-HKU1 RNA測定</v>
      </c>
    </row>
    <row r="2436" spans="1:9" ht="30">
      <c r="A2436" s="3" t="s">
        <v>6</v>
      </c>
      <c r="B2436" s="3" t="s">
        <v>10130</v>
      </c>
      <c r="C2436" s="3" t="s">
        <v>10131</v>
      </c>
      <c r="D2436" s="3" t="s">
        <v>10131</v>
      </c>
      <c r="E2436" s="3" t="s">
        <v>10132</v>
      </c>
      <c r="F2436" s="3" t="s">
        <v>10133</v>
      </c>
      <c r="G2436" s="3" t="str">
        <f ca="1">IFERROR(__xludf.DUMMYFUNCTION("googletranslate(D2436,""en"",""ja"")"),"HLA クラス IA 抗原")</f>
        <v>HLA クラス IA 抗原</v>
      </c>
      <c r="H2436" s="3" t="str">
        <f ca="1">IFERROR(__xludf.DUMMYFUNCTION("googletranslate(E2436,""en"",""ja"")"),"生物学的検体中の HLA クラス IA 抗原の測定。")</f>
        <v>生物学的検体中の HLA クラス IA 抗原の測定。</v>
      </c>
      <c r="I2436" s="3" t="str">
        <f ca="1">IFERROR(__xludf.DUMMYFUNCTION("googletranslate(F2436,""en"",""ja"")"),"HLAクラスIA組織適合性抗原測定")</f>
        <v>HLAクラスIA組織適合性抗原測定</v>
      </c>
    </row>
    <row r="2437" spans="1:9" ht="30">
      <c r="A2437" s="3" t="s">
        <v>6</v>
      </c>
      <c r="B2437" s="3" t="s">
        <v>10134</v>
      </c>
      <c r="C2437" s="3" t="s">
        <v>10135</v>
      </c>
      <c r="D2437" s="3" t="s">
        <v>10136</v>
      </c>
      <c r="E2437" s="3" t="s">
        <v>10137</v>
      </c>
      <c r="F2437" s="3" t="s">
        <v>10138</v>
      </c>
      <c r="G2437" s="3" t="str">
        <f ca="1">IFERROR(__xludf.DUMMYFUNCTION("googletranslate(D2437,""en"",""ja"")"),"HLA A03 抗原; HLA-A03抗原")</f>
        <v>HLA A03 抗原; HLA-A03抗原</v>
      </c>
      <c r="H2437" s="3" t="str">
        <f ca="1">IFERROR(__xludf.DUMMYFUNCTION("googletranslate(E2437,""en"",""ja"")"),"生物学的標本中の HLA A03 抗原の測定。")</f>
        <v>生物学的標本中の HLA A03 抗原の測定。</v>
      </c>
      <c r="I2437" s="3" t="str">
        <f ca="1">IFERROR(__xludf.DUMMYFUNCTION("googletranslate(F2437,""en"",""ja"")"),"HLA A03 組織適合性抗原測定")</f>
        <v>HLA A03 組織適合性抗原測定</v>
      </c>
    </row>
    <row r="2438" spans="1:9" ht="30">
      <c r="A2438" s="3" t="s">
        <v>6</v>
      </c>
      <c r="B2438" s="3" t="s">
        <v>10139</v>
      </c>
      <c r="C2438" s="3" t="s">
        <v>10140</v>
      </c>
      <c r="D2438" s="3" t="s">
        <v>10141</v>
      </c>
      <c r="E2438" s="3" t="s">
        <v>10142</v>
      </c>
      <c r="F2438" s="3" t="s">
        <v>10143</v>
      </c>
      <c r="G2438" s="3" t="str">
        <f ca="1">IFERROR(__xludf.DUMMYFUNCTION("googletranslate(D2438,""en"",""ja"")"),"HLA A2 抗原; HLA-A2抗原")</f>
        <v>HLA A2 抗原; HLA-A2抗原</v>
      </c>
      <c r="H2438" s="3" t="str">
        <f ca="1">IFERROR(__xludf.DUMMYFUNCTION("googletranslate(E2438,""en"",""ja"")"),"生物学的標本中の HLA A2 抗原の測定。")</f>
        <v>生物学的標本中の HLA A2 抗原の測定。</v>
      </c>
      <c r="I2438" s="3" t="str">
        <f ca="1">IFERROR(__xludf.DUMMYFUNCTION("googletranslate(F2438,""en"",""ja"")"),"HLA A2 組織適合性抗原測定")</f>
        <v>HLA A2 組織適合性抗原測定</v>
      </c>
    </row>
    <row r="2439" spans="1:9" ht="30">
      <c r="A2439" s="3" t="s">
        <v>6</v>
      </c>
      <c r="B2439" s="3" t="s">
        <v>10144</v>
      </c>
      <c r="C2439" s="3" t="s">
        <v>10145</v>
      </c>
      <c r="D2439" s="3" t="s">
        <v>10146</v>
      </c>
      <c r="E2439" s="3" t="s">
        <v>10147</v>
      </c>
      <c r="F2439" s="3" t="s">
        <v>10148</v>
      </c>
      <c r="G2439" s="3" t="str">
        <f ca="1">IFERROR(__xludf.DUMMYFUNCTION("googletranslate(D2439,""en"",""ja"")"),"HLA A24 抗原; HLA-A24抗原")</f>
        <v>HLA A24 抗原; HLA-A24抗原</v>
      </c>
      <c r="H2439" s="3" t="str">
        <f ca="1">IFERROR(__xludf.DUMMYFUNCTION("googletranslate(E2439,""en"",""ja"")"),"生物学的標本中の HLA A24 抗原の測定。")</f>
        <v>生物学的標本中の HLA A24 抗原の測定。</v>
      </c>
      <c r="I2439" s="3" t="str">
        <f ca="1">IFERROR(__xludf.DUMMYFUNCTION("googletranslate(F2439,""en"",""ja"")"),"HLA A24 組織適合性抗原測定")</f>
        <v>HLA A24 組織適合性抗原測定</v>
      </c>
    </row>
    <row r="2440" spans="1:9" ht="30">
      <c r="A2440" s="3" t="s">
        <v>6</v>
      </c>
      <c r="B2440" s="3" t="s">
        <v>10149</v>
      </c>
      <c r="C2440" s="3" t="s">
        <v>10150</v>
      </c>
      <c r="D2440" s="3" t="s">
        <v>10151</v>
      </c>
      <c r="E2440" s="3" t="s">
        <v>10152</v>
      </c>
      <c r="F2440" s="3" t="s">
        <v>10153</v>
      </c>
      <c r="G2440" s="3" t="str">
        <f ca="1">IFERROR(__xludf.DUMMYFUNCTION("googletranslate(D2440,""en"",""ja"")"),"HLA A3 抗原; HLA-A3抗原")</f>
        <v>HLA A3 抗原; HLA-A3抗原</v>
      </c>
      <c r="H2440" s="3" t="str">
        <f ca="1">IFERROR(__xludf.DUMMYFUNCTION("googletranslate(E2440,""en"",""ja"")"),"生物学的標本中の HLA A3 抗原の測定。")</f>
        <v>生物学的標本中の HLA A3 抗原の測定。</v>
      </c>
      <c r="I2440" s="3" t="str">
        <f ca="1">IFERROR(__xludf.DUMMYFUNCTION("googletranslate(F2440,""en"",""ja"")"),"HLA A3 組織適合性抗原測定")</f>
        <v>HLA A3 組織適合性抗原測定</v>
      </c>
    </row>
    <row r="2441" spans="1:9" ht="30">
      <c r="A2441" s="3" t="s">
        <v>6</v>
      </c>
      <c r="B2441" s="3" t="s">
        <v>10154</v>
      </c>
      <c r="C2441" s="3" t="s">
        <v>10155</v>
      </c>
      <c r="D2441" s="3" t="s">
        <v>10155</v>
      </c>
      <c r="E2441" s="3" t="s">
        <v>10156</v>
      </c>
      <c r="F2441" s="3" t="s">
        <v>10155</v>
      </c>
      <c r="G2441" s="3" t="str">
        <f ca="1">IFERROR(__xludf.DUMMYFUNCTION("googletranslate(D2441,""en"",""ja"")"),"HLA-A 抗原の種類")</f>
        <v>HLA-A 抗原の種類</v>
      </c>
      <c r="H2441" s="3" t="str">
        <f ca="1">IFERROR(__xludf.DUMMYFUNCTION("googletranslate(E2441,""en"",""ja"")"),"生物学的標本におけるヒト白血球抗原のタイプ、クラス I、グループ A (HLA-A) の同定。")</f>
        <v>生物学的標本におけるヒト白血球抗原のタイプ、クラス I、グループ A (HLA-A) の同定。</v>
      </c>
      <c r="I2441" s="3" t="str">
        <f ca="1">IFERROR(__xludf.DUMMYFUNCTION("googletranslate(F2441,""en"",""ja"")"),"HLA-A 抗原の種類")</f>
        <v>HLA-A 抗原の種類</v>
      </c>
    </row>
    <row r="2442" spans="1:9" ht="45">
      <c r="A2442" s="3" t="s">
        <v>6</v>
      </c>
      <c r="B2442" s="3" t="s">
        <v>10157</v>
      </c>
      <c r="C2442" s="3" t="s">
        <v>10158</v>
      </c>
      <c r="D2442" s="3" t="s">
        <v>10158</v>
      </c>
      <c r="E2442" s="3" t="s">
        <v>10159</v>
      </c>
      <c r="F2442" s="3" t="s">
        <v>10158</v>
      </c>
      <c r="G2442" s="3" t="str">
        <f ca="1">IFERROR(__xludf.DUMMYFUNCTION("googletranslate(D2442,""en"",""ja"")"),"HLA-A 不一致数")</f>
        <v>HLA-A 不一致数</v>
      </c>
      <c r="H2442" s="3" t="str">
        <f ca="1">IFERROR(__xludf.DUMMYFUNCTION("googletranslate(E2442,""en"",""ja"")"),"ヒト白血球抗原、クラス I、グループ A (HLA-A) について、レシピエントとドナーの間で不一致の数を決定する測定。")</f>
        <v>ヒト白血球抗原、クラス I、グループ A (HLA-A) について、レシピエントとドナーの間で不一致の数を決定する測定。</v>
      </c>
      <c r="I2442" s="3" t="str">
        <f ca="1">IFERROR(__xludf.DUMMYFUNCTION("googletranslate(F2442,""en"",""ja"")"),"HLA-A 不一致数")</f>
        <v>HLA-A 不一致数</v>
      </c>
    </row>
    <row r="2443" spans="1:9" ht="30">
      <c r="A2443" s="3" t="s">
        <v>6</v>
      </c>
      <c r="B2443" s="3" t="s">
        <v>10160</v>
      </c>
      <c r="C2443" s="3" t="s">
        <v>10161</v>
      </c>
      <c r="D2443" s="3" t="s">
        <v>10161</v>
      </c>
      <c r="E2443" s="3" t="s">
        <v>10162</v>
      </c>
      <c r="F2443" s="3" t="s">
        <v>10163</v>
      </c>
      <c r="G2443" s="3" t="str">
        <f ca="1">IFERROR(__xludf.DUMMYFUNCTION("googletranslate(D2443,""en"",""ja"")"),"HLA クラス IB 抗原")</f>
        <v>HLA クラス IB 抗原</v>
      </c>
      <c r="H2443" s="3" t="str">
        <f ca="1">IFERROR(__xludf.DUMMYFUNCTION("googletranslate(E2443,""en"",""ja"")"),"生物学的検体中の HLA クラス IB 抗原の測定。")</f>
        <v>生物学的検体中の HLA クラス IB 抗原の測定。</v>
      </c>
      <c r="I2443" s="3" t="str">
        <f ca="1">IFERROR(__xludf.DUMMYFUNCTION("googletranslate(F2443,""en"",""ja"")"),"HLAクラスIB組織適合性抗原測定")</f>
        <v>HLAクラスIB組織適合性抗原測定</v>
      </c>
    </row>
    <row r="2444" spans="1:9" ht="30">
      <c r="A2444" s="3" t="s">
        <v>6</v>
      </c>
      <c r="B2444" s="3" t="s">
        <v>10164</v>
      </c>
      <c r="C2444" s="3" t="s">
        <v>10165</v>
      </c>
      <c r="D2444" s="3" t="s">
        <v>10166</v>
      </c>
      <c r="E2444" s="3" t="s">
        <v>10167</v>
      </c>
      <c r="F2444" s="3" t="s">
        <v>10168</v>
      </c>
      <c r="G2444" s="3" t="str">
        <f ca="1">IFERROR(__xludf.DUMMYFUNCTION("googletranslate(D2444,""en"",""ja"")"),"HLA-B27抗原;ヒト白血球抗原 B27")</f>
        <v>HLA-B27抗原;ヒト白血球抗原 B27</v>
      </c>
      <c r="H2444" s="3" t="str">
        <f ca="1">IFERROR(__xludf.DUMMYFUNCTION("googletranslate(E2444,""en"",""ja"")"),"生物学的標本中のヒト白血球抗原 B27 (HLA-B27) の測定。")</f>
        <v>生物学的標本中のヒト白血球抗原 B27 (HLA-B27) の測定。</v>
      </c>
      <c r="I2444" s="3" t="str">
        <f ca="1">IFERROR(__xludf.DUMMYFUNCTION("googletranslate(F2444,""en"",""ja"")"),"HLA-B27抗原測定")</f>
        <v>HLA-B27抗原測定</v>
      </c>
    </row>
    <row r="2445" spans="1:9" ht="30">
      <c r="A2445" s="3" t="s">
        <v>6</v>
      </c>
      <c r="B2445" s="3" t="s">
        <v>10169</v>
      </c>
      <c r="C2445" s="3" t="s">
        <v>10170</v>
      </c>
      <c r="D2445" s="3" t="s">
        <v>10170</v>
      </c>
      <c r="E2445" s="3" t="s">
        <v>10171</v>
      </c>
      <c r="F2445" s="3" t="s">
        <v>10170</v>
      </c>
      <c r="G2445" s="3" t="str">
        <f ca="1">IFERROR(__xludf.DUMMYFUNCTION("googletranslate(D2445,""en"",""ja"")"),"HLA-B 抗原の種類")</f>
        <v>HLA-B 抗原の種類</v>
      </c>
      <c r="H2445" s="3" t="str">
        <f ca="1">IFERROR(__xludf.DUMMYFUNCTION("googletranslate(E2445,""en"",""ja"")"),"生物学的標本におけるヒト白血球抗原のタイプ、クラス I、グループ B (HLA-B) の同定。")</f>
        <v>生物学的標本におけるヒト白血球抗原のタイプ、クラス I、グループ B (HLA-B) の同定。</v>
      </c>
      <c r="I2445" s="3" t="str">
        <f ca="1">IFERROR(__xludf.DUMMYFUNCTION("googletranslate(F2445,""en"",""ja"")"),"HLA-B 抗原の種類")</f>
        <v>HLA-B 抗原の種類</v>
      </c>
    </row>
    <row r="2446" spans="1:9" ht="45">
      <c r="A2446" s="3" t="s">
        <v>6</v>
      </c>
      <c r="B2446" s="3" t="s">
        <v>10172</v>
      </c>
      <c r="C2446" s="3" t="s">
        <v>10173</v>
      </c>
      <c r="D2446" s="3" t="s">
        <v>10173</v>
      </c>
      <c r="E2446" s="3" t="s">
        <v>10174</v>
      </c>
      <c r="F2446" s="3" t="s">
        <v>10173</v>
      </c>
      <c r="G2446" s="3" t="str">
        <f ca="1">IFERROR(__xludf.DUMMYFUNCTION("googletranslate(D2446,""en"",""ja"")"),"HLA-B 不一致数")</f>
        <v>HLA-B 不一致数</v>
      </c>
      <c r="H2446" s="3" t="str">
        <f ca="1">IFERROR(__xludf.DUMMYFUNCTION("googletranslate(E2446,""en"",""ja"")"),"ヒト白血球抗原、クラス I、グループ B (HLA-B) について、レシピエントとドナーの間で不一致の数を決定するための測定。")</f>
        <v>ヒト白血球抗原、クラス I、グループ B (HLA-B) について、レシピエントとドナーの間で不一致の数を決定するための測定。</v>
      </c>
      <c r="I2446" s="3" t="str">
        <f ca="1">IFERROR(__xludf.DUMMYFUNCTION("googletranslate(F2446,""en"",""ja"")"),"HLA-B 不一致数")</f>
        <v>HLA-B 不一致数</v>
      </c>
    </row>
    <row r="2447" spans="1:9" ht="30">
      <c r="A2447" s="3" t="s">
        <v>6</v>
      </c>
      <c r="B2447" s="3" t="s">
        <v>10175</v>
      </c>
      <c r="C2447" s="3" t="s">
        <v>10176</v>
      </c>
      <c r="D2447" s="3" t="s">
        <v>10176</v>
      </c>
      <c r="E2447" s="3" t="s">
        <v>10177</v>
      </c>
      <c r="F2447" s="3" t="s">
        <v>10178</v>
      </c>
      <c r="G2447" s="3" t="str">
        <f ca="1">IFERROR(__xludf.DUMMYFUNCTION("googletranslate(D2447,""en"",""ja"")"),"HLA クラス IC 抗原")</f>
        <v>HLA クラス IC 抗原</v>
      </c>
      <c r="H2447" s="3" t="str">
        <f ca="1">IFERROR(__xludf.DUMMYFUNCTION("googletranslate(E2447,""en"",""ja"")"),"生物学的検体中の HLA クラス IC 抗原の測定。")</f>
        <v>生物学的検体中の HLA クラス IC 抗原の測定。</v>
      </c>
      <c r="I2447" s="3" t="str">
        <f ca="1">IFERROR(__xludf.DUMMYFUNCTION("googletranslate(F2447,""en"",""ja"")"),"HLAクラスIC組織適合性抗原測定")</f>
        <v>HLAクラスIC組織適合性抗原測定</v>
      </c>
    </row>
    <row r="2448" spans="1:9" ht="30">
      <c r="A2448" s="3" t="s">
        <v>6</v>
      </c>
      <c r="B2448" s="3" t="s">
        <v>10179</v>
      </c>
      <c r="C2448" s="3" t="s">
        <v>10180</v>
      </c>
      <c r="D2448" s="3" t="s">
        <v>10181</v>
      </c>
      <c r="E2448" s="3" t="s">
        <v>10182</v>
      </c>
      <c r="F2448" s="3" t="s">
        <v>10183</v>
      </c>
      <c r="G2448" s="3" t="str">
        <f ca="1">IFERROR(__xludf.DUMMYFUNCTION("googletranslate(D2448,""en"",""ja"")"),"HLA Cw 抗原; HLA-Cw抗原")</f>
        <v>HLA Cw 抗原; HLA-Cw抗原</v>
      </c>
      <c r="H2448" s="3" t="str">
        <f ca="1">IFERROR(__xludf.DUMMYFUNCTION("googletranslate(E2448,""en"",""ja"")"),"生物学的標本中の HLA Cw 抗原の測定。")</f>
        <v>生物学的標本中の HLA Cw 抗原の測定。</v>
      </c>
      <c r="I2448" s="3" t="str">
        <f ca="1">IFERROR(__xludf.DUMMYFUNCTION("googletranslate(F2448,""en"",""ja"")"),"HLA Cw 組織適合性抗原測定")</f>
        <v>HLA Cw 組織適合性抗原測定</v>
      </c>
    </row>
    <row r="2449" spans="1:9" ht="30">
      <c r="A2449" s="3" t="s">
        <v>6</v>
      </c>
      <c r="B2449" s="3" t="s">
        <v>10184</v>
      </c>
      <c r="C2449" s="3" t="s">
        <v>10185</v>
      </c>
      <c r="D2449" s="3" t="s">
        <v>10186</v>
      </c>
      <c r="E2449" s="3" t="s">
        <v>10187</v>
      </c>
      <c r="F2449" s="3" t="s">
        <v>10188</v>
      </c>
      <c r="G2449" s="3" t="str">
        <f ca="1">IFERROR(__xludf.DUMMYFUNCTION("googletranslate(D2449,""en"",""ja"")"),"HLA DP アルファ 1 抗原; HLA-DP アルファ 1 抗原")</f>
        <v>HLA DP アルファ 1 抗原; HLA-DP アルファ 1 抗原</v>
      </c>
      <c r="H2449" s="3" t="str">
        <f ca="1">IFERROR(__xludf.DUMMYFUNCTION("googletranslate(E2449,""en"",""ja"")"),"生物学的標本中の HLA DP α1 抗原の測定。")</f>
        <v>生物学的標本中の HLA DP α1 抗原の測定。</v>
      </c>
      <c r="I2449" s="3" t="str">
        <f ca="1">IFERROR(__xludf.DUMMYFUNCTION("googletranslate(F2449,""en"",""ja"")"),"HLA DP Alpha1 組織適合性抗原測定")</f>
        <v>HLA DP Alpha1 組織適合性抗原測定</v>
      </c>
    </row>
    <row r="2450" spans="1:9" ht="30">
      <c r="A2450" s="3" t="s">
        <v>6</v>
      </c>
      <c r="B2450" s="3" t="s">
        <v>10189</v>
      </c>
      <c r="C2450" s="3" t="s">
        <v>10190</v>
      </c>
      <c r="D2450" s="3" t="s">
        <v>10191</v>
      </c>
      <c r="E2450" s="3" t="s">
        <v>10192</v>
      </c>
      <c r="F2450" s="3" t="s">
        <v>10193</v>
      </c>
      <c r="G2450" s="3" t="str">
        <f ca="1">IFERROR(__xludf.DUMMYFUNCTION("googletranslate(D2450,""en"",""ja"")"),"HLA DP ベータ抗原; HLA-DP ベータ抗原")</f>
        <v>HLA DP ベータ抗原; HLA-DP ベータ抗原</v>
      </c>
      <c r="H2450" s="3" t="str">
        <f ca="1">IFERROR(__xludf.DUMMYFUNCTION("googletranslate(E2450,""en"",""ja"")"),"生物学的検体中の総 HLA DP ベータ抗原の測定。")</f>
        <v>生物学的検体中の総 HLA DP ベータ抗原の測定。</v>
      </c>
      <c r="I2450" s="3" t="str">
        <f ca="1">IFERROR(__xludf.DUMMYFUNCTION("googletranslate(F2450,""en"",""ja"")"),"HLA DP ベータ組織適合性抗原測定")</f>
        <v>HLA DP ベータ組織適合性抗原測定</v>
      </c>
    </row>
    <row r="2451" spans="1:9" ht="30">
      <c r="A2451" s="3" t="s">
        <v>6</v>
      </c>
      <c r="B2451" s="3" t="s">
        <v>10194</v>
      </c>
      <c r="C2451" s="3" t="s">
        <v>10195</v>
      </c>
      <c r="D2451" s="3" t="s">
        <v>10195</v>
      </c>
      <c r="E2451" s="3" t="s">
        <v>10196</v>
      </c>
      <c r="F2451" s="3" t="s">
        <v>10197</v>
      </c>
      <c r="G2451" s="3" t="str">
        <f ca="1">IFERROR(__xludf.DUMMYFUNCTION("googletranslate(D2451,""en"",""ja"")"),"HLA DP ベータ 1 抗原")</f>
        <v>HLA DP ベータ 1 抗原</v>
      </c>
      <c r="H2451" s="3" t="str">
        <f ca="1">IFERROR(__xludf.DUMMYFUNCTION("googletranslate(E2451,""en"",""ja"")"),"生物学的標本中の HLA DP ベータ 1 抗原の測定。")</f>
        <v>生物学的標本中の HLA DP ベータ 1 抗原の測定。</v>
      </c>
      <c r="I2451" s="3" t="str">
        <f ca="1">IFERROR(__xludf.DUMMYFUNCTION("googletranslate(F2451,""en"",""ja"")"),"HLA DP Beta1 組織適合性抗原測定")</f>
        <v>HLA DP Beta1 組織適合性抗原測定</v>
      </c>
    </row>
    <row r="2452" spans="1:9" ht="30">
      <c r="A2452" s="3" t="s">
        <v>6</v>
      </c>
      <c r="B2452" s="3" t="s">
        <v>10198</v>
      </c>
      <c r="C2452" s="3" t="s">
        <v>10199</v>
      </c>
      <c r="D2452" s="3" t="s">
        <v>10200</v>
      </c>
      <c r="E2452" s="3" t="s">
        <v>10201</v>
      </c>
      <c r="F2452" s="3" t="s">
        <v>10202</v>
      </c>
      <c r="G2452" s="3" t="str">
        <f ca="1">IFERROR(__xludf.DUMMYFUNCTION("googletranslate(D2452,""en"",""ja"")"),"HLA DQ2 抗原; HLA-DQ2抗原")</f>
        <v>HLA DQ2 抗原; HLA-DQ2抗原</v>
      </c>
      <c r="H2452" s="3" t="str">
        <f ca="1">IFERROR(__xludf.DUMMYFUNCTION("googletranslate(E2452,""en"",""ja"")"),"生物学的標本中の HLA DQ2 抗原の測定。")</f>
        <v>生物学的標本中の HLA DQ2 抗原の測定。</v>
      </c>
      <c r="I2452" s="3" t="str">
        <f ca="1">IFERROR(__xludf.DUMMYFUNCTION("googletranslate(F2452,""en"",""ja"")"),"HLA DQ2抗原測定")</f>
        <v>HLA DQ2抗原測定</v>
      </c>
    </row>
    <row r="2453" spans="1:9" ht="30">
      <c r="A2453" s="3" t="s">
        <v>6</v>
      </c>
      <c r="B2453" s="3" t="s">
        <v>10203</v>
      </c>
      <c r="C2453" s="3" t="s">
        <v>10204</v>
      </c>
      <c r="D2453" s="3" t="s">
        <v>10205</v>
      </c>
      <c r="E2453" s="3" t="s">
        <v>10206</v>
      </c>
      <c r="F2453" s="3" t="s">
        <v>10207</v>
      </c>
      <c r="G2453" s="3" t="str">
        <f ca="1">IFERROR(__xludf.DUMMYFUNCTION("googletranslate(D2453,""en"",""ja"")"),"HLA DQ8 抗原; HLA-DQ8抗原")</f>
        <v>HLA DQ8 抗原; HLA-DQ8抗原</v>
      </c>
      <c r="H2453" s="3" t="str">
        <f ca="1">IFERROR(__xludf.DUMMYFUNCTION("googletranslate(E2453,""en"",""ja"")"),"生物学的標本中の HLA DQ8 抗原の測定。")</f>
        <v>生物学的標本中の HLA DQ8 抗原の測定。</v>
      </c>
      <c r="I2453" s="3" t="str">
        <f ca="1">IFERROR(__xludf.DUMMYFUNCTION("googletranslate(F2453,""en"",""ja"")"),"HLA DQ8抗原測定")</f>
        <v>HLA DQ8抗原測定</v>
      </c>
    </row>
    <row r="2454" spans="1:9" ht="30">
      <c r="A2454" s="3" t="s">
        <v>6</v>
      </c>
      <c r="B2454" s="3" t="s">
        <v>10208</v>
      </c>
      <c r="C2454" s="3" t="s">
        <v>10209</v>
      </c>
      <c r="D2454" s="3" t="s">
        <v>10210</v>
      </c>
      <c r="E2454" s="3" t="s">
        <v>10211</v>
      </c>
      <c r="F2454" s="3" t="s">
        <v>10212</v>
      </c>
      <c r="G2454" s="3" t="str">
        <f ca="1">IFERROR(__xludf.DUMMYFUNCTION("googletranslate(D2454,""en"",""ja"")"),"HLA DQ アルファ 1 抗原; HLA-DQ アルファ 1 抗原")</f>
        <v>HLA DQ アルファ 1 抗原; HLA-DQ アルファ 1 抗原</v>
      </c>
      <c r="H2454" s="3" t="str">
        <f ca="1">IFERROR(__xludf.DUMMYFUNCTION("googletranslate(E2454,""en"",""ja"")"),"生物学的検体中の HLA DQ alpha1 抗原の測定。")</f>
        <v>生物学的検体中の HLA DQ alpha1 抗原の測定。</v>
      </c>
      <c r="I2454" s="3" t="str">
        <f ca="1">IFERROR(__xludf.DUMMYFUNCTION("googletranslate(F2454,""en"",""ja"")"),"HLA DQ Alpha1 組織適合性抗原測定")</f>
        <v>HLA DQ Alpha1 組織適合性抗原測定</v>
      </c>
    </row>
    <row r="2455" spans="1:9" ht="30">
      <c r="A2455" s="3" t="s">
        <v>6</v>
      </c>
      <c r="B2455" s="3" t="s">
        <v>10213</v>
      </c>
      <c r="C2455" s="3" t="s">
        <v>10214</v>
      </c>
      <c r="D2455" s="3" t="s">
        <v>10214</v>
      </c>
      <c r="E2455" s="3" t="s">
        <v>10215</v>
      </c>
      <c r="F2455" s="3" t="s">
        <v>10216</v>
      </c>
      <c r="G2455" s="3" t="str">
        <f ca="1">IFERROR(__xludf.DUMMYFUNCTION("googletranslate(D2455,""en"",""ja"")"),"HLA DQ ベータ 1 抗原")</f>
        <v>HLA DQ ベータ 1 抗原</v>
      </c>
      <c r="H2455" s="3" t="str">
        <f ca="1">IFERROR(__xludf.DUMMYFUNCTION("googletranslate(E2455,""en"",""ja"")"),"生物学的検体中の HLA DQ ベータ 1 抗原の測定。")</f>
        <v>生物学的検体中の HLA DQ ベータ 1 抗原の測定。</v>
      </c>
      <c r="I2455" s="3" t="str">
        <f ca="1">IFERROR(__xludf.DUMMYFUNCTION("googletranslate(F2455,""en"",""ja"")"),"HLA DQ Beta1 組織適合性抗原測定")</f>
        <v>HLA DQ Beta1 組織適合性抗原測定</v>
      </c>
    </row>
    <row r="2456" spans="1:9" ht="30">
      <c r="A2456" s="3" t="s">
        <v>6</v>
      </c>
      <c r="B2456" s="3" t="s">
        <v>10217</v>
      </c>
      <c r="C2456" s="3" t="s">
        <v>10218</v>
      </c>
      <c r="D2456" s="3" t="s">
        <v>10219</v>
      </c>
      <c r="E2456" s="3" t="s">
        <v>10220</v>
      </c>
      <c r="F2456" s="3" t="s">
        <v>10221</v>
      </c>
      <c r="G2456" s="3" t="str">
        <f ca="1">IFERROR(__xludf.DUMMYFUNCTION("googletranslate(D2456,""en"",""ja"")"),"HLA DR抗原; HLA-DR抗原")</f>
        <v>HLA DR抗原; HLA-DR抗原</v>
      </c>
      <c r="H2456" s="3" t="str">
        <f ca="1">IFERROR(__xludf.DUMMYFUNCTION("googletranslate(E2456,""en"",""ja"")"),"生物学的検体中の総 HLA DR 抗原の測定。")</f>
        <v>生物学的検体中の総 HLA DR 抗原の測定。</v>
      </c>
      <c r="I2456" s="3" t="str">
        <f ca="1">IFERROR(__xludf.DUMMYFUNCTION("googletranslate(F2456,""en"",""ja"")"),"HLA DR 組織適合性抗原測定")</f>
        <v>HLA DR 組織適合性抗原測定</v>
      </c>
    </row>
    <row r="2457" spans="1:9" ht="30">
      <c r="A2457" s="3" t="s">
        <v>6</v>
      </c>
      <c r="B2457" s="3" t="s">
        <v>10222</v>
      </c>
      <c r="C2457" s="3" t="s">
        <v>10223</v>
      </c>
      <c r="D2457" s="3" t="s">
        <v>10223</v>
      </c>
      <c r="E2457" s="3" t="s">
        <v>10224</v>
      </c>
      <c r="F2457" s="3" t="s">
        <v>10223</v>
      </c>
      <c r="G2457" s="3" t="str">
        <f ca="1">IFERROR(__xludf.DUMMYFUNCTION("googletranslate(D2457,""en"",""ja"")"),"HLA-DR 抗原の種類")</f>
        <v>HLA-DR 抗原の種類</v>
      </c>
      <c r="H2457" s="3" t="str">
        <f ca="1">IFERROR(__xludf.DUMMYFUNCTION("googletranslate(E2457,""en"",""ja"")"),"生物学的標本におけるヒト白血球抗原のタイプ、クラス II、抗原 D 関連 (HLA-DR) の同定。")</f>
        <v>生物学的標本におけるヒト白血球抗原のタイプ、クラス II、抗原 D 関連 (HLA-DR) の同定。</v>
      </c>
      <c r="I2457" s="3" t="str">
        <f ca="1">IFERROR(__xludf.DUMMYFUNCTION("googletranslate(F2457,""en"",""ja"")"),"HLA-DR 抗原の種類")</f>
        <v>HLA-DR 抗原の種類</v>
      </c>
    </row>
    <row r="2458" spans="1:9" ht="30">
      <c r="A2458" s="3" t="s">
        <v>6</v>
      </c>
      <c r="B2458" s="3" t="s">
        <v>10225</v>
      </c>
      <c r="C2458" s="3" t="s">
        <v>10226</v>
      </c>
      <c r="D2458" s="3" t="s">
        <v>10227</v>
      </c>
      <c r="E2458" s="3" t="s">
        <v>10228</v>
      </c>
      <c r="F2458" s="3" t="s">
        <v>10229</v>
      </c>
      <c r="G2458" s="3" t="str">
        <f ca="1">IFERROR(__xludf.DUMMYFUNCTION("googletranslate(D2458,""en"",""ja"")"),"HLA DR ベータ抗原; HLA-DR ベータ抗原")</f>
        <v>HLA DR ベータ抗原; HLA-DR ベータ抗原</v>
      </c>
      <c r="H2458" s="3" t="str">
        <f ca="1">IFERROR(__xludf.DUMMYFUNCTION("googletranslate(E2458,""en"",""ja"")"),"生物学的検体中の総 HLA DR ベータ抗原の測定。")</f>
        <v>生物学的検体中の総 HLA DR ベータ抗原の測定。</v>
      </c>
      <c r="I2458" s="3" t="str">
        <f ca="1">IFERROR(__xludf.DUMMYFUNCTION("googletranslate(F2458,""en"",""ja"")"),"HLA DR ベータ組織適合性抗原測定")</f>
        <v>HLA DR ベータ組織適合性抗原測定</v>
      </c>
    </row>
    <row r="2459" spans="1:9" ht="30">
      <c r="A2459" s="3" t="s">
        <v>6</v>
      </c>
      <c r="B2459" s="3" t="s">
        <v>10230</v>
      </c>
      <c r="C2459" s="3" t="s">
        <v>10231</v>
      </c>
      <c r="D2459" s="3" t="s">
        <v>10231</v>
      </c>
      <c r="E2459" s="3" t="s">
        <v>10232</v>
      </c>
      <c r="F2459" s="3" t="s">
        <v>10233</v>
      </c>
      <c r="G2459" s="3" t="str">
        <f ca="1">IFERROR(__xludf.DUMMYFUNCTION("googletranslate(D2459,""en"",""ja"")"),"HLA DR ベータ 1 抗原")</f>
        <v>HLA DR ベータ 1 抗原</v>
      </c>
      <c r="H2459" s="3" t="str">
        <f ca="1">IFERROR(__xludf.DUMMYFUNCTION("googletranslate(E2459,""en"",""ja"")"),"生物学的標本中の HLA DR ベータ 1 抗原の測定。")</f>
        <v>生物学的標本中の HLA DR ベータ 1 抗原の測定。</v>
      </c>
      <c r="I2459" s="3" t="str">
        <f ca="1">IFERROR(__xludf.DUMMYFUNCTION("googletranslate(F2459,""en"",""ja"")"),"HLA DR Beta1 組織適合性抗原測定")</f>
        <v>HLA DR Beta1 組織適合性抗原測定</v>
      </c>
    </row>
    <row r="2460" spans="1:9" ht="30">
      <c r="A2460" s="3" t="s">
        <v>6</v>
      </c>
      <c r="B2460" s="3" t="s">
        <v>10234</v>
      </c>
      <c r="C2460" s="3" t="s">
        <v>10235</v>
      </c>
      <c r="D2460" s="3" t="s">
        <v>10236</v>
      </c>
      <c r="E2460" s="3" t="s">
        <v>10237</v>
      </c>
      <c r="F2460" s="3" t="s">
        <v>10238</v>
      </c>
      <c r="G2460" s="3" t="str">
        <f ca="1">IFERROR(__xludf.DUMMYFUNCTION("googletranslate(D2460,""en"",""ja"")"),"HLA DR ベータ 2 抗原; HLA-DR ベータ 2 抗原")</f>
        <v>HLA DR ベータ 2 抗原; HLA-DR ベータ 2 抗原</v>
      </c>
      <c r="H2460" s="3" t="str">
        <f ca="1">IFERROR(__xludf.DUMMYFUNCTION("googletranslate(E2460,""en"",""ja"")"),"生物学的標本中の HLA DR ベータ 2 抗原の測定。")</f>
        <v>生物学的標本中の HLA DR ベータ 2 抗原の測定。</v>
      </c>
      <c r="I2460" s="3" t="str">
        <f ca="1">IFERROR(__xludf.DUMMYFUNCTION("googletranslate(F2460,""en"",""ja"")"),"HLA DR ベータ 2 組織適合性抗原測定")</f>
        <v>HLA DR ベータ 2 組織適合性抗原測定</v>
      </c>
    </row>
    <row r="2461" spans="1:9" ht="30">
      <c r="A2461" s="3" t="s">
        <v>6</v>
      </c>
      <c r="B2461" s="3" t="s">
        <v>10239</v>
      </c>
      <c r="C2461" s="3" t="s">
        <v>10240</v>
      </c>
      <c r="D2461" s="3" t="s">
        <v>10241</v>
      </c>
      <c r="E2461" s="3" t="s">
        <v>10242</v>
      </c>
      <c r="F2461" s="3" t="s">
        <v>10243</v>
      </c>
      <c r="G2461" s="3" t="str">
        <f ca="1">IFERROR(__xludf.DUMMYFUNCTION("googletranslate(D2461,""en"",""ja"")"),"HLA DR ベータ 3 抗原; HLA-DR ベータ 3 抗原")</f>
        <v>HLA DR ベータ 3 抗原; HLA-DR ベータ 3 抗原</v>
      </c>
      <c r="H2461" s="3" t="str">
        <f ca="1">IFERROR(__xludf.DUMMYFUNCTION("googletranslate(E2461,""en"",""ja"")"),"生物学的標本中の HLA DR ベータ 3 抗原の測定。")</f>
        <v>生物学的標本中の HLA DR ベータ 3 抗原の測定。</v>
      </c>
      <c r="I2461" s="3" t="str">
        <f ca="1">IFERROR(__xludf.DUMMYFUNCTION("googletranslate(F2461,""en"",""ja"")"),"HLA DR Beta 3 組織適合性抗原測定")</f>
        <v>HLA DR Beta 3 組織適合性抗原測定</v>
      </c>
    </row>
    <row r="2462" spans="1:9" ht="30">
      <c r="A2462" s="3" t="s">
        <v>6</v>
      </c>
      <c r="B2462" s="3" t="s">
        <v>10244</v>
      </c>
      <c r="C2462" s="3" t="s">
        <v>10245</v>
      </c>
      <c r="D2462" s="3" t="s">
        <v>10246</v>
      </c>
      <c r="E2462" s="3" t="s">
        <v>10247</v>
      </c>
      <c r="F2462" s="3" t="s">
        <v>10248</v>
      </c>
      <c r="G2462" s="3" t="str">
        <f ca="1">IFERROR(__xludf.DUMMYFUNCTION("googletranslate(D2462,""en"",""ja"")"),"HLA DR ベータ 4 抗原; HLA-DR ベータ 4 抗原")</f>
        <v>HLA DR ベータ 4 抗原; HLA-DR ベータ 4 抗原</v>
      </c>
      <c r="H2462" s="3" t="str">
        <f ca="1">IFERROR(__xludf.DUMMYFUNCTION("googletranslate(E2462,""en"",""ja"")"),"生物学的標本中の HLA DR ベータ 4 抗原の測定。")</f>
        <v>生物学的標本中の HLA DR ベータ 4 抗原の測定。</v>
      </c>
      <c r="I2462" s="3" t="str">
        <f ca="1">IFERROR(__xludf.DUMMYFUNCTION("googletranslate(F2462,""en"",""ja"")"),"HLA DR ベータ 4 組織適合性抗原測定")</f>
        <v>HLA DR ベータ 4 組織適合性抗原測定</v>
      </c>
    </row>
    <row r="2463" spans="1:9" ht="30">
      <c r="A2463" s="3" t="s">
        <v>6</v>
      </c>
      <c r="B2463" s="3" t="s">
        <v>10249</v>
      </c>
      <c r="C2463" s="3" t="s">
        <v>10250</v>
      </c>
      <c r="D2463" s="3" t="s">
        <v>10251</v>
      </c>
      <c r="E2463" s="3" t="s">
        <v>10252</v>
      </c>
      <c r="F2463" s="3" t="s">
        <v>10253</v>
      </c>
      <c r="G2463" s="3" t="str">
        <f ca="1">IFERROR(__xludf.DUMMYFUNCTION("googletranslate(D2463,""en"",""ja"")"),"HLA DR ベータ 5 抗原; HLA-DR ベータ 5 抗原")</f>
        <v>HLA DR ベータ 5 抗原; HLA-DR ベータ 5 抗原</v>
      </c>
      <c r="H2463" s="3" t="str">
        <f ca="1">IFERROR(__xludf.DUMMYFUNCTION("googletranslate(E2463,""en"",""ja"")"),"生物学的標本中の HLA DR ベータ 5 抗原の測定。")</f>
        <v>生物学的標本中の HLA DR ベータ 5 抗原の測定。</v>
      </c>
      <c r="I2463" s="3" t="str">
        <f ca="1">IFERROR(__xludf.DUMMYFUNCTION("googletranslate(F2463,""en"",""ja"")"),"HLA DR ベータ 5 組織適合性抗原測定")</f>
        <v>HLA DR ベータ 5 組織適合性抗原測定</v>
      </c>
    </row>
    <row r="2464" spans="1:9" ht="45">
      <c r="A2464" s="3" t="s">
        <v>6</v>
      </c>
      <c r="B2464" s="3" t="s">
        <v>10254</v>
      </c>
      <c r="C2464" s="3" t="s">
        <v>10255</v>
      </c>
      <c r="D2464" s="3" t="s">
        <v>10255</v>
      </c>
      <c r="E2464" s="3" t="s">
        <v>10256</v>
      </c>
      <c r="F2464" s="3" t="s">
        <v>10255</v>
      </c>
      <c r="G2464" s="3" t="str">
        <f ca="1">IFERROR(__xludf.DUMMYFUNCTION("googletranslate(D2464,""en"",""ja"")"),"HLA-DR 不一致数")</f>
        <v>HLA-DR 不一致数</v>
      </c>
      <c r="H2464" s="3" t="str">
        <f ca="1">IFERROR(__xludf.DUMMYFUNCTION("googletranslate(E2464,""en"",""ja"")"),"ヒト白血球抗原、クラス II、抗原 D 関連 (HLA-DR) について、レシピエントとドナーの間で不一致の数を決定するための測定。")</f>
        <v>ヒト白血球抗原、クラス II、抗原 D 関連 (HLA-DR) について、レシピエントとドナーの間で不一致の数を決定するための測定。</v>
      </c>
      <c r="I2464" s="3" t="str">
        <f ca="1">IFERROR(__xludf.DUMMYFUNCTION("googletranslate(F2464,""en"",""ja"")"),"HLA-DR 不一致数")</f>
        <v>HLA-DR 不一致数</v>
      </c>
    </row>
    <row r="2465" spans="1:9" ht="30">
      <c r="A2465" s="3" t="s">
        <v>103</v>
      </c>
      <c r="B2465" s="3" t="s">
        <v>10257</v>
      </c>
      <c r="C2465" s="3" t="s">
        <v>10258</v>
      </c>
      <c r="D2465" s="3" t="s">
        <v>10258</v>
      </c>
      <c r="E2465" s="3" t="s">
        <v>10259</v>
      </c>
      <c r="F2465" s="3" t="s">
        <v>10260</v>
      </c>
      <c r="G2465" s="3" t="str">
        <f ca="1">IFERROR(__xludf.DUMMYFUNCTION("googletranslate(D2465,""en"",""ja"")"),"HLADR 式")</f>
        <v>HLADR 式</v>
      </c>
      <c r="H2465" s="3" t="str">
        <f ca="1">IFERROR(__xludf.DUMMYFUNCTION("googletranslate(E2465,""en"",""ja"")"),"生物学的標本における細胞の HLA-DR 発現の測定。")</f>
        <v>生物学的標本における細胞の HLA-DR 発現の測定。</v>
      </c>
      <c r="I2465" s="3" t="str">
        <f ca="1">IFERROR(__xludf.DUMMYFUNCTION("googletranslate(F2465,""en"",""ja"")"),"HLA-DR細胞表面発現測定")</f>
        <v>HLA-DR細胞表面発現測定</v>
      </c>
    </row>
    <row r="2466" spans="1:9" ht="45">
      <c r="A2466" s="3" t="s">
        <v>180</v>
      </c>
      <c r="B2466" s="3" t="s">
        <v>10261</v>
      </c>
      <c r="C2466" s="3" t="s">
        <v>10262</v>
      </c>
      <c r="D2466" s="3" t="s">
        <v>10262</v>
      </c>
      <c r="E2466" s="3" t="s">
        <v>10263</v>
      </c>
      <c r="F2466" s="3" t="s">
        <v>10264</v>
      </c>
      <c r="G2466" s="3" t="str">
        <f ca="1">IFERROR(__xludf.DUMMYFUNCTION("googletranslate(D2466,""en"",""ja"")"),"HLA クラス II パネル反応性抗体")</f>
        <v>HLA クラス II パネル反応性抗体</v>
      </c>
      <c r="H2466" s="3" t="str">
        <f ca="1">IFERROR(__xludf.DUMMYFUNCTION("googletranslate(E2466,""en"",""ja"")"),"生物学的検体中のパネル反応性抗体（宿主免疫細胞とドナー間の反応性）ヒト白血球抗原クラス II の測定。")</f>
        <v>生物学的検体中のパネル反応性抗体（宿主免疫細胞とドナー間の反応性）ヒト白血球抗原クラス II の測定。</v>
      </c>
      <c r="I2466" s="3" t="str">
        <f ca="1">IFERROR(__xludf.DUMMYFUNCTION("googletranslate(F2466,""en"",""ja"")"),"HLAクラスIIパネル反応性抗体測定")</f>
        <v>HLAクラスIIパネル反応性抗体測定</v>
      </c>
    </row>
    <row r="2467" spans="1:9" ht="45">
      <c r="A2467" s="3" t="s">
        <v>180</v>
      </c>
      <c r="B2467" s="3" t="s">
        <v>10265</v>
      </c>
      <c r="C2467" s="3" t="s">
        <v>10266</v>
      </c>
      <c r="D2467" s="3" t="s">
        <v>10266</v>
      </c>
      <c r="E2467" s="3" t="s">
        <v>10267</v>
      </c>
      <c r="F2467" s="3" t="s">
        <v>10268</v>
      </c>
      <c r="G2467" s="3" t="str">
        <f ca="1">IFERROR(__xludf.DUMMYFUNCTION("googletranslate(D2467,""en"",""ja"")"),"HLA クラス I パネル反応性抗体")</f>
        <v>HLA クラス I パネル反応性抗体</v>
      </c>
      <c r="H2467" s="3" t="str">
        <f ca="1">IFERROR(__xludf.DUMMYFUNCTION("googletranslate(E2467,""en"",""ja"")"),"生物学的検体中のパネル反応性抗体（宿主免疫細胞とドナー間の反応性）ヒト白血球抗原クラス I の測定。")</f>
        <v>生物学的検体中のパネル反応性抗体（宿主免疫細胞とドナー間の反応性）ヒト白血球抗原クラス I の測定。</v>
      </c>
      <c r="I2467" s="3" t="str">
        <f ca="1">IFERROR(__xludf.DUMMYFUNCTION("googletranslate(F2467,""en"",""ja"")"),"HLAクラスIパネル反応性抗体測定")</f>
        <v>HLAクラスIパネル反応性抗体測定</v>
      </c>
    </row>
    <row r="2468" spans="1:9" ht="45">
      <c r="A2468" s="3" t="s">
        <v>6</v>
      </c>
      <c r="B2468" s="3" t="s">
        <v>10269</v>
      </c>
      <c r="C2468" s="3" t="s">
        <v>10270</v>
      </c>
      <c r="D2468" s="3" t="s">
        <v>10270</v>
      </c>
      <c r="E2468" s="3" t="s">
        <v>10271</v>
      </c>
      <c r="F2468" s="3" t="s">
        <v>10270</v>
      </c>
      <c r="G2468" s="3" t="str">
        <f ca="1">IFERROR(__xludf.DUMMYFUNCTION("googletranslate(D2468,""en"",""ja"")"),"HLA 不一致数")</f>
        <v>HLA 不一致数</v>
      </c>
      <c r="H2468" s="3" t="str">
        <f ca="1">IFERROR(__xludf.DUMMYFUNCTION("googletranslate(E2468,""en"",""ja"")"),"レシピエントとドナーの間のヒト白血球抗原 (HLA) の不一致の数を決定するための測定。")</f>
        <v>レシピエントとドナーの間のヒト白血球抗原 (HLA) の不一致の数を決定するための測定。</v>
      </c>
      <c r="I2468" s="3" t="str">
        <f ca="1">IFERROR(__xludf.DUMMYFUNCTION("googletranslate(F2468,""en"",""ja"")"),"HLA 不一致数")</f>
        <v>HLA 不一致数</v>
      </c>
    </row>
    <row r="2469" spans="1:9" ht="30">
      <c r="A2469" s="3" t="s">
        <v>6</v>
      </c>
      <c r="B2469" s="3" t="s">
        <v>10272</v>
      </c>
      <c r="C2469" s="3" t="s">
        <v>10273</v>
      </c>
      <c r="D2469" s="3" t="s">
        <v>10273</v>
      </c>
      <c r="E2469" s="3" t="s">
        <v>10274</v>
      </c>
      <c r="F2469" s="3" t="s">
        <v>10275</v>
      </c>
      <c r="G2469" s="3" t="str">
        <f ca="1">IFERROR(__xludf.DUMMYFUNCTION("googletranslate(D2469,""en"",""ja"")"),"ハラゼパム")</f>
        <v>ハラゼパム</v>
      </c>
      <c r="H2469" s="3" t="str">
        <f ca="1">IFERROR(__xludf.DUMMYFUNCTION("googletranslate(E2469,""en"",""ja"")"),"生物学的標本中に存在するハラゼパムの測定。")</f>
        <v>生物学的標本中に存在するハラゼパムの測定。</v>
      </c>
      <c r="I2469" s="3" t="str">
        <f ca="1">IFERROR(__xludf.DUMMYFUNCTION("googletranslate(F2469,""en"",""ja"")"),"ハラゼパムの測定")</f>
        <v>ハラゼパムの測定</v>
      </c>
    </row>
    <row r="2470" spans="1:9" ht="30">
      <c r="A2470" s="3" t="s">
        <v>6</v>
      </c>
      <c r="B2470" s="3" t="s">
        <v>10276</v>
      </c>
      <c r="C2470" s="3" t="s">
        <v>10277</v>
      </c>
      <c r="D2470" s="3" t="s">
        <v>10277</v>
      </c>
      <c r="E2470" s="3" t="s">
        <v>10278</v>
      </c>
      <c r="F2470" s="3" t="s">
        <v>10279</v>
      </c>
      <c r="G2470" s="3" t="str">
        <f ca="1">IFERROR(__xludf.DUMMYFUNCTION("googletranslate(D2470,""en"",""ja"")"),"ヘモシデリン")</f>
        <v>ヘモシデリン</v>
      </c>
      <c r="H2470" s="3" t="str">
        <f ca="1">IFERROR(__xludf.DUMMYFUNCTION("googletranslate(E2470,""en"",""ja"")"),"生物学的標本中のヘモジデリン複合体の測定。")</f>
        <v>生物学的標本中のヘモジデリン複合体の測定。</v>
      </c>
      <c r="I2470" s="3" t="str">
        <f ca="1">IFERROR(__xludf.DUMMYFUNCTION("googletranslate(F2470,""en"",""ja"")"),"ヘモシデリン測定")</f>
        <v>ヘモシデリン測定</v>
      </c>
    </row>
    <row r="2471" spans="1:9" ht="30">
      <c r="A2471" s="3" t="s">
        <v>142</v>
      </c>
      <c r="B2471" s="3" t="s">
        <v>10280</v>
      </c>
      <c r="C2471" s="3" t="s">
        <v>10281</v>
      </c>
      <c r="D2471" s="3" t="s">
        <v>10281</v>
      </c>
      <c r="E2471" s="3" t="s">
        <v>10282</v>
      </c>
      <c r="F2471" s="3" t="s">
        <v>10281</v>
      </c>
      <c r="G2471" s="3" t="str">
        <f ca="1">IFERROR(__xludf.DUMMYFUNCTION("googletranslate(D2471,""en"",""ja"")"),"月経期間インジケーターあり")</f>
        <v>月経期間インジケーターあり</v>
      </c>
      <c r="H2471" s="3" t="str">
        <f ca="1">IFERROR(__xludf.DUMMYFUNCTION("googletranslate(E2471,""en"",""ja"")"),"対象者に月経周期があるかどうかの指標。")</f>
        <v>対象者に月経周期があるかどうかの指標。</v>
      </c>
      <c r="I2471" s="3" t="str">
        <f ca="1">IFERROR(__xludf.DUMMYFUNCTION("googletranslate(F2471,""en"",""ja"")"),"月経期間インジケーターあり")</f>
        <v>月経期間インジケーターあり</v>
      </c>
    </row>
    <row r="2472" spans="1:9" ht="120">
      <c r="A2472" s="3" t="s">
        <v>6</v>
      </c>
      <c r="B2472" s="3" t="s">
        <v>10283</v>
      </c>
      <c r="C2472" s="3" t="s">
        <v>10284</v>
      </c>
      <c r="D2472" s="3" t="s">
        <v>10285</v>
      </c>
      <c r="E2472" s="3" t="s">
        <v>10286</v>
      </c>
      <c r="F2472" s="3" t="s">
        <v>10287</v>
      </c>
      <c r="G2472" s="3" t="str">
        <f ca="1">IFERROR(__xludf.DUMMYFUNCTION("googletranslate(D2472,""en"",""ja"")"),"(2R)-2-アセトアミド-3-((4-ヒドロキシブタン-2-イル)チオ)プロパン酸; (2R)-HMPMA; 3-ヒドロキシ-1-メチル-プロピルメルカプチュレート; 3-ヒドロキシ-1-メチル-プロピルメルカプツール酸; 3-ヒドロキシ-1-メチル-プロピルメルカプツル酸; HMPMA-1")</f>
        <v>(2R)-2-アセトアミド-3-((4-ヒドロキシブタン-2-イル)チオ)プロパン酸; (2R)-HMPMA; 3-ヒドロキシ-1-メチル-プロピルメルカプチュレート; 3-ヒドロキシ-1-メチル-プロピルメルカプツール酸; 3-ヒドロキシ-1-メチル-プロピルメルカプツル酸; HMPMA-1</v>
      </c>
      <c r="H2472" s="3" t="str">
        <f ca="1">IFERROR(__xludf.DUMMYFUNCTION("googletranslate(E2472,""en"",""ja"")"),"試料中の 3-ヒドロキシ-1-メチル-プロピルメルカプツール酸の測定。")</f>
        <v>試料中の 3-ヒドロキシ-1-メチル-プロピルメルカプツール酸の測定。</v>
      </c>
      <c r="I2472" s="3" t="str">
        <f ca="1">IFERROR(__xludf.DUMMYFUNCTION("googletranslate(F2472,""en"",""ja"")"),"3-ヒドロキシ-1-メチル-プロピルメルカプツール酸の測定")</f>
        <v>3-ヒドロキシ-1-メチル-プロピルメルカプツール酸の測定</v>
      </c>
    </row>
    <row r="2473" spans="1:9" ht="30">
      <c r="A2473" s="3" t="s">
        <v>67</v>
      </c>
      <c r="B2473" s="3" t="s">
        <v>10288</v>
      </c>
      <c r="C2473" s="3" t="s">
        <v>10289</v>
      </c>
      <c r="D2473" s="3" t="s">
        <v>10289</v>
      </c>
      <c r="E2473" s="3" t="s">
        <v>10290</v>
      </c>
      <c r="F2473" s="3" t="s">
        <v>10291</v>
      </c>
      <c r="G2473" s="3" t="str">
        <f ca="1">IFERROR(__xludf.DUMMYFUNCTION("googletranslate(D2473,""en"",""ja"")"),"ヒトメタニューモウイルス")</f>
        <v>ヒトメタニューモウイルス</v>
      </c>
      <c r="H2473" s="3" t="str">
        <f ca="1">IFERROR(__xludf.DUMMYFUNCTION("googletranslate(E2473,""en"",""ja"")"),"生物学的標本中のヒトメタニューモウイルスの測定。")</f>
        <v>生物学的標本中のヒトメタニューモウイルスの測定。</v>
      </c>
      <c r="I2473" s="3" t="str">
        <f ca="1">IFERROR(__xludf.DUMMYFUNCTION("googletranslate(F2473,""en"",""ja"")"),"ヒトメタニューモウイルス測定")</f>
        <v>ヒトメタニューモウイルス測定</v>
      </c>
    </row>
    <row r="2474" spans="1:9" ht="30">
      <c r="A2474" s="3" t="s">
        <v>67</v>
      </c>
      <c r="B2474" s="3" t="s">
        <v>10292</v>
      </c>
      <c r="C2474" s="3" t="s">
        <v>10293</v>
      </c>
      <c r="D2474" s="3" t="s">
        <v>10293</v>
      </c>
      <c r="E2474" s="3" t="s">
        <v>10294</v>
      </c>
      <c r="F2474" s="3" t="s">
        <v>10295</v>
      </c>
      <c r="G2474" s="3" t="str">
        <f ca="1">IFERROR(__xludf.DUMMYFUNCTION("googletranslate(D2474,""en"",""ja"")"),"ヒトメタニューモウイルス抗原")</f>
        <v>ヒトメタニューモウイルス抗原</v>
      </c>
      <c r="H2474" s="3" t="str">
        <f ca="1">IFERROR(__xludf.DUMMYFUNCTION("googletranslate(E2474,""en"",""ja"")"),"生物学的標本中のヒトメタニューモウイルス抗原の測定。")</f>
        <v>生物学的標本中のヒトメタニューモウイルス抗原の測定。</v>
      </c>
      <c r="I2474" s="3" t="str">
        <f ca="1">IFERROR(__xludf.DUMMYFUNCTION("googletranslate(F2474,""en"",""ja"")"),"ヒトメタニューモウイルス抗原測定")</f>
        <v>ヒトメタニューモウイルス抗原測定</v>
      </c>
    </row>
    <row r="2475" spans="1:9" ht="30">
      <c r="A2475" s="3" t="s">
        <v>67</v>
      </c>
      <c r="B2475" s="3" t="s">
        <v>10296</v>
      </c>
      <c r="C2475" s="3" t="s">
        <v>10297</v>
      </c>
      <c r="D2475" s="3" t="s">
        <v>10297</v>
      </c>
      <c r="E2475" s="3" t="s">
        <v>10298</v>
      </c>
      <c r="F2475" s="3" t="s">
        <v>10299</v>
      </c>
      <c r="G2475" s="3" t="str">
        <f ca="1">IFERROR(__xludf.DUMMYFUNCTION("googletranslate(D2475,""en"",""ja"")"),"ヒトメタニューモウイルス核酸")</f>
        <v>ヒトメタニューモウイルス核酸</v>
      </c>
      <c r="H2475" s="3" t="str">
        <f ca="1">IFERROR(__xludf.DUMMYFUNCTION("googletranslate(E2475,""en"",""ja"")"),"生物学的標本中のヒトメタニューモウイルス核酸の測定。")</f>
        <v>生物学的標本中のヒトメタニューモウイルス核酸の測定。</v>
      </c>
      <c r="I2475" s="3" t="str">
        <f ca="1">IFERROR(__xludf.DUMMYFUNCTION("googletranslate(F2475,""en"",""ja"")"),"ヒトメタニューモウイルスの核酸測定")</f>
        <v>ヒトメタニューモウイルスの核酸測定</v>
      </c>
    </row>
    <row r="2476" spans="1:9" ht="30">
      <c r="A2476" s="3" t="s">
        <v>67</v>
      </c>
      <c r="B2476" s="3" t="s">
        <v>10300</v>
      </c>
      <c r="C2476" s="3" t="s">
        <v>10301</v>
      </c>
      <c r="D2476" s="3" t="s">
        <v>10301</v>
      </c>
      <c r="E2476" s="3" t="s">
        <v>10302</v>
      </c>
      <c r="F2476" s="3" t="s">
        <v>10303</v>
      </c>
      <c r="G2476" s="3" t="str">
        <f ca="1">IFERROR(__xludf.DUMMYFUNCTION("googletranslate(D2476,""en"",""ja"")"),"ヒトメタニューモウイルス RNA")</f>
        <v>ヒトメタニューモウイルス RNA</v>
      </c>
      <c r="H2476" s="3" t="str">
        <f ca="1">IFERROR(__xludf.DUMMYFUNCTION("googletranslate(E2476,""en"",""ja"")"),"生物学的標本中のヒトメタニューモウイルス RNA の測定。")</f>
        <v>生物学的標本中のヒトメタニューモウイルス RNA の測定。</v>
      </c>
      <c r="I2476" s="3" t="str">
        <f ca="1">IFERROR(__xludf.DUMMYFUNCTION("googletranslate(F2476,""en"",""ja"")"),"ヒトメタニューモウイルスRNA測定")</f>
        <v>ヒトメタニューモウイルスRNA測定</v>
      </c>
    </row>
    <row r="2477" spans="1:9" ht="30">
      <c r="A2477" s="3" t="s">
        <v>1557</v>
      </c>
      <c r="B2477" s="3" t="s">
        <v>10304</v>
      </c>
      <c r="C2477" s="3" t="s">
        <v>10305</v>
      </c>
      <c r="D2477" s="3" t="s">
        <v>10306</v>
      </c>
      <c r="E2477" s="3" t="s">
        <v>10307</v>
      </c>
      <c r="F2477" s="3" t="s">
        <v>10308</v>
      </c>
      <c r="G2477" s="3" t="str">
        <f ca="1">IFERROR(__xludf.DUMMYFUNCTION("googletranslate(D2477,""en"",""ja"")"),"手の動きの距離;手の動きの距離")</f>
        <v>手の動きの距離;手の動きの距離</v>
      </c>
      <c r="H2477" s="3" t="str">
        <f ca="1">IFERROR(__xludf.DUMMYFUNCTION("googletranslate(E2477,""en"",""ja"")"),"被験者が手の動きを知覚できる最も遠い距離の評価。")</f>
        <v>被験者が手の動きを知覚できる最も遠い距離の評価。</v>
      </c>
      <c r="I2477" s="3" t="str">
        <f ca="1">IFERROR(__xludf.DUMMYFUNCTION("googletranslate(F2477,""en"",""ja"")"),"手の動きのテスト")</f>
        <v>手の動きのテスト</v>
      </c>
    </row>
    <row r="2478" spans="1:9" ht="30">
      <c r="A2478" s="3" t="s">
        <v>1557</v>
      </c>
      <c r="B2478" s="3" t="s">
        <v>10309</v>
      </c>
      <c r="C2478" s="3" t="s">
        <v>10310</v>
      </c>
      <c r="D2478" s="3" t="s">
        <v>10311</v>
      </c>
      <c r="E2478" s="3" t="s">
        <v>10312</v>
      </c>
      <c r="F2478" s="3" t="s">
        <v>10313</v>
      </c>
      <c r="G2478" s="3" t="str">
        <f ca="1">IFERROR(__xludf.DUMMYFUNCTION("googletranslate(D2478,""en"",""ja"")"),"手の動きインジケーター;手の動きのインジケーター")</f>
        <v>手の動きインジケーター;手の動きのインジケーター</v>
      </c>
      <c r="H2478" s="3" t="str">
        <f ca="1">IFERROR(__xludf.DUMMYFUNCTION("googletranslate(E2478,""en"",""ja"")"),"被験者が事前に指定された距離で手の動きを知覚できるかどうかを示す指標。")</f>
        <v>被験者が事前に指定された距離で手の動きを知覚できるかどうかを示す指標。</v>
      </c>
      <c r="I2478" s="3" t="str">
        <f ca="1">IFERROR(__xludf.DUMMYFUNCTION("googletranslate(F2478,""en"",""ja"")"),"ハンドモーションインジケーター")</f>
        <v>ハンドモーションインジケーター</v>
      </c>
    </row>
    <row r="2479" spans="1:9" ht="30">
      <c r="A2479" s="3" t="s">
        <v>6</v>
      </c>
      <c r="B2479" s="3" t="s">
        <v>10314</v>
      </c>
      <c r="C2479" s="3" t="s">
        <v>10315</v>
      </c>
      <c r="D2479" s="3" t="s">
        <v>10315</v>
      </c>
      <c r="E2479" s="3" t="s">
        <v>10316</v>
      </c>
      <c r="F2479" s="3" t="s">
        <v>10317</v>
      </c>
      <c r="G2479" s="3" t="str">
        <f ca="1">IFERROR(__xludf.DUMMYFUNCTION("googletranslate(D2479,""en"",""ja"")"),"ホモシトルリン")</f>
        <v>ホモシトルリン</v>
      </c>
      <c r="H2479" s="3" t="str">
        <f ca="1">IFERROR(__xludf.DUMMYFUNCTION("googletranslate(E2479,""en"",""ja"")"),"生物学的標本中のホモシトルリンの測定。")</f>
        <v>生物学的標本中のホモシトルリンの測定。</v>
      </c>
      <c r="I2479" s="3" t="str">
        <f ca="1">IFERROR(__xludf.DUMMYFUNCTION("googletranslate(F2479,""en"",""ja"")"),"ホモシトルリン測定")</f>
        <v>ホモシトルリン測定</v>
      </c>
    </row>
    <row r="2480" spans="1:9" ht="30">
      <c r="A2480" s="3" t="s">
        <v>6</v>
      </c>
      <c r="B2480" s="3" t="s">
        <v>10318</v>
      </c>
      <c r="C2480" s="3" t="s">
        <v>10319</v>
      </c>
      <c r="D2480" s="3" t="s">
        <v>10319</v>
      </c>
      <c r="E2480" s="3" t="s">
        <v>10320</v>
      </c>
      <c r="F2480" s="3" t="s">
        <v>10321</v>
      </c>
      <c r="G2480" s="3" t="str">
        <f ca="1">IFERROR(__xludf.DUMMYFUNCTION("googletranslate(D2480,""en"",""ja"")"),"ホモシステイン")</f>
        <v>ホモシステイン</v>
      </c>
      <c r="H2480" s="3" t="str">
        <f ca="1">IFERROR(__xludf.DUMMYFUNCTION("googletranslate(E2480,""en"",""ja"")"),"生物学的標本中のホモシステインアミノ酸の測定。")</f>
        <v>生物学的標本中のホモシステインアミノ酸の測定。</v>
      </c>
      <c r="I2480" s="3" t="str">
        <f ca="1">IFERROR(__xludf.DUMMYFUNCTION("googletranslate(F2480,""en"",""ja"")"),"ホモシステイン酸の測定")</f>
        <v>ホモシステイン酸の測定</v>
      </c>
    </row>
    <row r="2481" spans="1:9" ht="45">
      <c r="A2481" s="3" t="s">
        <v>6</v>
      </c>
      <c r="B2481" s="3" t="s">
        <v>10322</v>
      </c>
      <c r="C2481" s="3" t="s">
        <v>10323</v>
      </c>
      <c r="D2481" s="3" t="s">
        <v>10323</v>
      </c>
      <c r="E2481" s="3" t="s">
        <v>10324</v>
      </c>
      <c r="F2481" s="3" t="s">
        <v>10325</v>
      </c>
      <c r="G2481" s="3" t="str">
        <f ca="1">IFERROR(__xludf.DUMMYFUNCTION("googletranslate(D2481,""en"",""ja"")"),"低色素赤血球/赤血球")</f>
        <v>低色素赤血球/赤血球</v>
      </c>
      <c r="H2481" s="3" t="str">
        <f ca="1">IFERROR(__xludf.DUMMYFUNCTION("googletranslate(E2481,""en"",""ja"")"),"生物学的標本の全赤血球に対する低色素赤血球の相対測定値 (比率またはパーセンテージ)。")</f>
        <v>生物学的標本の全赤血球に対する低色素赤血球の相対測定値 (比率またはパーセンテージ)。</v>
      </c>
      <c r="I2481" s="3" t="str">
        <f ca="1">IFERROR(__xludf.DUMMYFUNCTION("googletranslate(F2481,""en"",""ja"")"),"低色赤血球と赤血球の比率の測定")</f>
        <v>低色赤血球と赤血球の比率の測定</v>
      </c>
    </row>
    <row r="2482" spans="1:9" ht="30">
      <c r="A2482" s="3" t="s">
        <v>185</v>
      </c>
      <c r="B2482" s="3" t="s">
        <v>10326</v>
      </c>
      <c r="C2482" s="3" t="s">
        <v>10327</v>
      </c>
      <c r="D2482" s="3" t="s">
        <v>10327</v>
      </c>
      <c r="E2482" s="3" t="s">
        <v>10328</v>
      </c>
      <c r="F2482" s="3" t="s">
        <v>10329</v>
      </c>
      <c r="G2482" s="3" t="str">
        <f ca="1">IFERROR(__xludf.DUMMYFUNCTION("googletranslate(D2482,""en"",""ja"")"),"入院者数")</f>
        <v>入院者数</v>
      </c>
      <c r="H2482" s="3" t="str">
        <f ca="1">IFERROR(__xludf.DUMMYFUNCTION("googletranslate(E2482,""en"",""ja"")"),"その状態で発生した入院イベントの合計数。")</f>
        <v>その状態で発生した入院イベントの合計数。</v>
      </c>
      <c r="I2482" s="3" t="str">
        <f ca="1">IFERROR(__xludf.DUMMYFUNCTION("googletranslate(F2482,""en"",""ja"")"),"入院者数")</f>
        <v>入院者数</v>
      </c>
    </row>
    <row r="2483" spans="1:9" ht="60">
      <c r="A2483" s="3" t="s">
        <v>6</v>
      </c>
      <c r="B2483" s="3" t="s">
        <v>10330</v>
      </c>
      <c r="C2483" s="3" t="s">
        <v>10331</v>
      </c>
      <c r="D2483" s="3" t="s">
        <v>10331</v>
      </c>
      <c r="E2483" s="3" t="s">
        <v>10332</v>
      </c>
      <c r="F2483" s="3" t="s">
        <v>10333</v>
      </c>
      <c r="G2483" s="3" t="str">
        <f ca="1">IFERROR(__xludf.DUMMYFUNCTION("googletranslate(D2483,""en"",""ja"")"),"ハウエル・ジョリー・ボディーズ")</f>
        <v>ハウエル・ジョリー・ボディーズ</v>
      </c>
      <c r="H2483" s="3" t="str">
        <f ca="1">IFERROR(__xludf.DUMMYFUNCTION("googletranslate(E2483,""en"",""ja"")"),"生物学的標本中のハウエル・ジョリー小体（ライト染色で現れる、赤血球の体内にある球状で青黒い凝縮した DNA 封入体）の測定。")</f>
        <v>生物学的標本中のハウエル・ジョリー小体（ライト染色で現れる、赤血球の体内にある球状で青黒い凝縮した DNA 封入体）の測定。</v>
      </c>
      <c r="I2483" s="3" t="str">
        <f ca="1">IFERROR(__xludf.DUMMYFUNCTION("googletranslate(F2483,""en"",""ja"")"),"ハウエル・ジョリー身体測定")</f>
        <v>ハウエル・ジョリー身体測定</v>
      </c>
    </row>
    <row r="2484" spans="1:9" ht="45">
      <c r="A2484" s="3" t="s">
        <v>67</v>
      </c>
      <c r="B2484" s="3" t="s">
        <v>10334</v>
      </c>
      <c r="C2484" s="3" t="s">
        <v>10335</v>
      </c>
      <c r="D2484" s="3" t="s">
        <v>10335</v>
      </c>
      <c r="E2484" s="3" t="s">
        <v>10336</v>
      </c>
      <c r="F2484" s="3" t="s">
        <v>10337</v>
      </c>
      <c r="G2484" s="3" t="str">
        <f ca="1">IFERROR(__xludf.DUMMYFUNCTION("googletranslate(D2484,""en"",""ja"")"),"ヒトパラインフルエンザウイルス 1/2/3/4 RNA")</f>
        <v>ヒトパラインフルエンザウイルス 1/2/3/4 RNA</v>
      </c>
      <c r="H2484" s="3" t="str">
        <f ca="1">IFERROR(__xludf.DUMMYFUNCTION("googletranslate(E2484,""en"",""ja"")"),"生物学的検体中のヒトパラインフルエンザウイルス 1、2、3、および/または 4 の RNA の測定。")</f>
        <v>生物学的検体中のヒトパラインフルエンザウイルス 1、2、3、および/または 4 の RNA の測定。</v>
      </c>
      <c r="I2484" s="3" t="str">
        <f ca="1">IFERROR(__xludf.DUMMYFUNCTION("googletranslate(F2484,""en"",""ja"")"),"ヒトパラインフルエンザウイルス 1、2、3、および/または 4 の RNA 測定")</f>
        <v>ヒトパラインフルエンザウイルス 1、2、3、および/または 4 の RNA 測定</v>
      </c>
    </row>
    <row r="2485" spans="1:9" ht="45">
      <c r="A2485" s="3" t="s">
        <v>67</v>
      </c>
      <c r="B2485" s="3" t="s">
        <v>10338</v>
      </c>
      <c r="C2485" s="3" t="s">
        <v>10339</v>
      </c>
      <c r="D2485" s="3" t="s">
        <v>10339</v>
      </c>
      <c r="E2485" s="3" t="s">
        <v>10340</v>
      </c>
      <c r="F2485" s="3" t="s">
        <v>10341</v>
      </c>
      <c r="G2485" s="3" t="str">
        <f ca="1">IFERROR(__xludf.DUMMYFUNCTION("googletranslate(D2485,""en"",""ja"")"),"ヒトパラインフルエンザウイルス 1/2/3 抗原")</f>
        <v>ヒトパラインフルエンザウイルス 1/2/3 抗原</v>
      </c>
      <c r="H2485" s="3" t="str">
        <f ca="1">IFERROR(__xludf.DUMMYFUNCTION("googletranslate(E2485,""en"",""ja"")"),"生物学的検体中のヒトパラインフルエンザウイルス 1、2、および/または 3 抗原の測定。")</f>
        <v>生物学的検体中のヒトパラインフルエンザウイルス 1、2、および/または 3 抗原の測定。</v>
      </c>
      <c r="I2485" s="3" t="str">
        <f ca="1">IFERROR(__xludf.DUMMYFUNCTION("googletranslate(F2485,""en"",""ja"")"),"ヒトパラインフルエンザウイルス 1、2、および/または 3 抗原の測定")</f>
        <v>ヒトパラインフルエンザウイルス 1、2、および/または 3 抗原の測定</v>
      </c>
    </row>
    <row r="2486" spans="1:9" ht="45">
      <c r="A2486" s="3" t="s">
        <v>67</v>
      </c>
      <c r="B2486" s="3" t="s">
        <v>10342</v>
      </c>
      <c r="C2486" s="3" t="s">
        <v>10343</v>
      </c>
      <c r="D2486" s="3" t="s">
        <v>10343</v>
      </c>
      <c r="E2486" s="3" t="s">
        <v>10344</v>
      </c>
      <c r="F2486" s="3" t="s">
        <v>10345</v>
      </c>
      <c r="G2486" s="3" t="str">
        <f ca="1">IFERROR(__xludf.DUMMYFUNCTION("googletranslate(D2486,""en"",""ja"")"),"ヒトパラインフルエンザウイルス 1/2/3 RNA")</f>
        <v>ヒトパラインフルエンザウイルス 1/2/3 RNA</v>
      </c>
      <c r="H2486" s="3" t="str">
        <f ca="1">IFERROR(__xludf.DUMMYFUNCTION("googletranslate(E2486,""en"",""ja"")"),"生物学的検体中のヒトパラインフルエンザウイルス 1、2、および/または 3 からの RNA の測定。")</f>
        <v>生物学的検体中のヒトパラインフルエンザウイルス 1、2、および/または 3 からの RNA の測定。</v>
      </c>
      <c r="I2486" s="3" t="str">
        <f ca="1">IFERROR(__xludf.DUMMYFUNCTION("googletranslate(F2486,""en"",""ja"")"),"ヒトパラインフルエンザウイルス 1、2、および/または 3 RNA の測定")</f>
        <v>ヒトパラインフルエンザウイルス 1、2、および/または 3 RNA の測定</v>
      </c>
    </row>
    <row r="2487" spans="1:9" ht="30">
      <c r="A2487" s="3" t="s">
        <v>67</v>
      </c>
      <c r="B2487" s="3" t="s">
        <v>10346</v>
      </c>
      <c r="C2487" s="3" t="s">
        <v>10347</v>
      </c>
      <c r="D2487" s="3" t="s">
        <v>10347</v>
      </c>
      <c r="E2487" s="3" t="s">
        <v>10348</v>
      </c>
      <c r="F2487" s="3" t="s">
        <v>10349</v>
      </c>
      <c r="G2487" s="3" t="str">
        <f ca="1">IFERROR(__xludf.DUMMYFUNCTION("googletranslate(D2487,""en"",""ja"")"),"腸炎菌のDNA")</f>
        <v>腸炎菌のDNA</v>
      </c>
      <c r="H2487" s="3" t="str">
        <f ca="1">IFERROR(__xludf.DUMMYFUNCTION("googletranslate(E2487,""en"",""ja"")"),"生物学的標本中の腸炎菌 DNA の測定。")</f>
        <v>生物学的標本中の腸炎菌 DNA の測定。</v>
      </c>
      <c r="I2487" s="3" t="str">
        <f ca="1">IFERROR(__xludf.DUMMYFUNCTION("googletranslate(F2487,""en"",""ja"")"),"腸炎菌DNA測定")</f>
        <v>腸炎菌DNA測定</v>
      </c>
    </row>
    <row r="2488" spans="1:9" ht="30">
      <c r="A2488" s="3" t="s">
        <v>67</v>
      </c>
      <c r="B2488" s="3" t="s">
        <v>10350</v>
      </c>
      <c r="C2488" s="3" t="s">
        <v>10351</v>
      </c>
      <c r="D2488" s="3" t="s">
        <v>10351</v>
      </c>
      <c r="E2488" s="3" t="s">
        <v>10352</v>
      </c>
      <c r="F2488" s="3" t="s">
        <v>10353</v>
      </c>
      <c r="G2488" s="3" t="str">
        <f ca="1">IFERROR(__xludf.DUMMYFUNCTION("googletranslate(D2488,""en"",""ja"")"),"ヒトパラインフルエンザウイルス 1")</f>
        <v>ヒトパラインフルエンザウイルス 1</v>
      </c>
      <c r="H2488" s="3" t="str">
        <f ca="1">IFERROR(__xludf.DUMMYFUNCTION("googletranslate(E2488,""en"",""ja"")"),"生物学的検体中のヒトパラインフルエンザウイルス 1 の測定。")</f>
        <v>生物学的検体中のヒトパラインフルエンザウイルス 1 の測定。</v>
      </c>
      <c r="I2488" s="3" t="str">
        <f ca="1">IFERROR(__xludf.DUMMYFUNCTION("googletranslate(F2488,""en"",""ja"")"),"ヒトパラインフルエンザウイルス1の測定")</f>
        <v>ヒトパラインフルエンザウイルス1の測定</v>
      </c>
    </row>
    <row r="2489" spans="1:9" ht="45">
      <c r="A2489" s="3" t="s">
        <v>67</v>
      </c>
      <c r="B2489" s="3" t="s">
        <v>10354</v>
      </c>
      <c r="C2489" s="3" t="s">
        <v>10355</v>
      </c>
      <c r="D2489" s="3" t="s">
        <v>10356</v>
      </c>
      <c r="E2489" s="3" t="s">
        <v>10357</v>
      </c>
      <c r="F2489" s="3" t="s">
        <v>10358</v>
      </c>
      <c r="G2489" s="3" t="str">
        <f ca="1">IFERROR(__xludf.DUMMYFUNCTION("googletranslate(D2489,""en"",""ja"")"),"ヒトパラインフルエンザウイルス 1 抗原;ヒトレスピロウイルス 1 抗原")</f>
        <v>ヒトパラインフルエンザウイルス 1 抗原;ヒトレスピロウイルス 1 抗原</v>
      </c>
      <c r="H2489" s="3" t="str">
        <f ca="1">IFERROR(__xludf.DUMMYFUNCTION("googletranslate(E2489,""en"",""ja"")"),"生物学的検体中のヒトパラインフルエンザウイルス 1 抗原の測定。")</f>
        <v>生物学的検体中のヒトパラインフルエンザウイルス 1 抗原の測定。</v>
      </c>
      <c r="I2489" s="3" t="str">
        <f ca="1">IFERROR(__xludf.DUMMYFUNCTION("googletranslate(F2489,""en"",""ja"")"),"ヒトパラインフルエンザ1型抗原測定")</f>
        <v>ヒトパラインフルエンザ1型抗原測定</v>
      </c>
    </row>
    <row r="2490" spans="1:9" ht="30">
      <c r="A2490" s="3" t="s">
        <v>67</v>
      </c>
      <c r="B2490" s="3" t="s">
        <v>10359</v>
      </c>
      <c r="C2490" s="3" t="s">
        <v>10360</v>
      </c>
      <c r="D2490" s="3" t="s">
        <v>10360</v>
      </c>
      <c r="E2490" s="3" t="s">
        <v>10361</v>
      </c>
      <c r="F2490" s="3" t="s">
        <v>10362</v>
      </c>
      <c r="G2490" s="3" t="str">
        <f ca="1">IFERROR(__xludf.DUMMYFUNCTION("googletranslate(D2490,""en"",""ja"")"),"ヒトパラインフルエンザウイルス 1 核酸")</f>
        <v>ヒトパラインフルエンザウイルス 1 核酸</v>
      </c>
      <c r="H2490" s="3" t="str">
        <f ca="1">IFERROR(__xludf.DUMMYFUNCTION("googletranslate(E2490,""en"",""ja"")"),"生物学的検体中のヒトパラインフルエンザウイルス 1 の核酸の測定。")</f>
        <v>生物学的検体中のヒトパラインフルエンザウイルス 1 の核酸の測定。</v>
      </c>
      <c r="I2490" s="3" t="str">
        <f ca="1">IFERROR(__xludf.DUMMYFUNCTION("googletranslate(F2490,""en"",""ja"")"),"ヒトパラインフルエンザウイルス 1 型核酸測定")</f>
        <v>ヒトパラインフルエンザウイルス 1 型核酸測定</v>
      </c>
    </row>
    <row r="2491" spans="1:9" ht="45">
      <c r="A2491" s="3" t="s">
        <v>67</v>
      </c>
      <c r="B2491" s="3" t="s">
        <v>10363</v>
      </c>
      <c r="C2491" s="3" t="s">
        <v>10364</v>
      </c>
      <c r="D2491" s="3" t="s">
        <v>10365</v>
      </c>
      <c r="E2491" s="3" t="s">
        <v>10366</v>
      </c>
      <c r="F2491" s="3" t="s">
        <v>10367</v>
      </c>
      <c r="G2491" s="3" t="str">
        <f ca="1">IFERROR(__xludf.DUMMYFUNCTION("googletranslate(D2491,""en"",""ja"")"),"ヒトパラインフルエンザウイルス 1 RNA;ヒトレスピロウイルス 1 RNA")</f>
        <v>ヒトパラインフルエンザウイルス 1 RNA;ヒトレスピロウイルス 1 RNA</v>
      </c>
      <c r="H2491" s="3" t="str">
        <f ca="1">IFERROR(__xludf.DUMMYFUNCTION("googletranslate(E2491,""en"",""ja"")"),"生物学的検体中のヒトパラインフルエンザウイルス 1 RNA の測定。")</f>
        <v>生物学的検体中のヒトパラインフルエンザウイルス 1 RNA の測定。</v>
      </c>
      <c r="I2491" s="3" t="str">
        <f ca="1">IFERROR(__xludf.DUMMYFUNCTION("googletranslate(F2491,""en"",""ja"")"),"ヒトパラインフルエンザウイルス 1 型 RNA 測定")</f>
        <v>ヒトパラインフルエンザウイルス 1 型 RNA 測定</v>
      </c>
    </row>
    <row r="2492" spans="1:9" ht="30">
      <c r="A2492" s="3" t="s">
        <v>67</v>
      </c>
      <c r="B2492" s="3" t="s">
        <v>10368</v>
      </c>
      <c r="C2492" s="3" t="s">
        <v>10369</v>
      </c>
      <c r="D2492" s="3" t="s">
        <v>10369</v>
      </c>
      <c r="E2492" s="3" t="s">
        <v>10370</v>
      </c>
      <c r="F2492" s="3" t="s">
        <v>10371</v>
      </c>
      <c r="G2492" s="3" t="str">
        <f ca="1">IFERROR(__xludf.DUMMYFUNCTION("googletranslate(D2492,""en"",""ja"")"),"ヒトパラインフルエンザウイルス 2")</f>
        <v>ヒトパラインフルエンザウイルス 2</v>
      </c>
      <c r="H2492" s="3" t="str">
        <f ca="1">IFERROR(__xludf.DUMMYFUNCTION("googletranslate(E2492,""en"",""ja"")"),"生物学的検体中のヒトパラインフルエンザウイルス 2 の測定。")</f>
        <v>生物学的検体中のヒトパラインフルエンザウイルス 2 の測定。</v>
      </c>
      <c r="I2492" s="3" t="str">
        <f ca="1">IFERROR(__xludf.DUMMYFUNCTION("googletranslate(F2492,""en"",""ja"")"),"ヒトパラインフルエンザウイルス2型の測定")</f>
        <v>ヒトパラインフルエンザウイルス2型の測定</v>
      </c>
    </row>
    <row r="2493" spans="1:9" ht="45">
      <c r="A2493" s="3" t="s">
        <v>67</v>
      </c>
      <c r="B2493" s="3" t="s">
        <v>10372</v>
      </c>
      <c r="C2493" s="3" t="s">
        <v>10373</v>
      </c>
      <c r="D2493" s="3" t="s">
        <v>10374</v>
      </c>
      <c r="E2493" s="3" t="s">
        <v>10375</v>
      </c>
      <c r="F2493" s="3" t="s">
        <v>10376</v>
      </c>
      <c r="G2493" s="3" t="str">
        <f ca="1">IFERROR(__xludf.DUMMYFUNCTION("googletranslate(D2493,""en"",""ja"")"),"ヒトオルソルブラウイルス 2 抗原;ヒトパラインフルエンザウイルス 2 抗原")</f>
        <v>ヒトオルソルブラウイルス 2 抗原;ヒトパラインフルエンザウイルス 2 抗原</v>
      </c>
      <c r="H2493" s="3" t="str">
        <f ca="1">IFERROR(__xludf.DUMMYFUNCTION("googletranslate(E2493,""en"",""ja"")"),"生物学的検体中のヒトパラインフルエンザウイルス 2 抗原の測定。")</f>
        <v>生物学的検体中のヒトパラインフルエンザウイルス 2 抗原の測定。</v>
      </c>
      <c r="I2493" s="3" t="str">
        <f ca="1">IFERROR(__xludf.DUMMYFUNCTION("googletranslate(F2493,""en"",""ja"")"),"ヒトパラインフルエンザウイルス2型抗原測定")</f>
        <v>ヒトパラインフルエンザウイルス2型抗原測定</v>
      </c>
    </row>
    <row r="2494" spans="1:9" ht="30">
      <c r="A2494" s="3" t="s">
        <v>67</v>
      </c>
      <c r="B2494" s="3" t="s">
        <v>10377</v>
      </c>
      <c r="C2494" s="3" t="s">
        <v>10378</v>
      </c>
      <c r="D2494" s="3" t="s">
        <v>10378</v>
      </c>
      <c r="E2494" s="3" t="s">
        <v>10379</v>
      </c>
      <c r="F2494" s="3" t="s">
        <v>10380</v>
      </c>
      <c r="G2494" s="3" t="str">
        <f ca="1">IFERROR(__xludf.DUMMYFUNCTION("googletranslate(D2494,""en"",""ja"")"),"ヒトパラインフルエンザウイルス 2 核酸")</f>
        <v>ヒトパラインフルエンザウイルス 2 核酸</v>
      </c>
      <c r="H2494" s="3" t="str">
        <f ca="1">IFERROR(__xludf.DUMMYFUNCTION("googletranslate(E2494,""en"",""ja"")"),"生物学的検体中のヒトパラインフルエンザウイルス 2 核酸の測定。")</f>
        <v>生物学的検体中のヒトパラインフルエンザウイルス 2 核酸の測定。</v>
      </c>
      <c r="I2494" s="3" t="str">
        <f ca="1">IFERROR(__xludf.DUMMYFUNCTION("googletranslate(F2494,""en"",""ja"")"),"ヒトパラインフルエンザウイルス2型核酸測定")</f>
        <v>ヒトパラインフルエンザウイルス2型核酸測定</v>
      </c>
    </row>
    <row r="2495" spans="1:9" ht="45">
      <c r="A2495" s="3" t="s">
        <v>67</v>
      </c>
      <c r="B2495" s="3" t="s">
        <v>10381</v>
      </c>
      <c r="C2495" s="3" t="s">
        <v>10382</v>
      </c>
      <c r="D2495" s="3" t="s">
        <v>10383</v>
      </c>
      <c r="E2495" s="3" t="s">
        <v>10384</v>
      </c>
      <c r="F2495" s="3" t="s">
        <v>10385</v>
      </c>
      <c r="G2495" s="3" t="str">
        <f ca="1">IFERROR(__xludf.DUMMYFUNCTION("googletranslate(D2495,""en"",""ja"")"),"ヒトオルソルブラウイルス 2 RNA;ヒトパラインフルエンザウイルス 2 RNA")</f>
        <v>ヒトオルソルブラウイルス 2 RNA;ヒトパラインフルエンザウイルス 2 RNA</v>
      </c>
      <c r="H2495" s="3" t="str">
        <f ca="1">IFERROR(__xludf.DUMMYFUNCTION("googletranslate(E2495,""en"",""ja"")"),"生物学的検体中のヒトパラインフルエンザウイルス 2 RNA の測定。")</f>
        <v>生物学的検体中のヒトパラインフルエンザウイルス 2 RNA の測定。</v>
      </c>
      <c r="I2495" s="3" t="str">
        <f ca="1">IFERROR(__xludf.DUMMYFUNCTION("googletranslate(F2495,""en"",""ja"")"),"ヒトパラインフルエンザウイルス2型RNA測定")</f>
        <v>ヒトパラインフルエンザウイルス2型RNA測定</v>
      </c>
    </row>
    <row r="2496" spans="1:9" ht="30">
      <c r="A2496" s="3" t="s">
        <v>67</v>
      </c>
      <c r="B2496" s="3" t="s">
        <v>10386</v>
      </c>
      <c r="C2496" s="3" t="s">
        <v>10387</v>
      </c>
      <c r="D2496" s="3" t="s">
        <v>10387</v>
      </c>
      <c r="E2496" s="3" t="s">
        <v>10388</v>
      </c>
      <c r="F2496" s="3" t="s">
        <v>10389</v>
      </c>
      <c r="G2496" s="3" t="str">
        <f ca="1">IFERROR(__xludf.DUMMYFUNCTION("googletranslate(D2496,""en"",""ja"")"),"ヒトパラインフルエンザウイルス 3")</f>
        <v>ヒトパラインフルエンザウイルス 3</v>
      </c>
      <c r="H2496" s="3" t="str">
        <f ca="1">IFERROR(__xludf.DUMMYFUNCTION("googletranslate(E2496,""en"",""ja"")"),"生物学的検体中のヒトパラインフルエンザウイルス 3 の測定。")</f>
        <v>生物学的検体中のヒトパラインフルエンザウイルス 3 の測定。</v>
      </c>
      <c r="I2496" s="3" t="str">
        <f ca="1">IFERROR(__xludf.DUMMYFUNCTION("googletranslate(F2496,""en"",""ja"")"),"ヒトパラインフルエンザウイルス3型の測定")</f>
        <v>ヒトパラインフルエンザウイルス3型の測定</v>
      </c>
    </row>
    <row r="2497" spans="1:9" ht="45">
      <c r="A2497" s="3" t="s">
        <v>67</v>
      </c>
      <c r="B2497" s="3" t="s">
        <v>10390</v>
      </c>
      <c r="C2497" s="3" t="s">
        <v>10391</v>
      </c>
      <c r="D2497" s="3" t="s">
        <v>10392</v>
      </c>
      <c r="E2497" s="3" t="s">
        <v>10393</v>
      </c>
      <c r="F2497" s="3" t="s">
        <v>10394</v>
      </c>
      <c r="G2497" s="3" t="str">
        <f ca="1">IFERROR(__xludf.DUMMYFUNCTION("googletranslate(D2497,""en"",""ja"")"),"ヒトパラインフルエンザウイルス 3 抗原;ヒトレスピロウイルス 3 抗原")</f>
        <v>ヒトパラインフルエンザウイルス 3 抗原;ヒトレスピロウイルス 3 抗原</v>
      </c>
      <c r="H2497" s="3" t="str">
        <f ca="1">IFERROR(__xludf.DUMMYFUNCTION("googletranslate(E2497,""en"",""ja"")"),"生物学的検体中のヒトパラインフルエンザウイルス 3 抗原の測定。")</f>
        <v>生物学的検体中のヒトパラインフルエンザウイルス 3 抗原の測定。</v>
      </c>
      <c r="I2497" s="3" t="str">
        <f ca="1">IFERROR(__xludf.DUMMYFUNCTION("googletranslate(F2497,""en"",""ja"")"),"ヒトパラインフルエンザウイルス3型抗原測定")</f>
        <v>ヒトパラインフルエンザウイルス3型抗原測定</v>
      </c>
    </row>
    <row r="2498" spans="1:9" ht="30">
      <c r="A2498" s="3" t="s">
        <v>67</v>
      </c>
      <c r="B2498" s="3" t="s">
        <v>10395</v>
      </c>
      <c r="C2498" s="3" t="s">
        <v>10396</v>
      </c>
      <c r="D2498" s="3" t="s">
        <v>10396</v>
      </c>
      <c r="E2498" s="3" t="s">
        <v>10397</v>
      </c>
      <c r="F2498" s="3" t="s">
        <v>10398</v>
      </c>
      <c r="G2498" s="3" t="str">
        <f ca="1">IFERROR(__xludf.DUMMYFUNCTION("googletranslate(D2498,""en"",""ja"")"),"ヒトパラインフルエンザウイルス 3 核酸")</f>
        <v>ヒトパラインフルエンザウイルス 3 核酸</v>
      </c>
      <c r="H2498" s="3" t="str">
        <f ca="1">IFERROR(__xludf.DUMMYFUNCTION("googletranslate(E2498,""en"",""ja"")"),"生物学的標本中のヒトパラインフルエンザウイルス 3 核酸の測定。")</f>
        <v>生物学的標本中のヒトパラインフルエンザウイルス 3 核酸の測定。</v>
      </c>
      <c r="I2498" s="3" t="str">
        <f ca="1">IFERROR(__xludf.DUMMYFUNCTION("googletranslate(F2498,""en"",""ja"")"),"ヒトパラインフルエンザウイルス3型核酸測定")</f>
        <v>ヒトパラインフルエンザウイルス3型核酸測定</v>
      </c>
    </row>
    <row r="2499" spans="1:9" ht="45">
      <c r="A2499" s="3" t="s">
        <v>67</v>
      </c>
      <c r="B2499" s="3" t="s">
        <v>10399</v>
      </c>
      <c r="C2499" s="3" t="s">
        <v>10400</v>
      </c>
      <c r="D2499" s="3" t="s">
        <v>10401</v>
      </c>
      <c r="E2499" s="3" t="s">
        <v>10402</v>
      </c>
      <c r="F2499" s="3" t="s">
        <v>10403</v>
      </c>
      <c r="G2499" s="3" t="str">
        <f ca="1">IFERROR(__xludf.DUMMYFUNCTION("googletranslate(D2499,""en"",""ja"")"),"ヒトパラインフルエンザウイルス 3 RNA;ヒトレスピロウイルス 3 RNA")</f>
        <v>ヒトパラインフルエンザウイルス 3 RNA;ヒトレスピロウイルス 3 RNA</v>
      </c>
      <c r="H2499" s="3" t="str">
        <f ca="1">IFERROR(__xludf.DUMMYFUNCTION("googletranslate(E2499,""en"",""ja"")"),"生物学的標本中のヒトパラインフルエンザウイルス 3 RNA の測定。")</f>
        <v>生物学的標本中のヒトパラインフルエンザウイルス 3 RNA の測定。</v>
      </c>
      <c r="I2499" s="3" t="str">
        <f ca="1">IFERROR(__xludf.DUMMYFUNCTION("googletranslate(F2499,""en"",""ja"")"),"ヒトパラインフルエンザウイルス 3 RNA 測定")</f>
        <v>ヒトパラインフルエンザウイルス 3 RNA 測定</v>
      </c>
    </row>
    <row r="2500" spans="1:9" ht="30">
      <c r="A2500" s="3" t="s">
        <v>67</v>
      </c>
      <c r="B2500" s="3" t="s">
        <v>10404</v>
      </c>
      <c r="C2500" s="3" t="s">
        <v>10405</v>
      </c>
      <c r="D2500" s="3" t="s">
        <v>10405</v>
      </c>
      <c r="E2500" s="3" t="s">
        <v>10406</v>
      </c>
      <c r="F2500" s="3" t="s">
        <v>10407</v>
      </c>
      <c r="G2500" s="3" t="str">
        <f ca="1">IFERROR(__xludf.DUMMYFUNCTION("googletranslate(D2500,""en"",""ja"")"),"ヒトパラインフルエンザウイルス 4")</f>
        <v>ヒトパラインフルエンザウイルス 4</v>
      </c>
      <c r="H2500" s="3" t="str">
        <f ca="1">IFERROR(__xludf.DUMMYFUNCTION("googletranslate(E2500,""en"",""ja"")"),"生物学的検体中のヒトパラインフルエンザウイルス 4 の測定。")</f>
        <v>生物学的検体中のヒトパラインフルエンザウイルス 4 の測定。</v>
      </c>
      <c r="I2500" s="3" t="str">
        <f ca="1">IFERROR(__xludf.DUMMYFUNCTION("googletranslate(F2500,""en"",""ja"")"),"ヒトパラインフルエンザウイルス4型の測定")</f>
        <v>ヒトパラインフルエンザウイルス4型の測定</v>
      </c>
    </row>
    <row r="2501" spans="1:9" ht="45">
      <c r="A2501" s="3" t="s">
        <v>67</v>
      </c>
      <c r="B2501" s="3" t="s">
        <v>10408</v>
      </c>
      <c r="C2501" s="3" t="s">
        <v>10409</v>
      </c>
      <c r="D2501" s="3" t="s">
        <v>10410</v>
      </c>
      <c r="E2501" s="3" t="s">
        <v>10411</v>
      </c>
      <c r="F2501" s="3" t="s">
        <v>10412</v>
      </c>
      <c r="G2501" s="3" t="str">
        <f ca="1">IFERROR(__xludf.DUMMYFUNCTION("googletranslate(D2501,""en"",""ja"")"),"ヒトパラインフルエンザウイルス 4B NC;ヒトパラインフルエンザウイルス 4B 核酸")</f>
        <v>ヒトパラインフルエンザウイルス 4B NC;ヒトパラインフルエンザウイルス 4B 核酸</v>
      </c>
      <c r="H2501" s="3" t="str">
        <f ca="1">IFERROR(__xludf.DUMMYFUNCTION("googletranslate(E2501,""en"",""ja"")"),"生物学的検体中のヒトパラインフルエンザウイルス 4b 核酸の測定。")</f>
        <v>生物学的検体中のヒトパラインフルエンザウイルス 4b 核酸の測定。</v>
      </c>
      <c r="I2501" s="3" t="str">
        <f ca="1">IFERROR(__xludf.DUMMYFUNCTION("googletranslate(F2501,""en"",""ja"")"),"ヒトパラインフルエンザウイルス4B核酸測定")</f>
        <v>ヒトパラインフルエンザウイルス4B核酸測定</v>
      </c>
    </row>
    <row r="2502" spans="1:9" ht="30">
      <c r="A2502" s="3" t="s">
        <v>67</v>
      </c>
      <c r="B2502" s="3" t="s">
        <v>10413</v>
      </c>
      <c r="C2502" s="3" t="s">
        <v>10414</v>
      </c>
      <c r="D2502" s="3" t="s">
        <v>10414</v>
      </c>
      <c r="E2502" s="3" t="s">
        <v>10415</v>
      </c>
      <c r="F2502" s="3" t="s">
        <v>10416</v>
      </c>
      <c r="G2502" s="3" t="str">
        <f ca="1">IFERROR(__xludf.DUMMYFUNCTION("googletranslate(D2502,""en"",""ja"")"),"ヒトパラインフルエンザウイルス 4 核酸")</f>
        <v>ヒトパラインフルエンザウイルス 4 核酸</v>
      </c>
      <c r="H2502" s="3" t="str">
        <f ca="1">IFERROR(__xludf.DUMMYFUNCTION("googletranslate(E2502,""en"",""ja"")"),"生物学的検体中のヒトパラインフルエンザウイルス 4 核酸の測定。")</f>
        <v>生物学的検体中のヒトパラインフルエンザウイルス 4 核酸の測定。</v>
      </c>
      <c r="I2502" s="3" t="str">
        <f ca="1">IFERROR(__xludf.DUMMYFUNCTION("googletranslate(F2502,""en"",""ja"")"),"ヒトパラインフルエンザウイルス4型核酸測定")</f>
        <v>ヒトパラインフルエンザウイルス4型核酸測定</v>
      </c>
    </row>
    <row r="2503" spans="1:9" ht="45">
      <c r="A2503" s="3" t="s">
        <v>67</v>
      </c>
      <c r="B2503" s="3" t="s">
        <v>10417</v>
      </c>
      <c r="C2503" s="3" t="s">
        <v>10418</v>
      </c>
      <c r="D2503" s="3" t="s">
        <v>10419</v>
      </c>
      <c r="E2503" s="3" t="s">
        <v>10420</v>
      </c>
      <c r="F2503" s="3" t="s">
        <v>10421</v>
      </c>
      <c r="G2503" s="3" t="str">
        <f ca="1">IFERROR(__xludf.DUMMYFUNCTION("googletranslate(D2503,""en"",""ja"")"),"ヒトオルソルブラウイルス 4 RNA;ヒトパラインフルエンザウイルス 4 RNA")</f>
        <v>ヒトオルソルブラウイルス 4 RNA;ヒトパラインフルエンザウイルス 4 RNA</v>
      </c>
      <c r="H2503" s="3" t="str">
        <f ca="1">IFERROR(__xludf.DUMMYFUNCTION("googletranslate(E2503,""en"",""ja"")"),"生物学的標本中のヒトパラインフルエンザウイルス 4 RNA の測定。")</f>
        <v>生物学的標本中のヒトパラインフルエンザウイルス 4 RNA の測定。</v>
      </c>
      <c r="I2503" s="3" t="str">
        <f ca="1">IFERROR(__xludf.DUMMYFUNCTION("googletranslate(F2503,""en"",""ja"")"),"ヒトパラインフルエンザウイルス 4 RNA 測定")</f>
        <v>ヒトパラインフルエンザウイルス 4 RNA 測定</v>
      </c>
    </row>
    <row r="2504" spans="1:9" ht="30">
      <c r="A2504" s="3" t="s">
        <v>67</v>
      </c>
      <c r="B2504" s="3" t="s">
        <v>10422</v>
      </c>
      <c r="C2504" s="3" t="s">
        <v>10423</v>
      </c>
      <c r="D2504" s="3" t="s">
        <v>10423</v>
      </c>
      <c r="E2504" s="3" t="s">
        <v>10424</v>
      </c>
      <c r="F2504" s="3" t="s">
        <v>10425</v>
      </c>
      <c r="G2504" s="3" t="str">
        <f ca="1">IFERROR(__xludf.DUMMYFUNCTION("googletranslate(D2504,""en"",""ja"")"),"ヒトパラインフルエンザ抗原")</f>
        <v>ヒトパラインフルエンザ抗原</v>
      </c>
      <c r="H2504" s="3" t="str">
        <f ca="1">IFERROR(__xludf.DUMMYFUNCTION("googletranslate(E2504,""en"",""ja"")"),"生物学的標本中のヒトパラインフルエンザ抗原の測定。")</f>
        <v>生物学的標本中のヒトパラインフルエンザ抗原の測定。</v>
      </c>
      <c r="I2504" s="3" t="str">
        <f ca="1">IFERROR(__xludf.DUMMYFUNCTION("googletranslate(F2504,""en"",""ja"")"),"ヒトパラインフルエンザ抗原測定")</f>
        <v>ヒトパラインフルエンザ抗原測定</v>
      </c>
    </row>
    <row r="2505" spans="1:9" ht="30">
      <c r="A2505" s="3" t="s">
        <v>67</v>
      </c>
      <c r="B2505" s="3" t="s">
        <v>10426</v>
      </c>
      <c r="C2505" s="3" t="s">
        <v>10427</v>
      </c>
      <c r="D2505" s="3" t="s">
        <v>10427</v>
      </c>
      <c r="E2505" s="3" t="s">
        <v>10428</v>
      </c>
      <c r="F2505" s="3" t="s">
        <v>10429</v>
      </c>
      <c r="G2505" s="3" t="str">
        <f ca="1">IFERROR(__xludf.DUMMYFUNCTION("googletranslate(D2505,""en"",""ja"")"),"ヒトパラインフルエンザウイルスRNA")</f>
        <v>ヒトパラインフルエンザウイルスRNA</v>
      </c>
      <c r="H2505" s="3" t="str">
        <f ca="1">IFERROR(__xludf.DUMMYFUNCTION("googletranslate(E2505,""en"",""ja"")"),"生物学的標本中のヒトパラインフルエンザウイルス RNA の測定。")</f>
        <v>生物学的標本中のヒトパラインフルエンザウイルス RNA の測定。</v>
      </c>
      <c r="I2505" s="3" t="str">
        <f ca="1">IFERROR(__xludf.DUMMYFUNCTION("googletranslate(F2505,""en"",""ja"")"),"ヒトパラインフルエンザウイルスRNA測定")</f>
        <v>ヒトパラインフルエンザウイルスRNA測定</v>
      </c>
    </row>
    <row r="2506" spans="1:9" ht="75">
      <c r="A2506" s="3" t="s">
        <v>6</v>
      </c>
      <c r="B2506" s="3" t="s">
        <v>10430</v>
      </c>
      <c r="C2506" s="3" t="s">
        <v>10431</v>
      </c>
      <c r="D2506" s="3" t="s">
        <v>10432</v>
      </c>
      <c r="E2506" s="3" t="s">
        <v>10433</v>
      </c>
      <c r="F2506" s="3" t="s">
        <v>10434</v>
      </c>
      <c r="G2506" s="3" t="str">
        <f ca="1">IFERROR(__xludf.DUMMYFUNCTION("googletranslate(D2506,""en"",""ja"")"),"3-HPMA; 3-ヒドロキシプロピルメルカプチュレート; 3-ヒドロキシプロピルメルカプツール酸; N-アセチル-S-(3-ヒドロキシプロピル)システイン")</f>
        <v>3-HPMA; 3-ヒドロキシプロピルメルカプチュレート; 3-ヒドロキシプロピルメルカプツール酸; N-アセチル-S-(3-ヒドロキシプロピル)システイン</v>
      </c>
      <c r="H2506" s="3" t="str">
        <f ca="1">IFERROR(__xludf.DUMMYFUNCTION("googletranslate(E2506,""en"",""ja"")"),"試料中の 3-ヒドロキシプロピルメルカプツール酸の測定。")</f>
        <v>試料中の 3-ヒドロキシプロピルメルカプツール酸の測定。</v>
      </c>
      <c r="I2506" s="3" t="str">
        <f ca="1">IFERROR(__xludf.DUMMYFUNCTION("googletranslate(F2506,""en"",""ja"")"),"3-ヒドロキシプロピルメルカプツール酸の測定")</f>
        <v>3-ヒドロキシプロピルメルカプツール酸の測定</v>
      </c>
    </row>
    <row r="2507" spans="1:9" ht="45">
      <c r="A2507" s="3" t="s">
        <v>6</v>
      </c>
      <c r="B2507" s="3" t="s">
        <v>10435</v>
      </c>
      <c r="C2507" s="3" t="s">
        <v>10436</v>
      </c>
      <c r="D2507" s="3" t="s">
        <v>10437</v>
      </c>
      <c r="E2507" s="3" t="s">
        <v>10438</v>
      </c>
      <c r="F2507" s="3" t="s">
        <v>10436</v>
      </c>
      <c r="G2507" s="3" t="str">
        <f ca="1">IFERROR(__xludf.DUMMYFUNCTION("googletranslate(D2507,""en"",""ja"")"),"低色症;低色素赤血球")</f>
        <v>低色症;低色素赤血球</v>
      </c>
      <c r="H2507" s="3" t="str">
        <f ca="1">IFERROR(__xludf.DUMMYFUNCTION("googletranslate(E2507,""en"",""ja"")"),"赤血球標本中のヘモグロビン濃度が指定レベルを下回ったことを示す観察。")</f>
        <v>赤血球標本中のヘモグロビン濃度が指定レベルを下回ったことを示す観察。</v>
      </c>
      <c r="I2507" s="3" t="str">
        <f ca="1">IFERROR(__xludf.DUMMYFUNCTION("googletranslate(F2507,""en"",""ja"")"),"色素欠乏症")</f>
        <v>色素欠乏症</v>
      </c>
    </row>
    <row r="2508" spans="1:9" ht="30">
      <c r="A2508" s="3" t="s">
        <v>5519</v>
      </c>
      <c r="B2508" s="3" t="s">
        <v>10439</v>
      </c>
      <c r="C2508" s="3" t="s">
        <v>10440</v>
      </c>
      <c r="D2508" s="3" t="s">
        <v>10440</v>
      </c>
      <c r="E2508" s="3" t="s">
        <v>10441</v>
      </c>
      <c r="F2508" s="3" t="s">
        <v>10440</v>
      </c>
      <c r="G2508" s="3" t="str">
        <f ca="1">IFERROR(__xludf.DUMMYFUNCTION("googletranslate(D2508,""en"",""ja"")"),"肝腫大インジケーター")</f>
        <v>肝腫大インジケーター</v>
      </c>
      <c r="H2508" s="3" t="str">
        <f ca="1">IFERROR(__xludf.DUMMYFUNCTION("googletranslate(E2508,""en"",""ja"")"),"肝腫大（肝臓の肥大）が存在するかどうかの指標。")</f>
        <v>肝腫大（肝臓の肥大）が存在するかどうかの指標。</v>
      </c>
      <c r="I2508" s="3" t="str">
        <f ca="1">IFERROR(__xludf.DUMMYFUNCTION("googletranslate(F2508,""en"",""ja"")"),"肝腫大インジケーター")</f>
        <v>肝腫大インジケーター</v>
      </c>
    </row>
    <row r="2509" spans="1:9" ht="30">
      <c r="A2509" s="3" t="s">
        <v>67</v>
      </c>
      <c r="B2509" s="3" t="s">
        <v>10442</v>
      </c>
      <c r="C2509" s="3" t="s">
        <v>10443</v>
      </c>
      <c r="D2509" s="3" t="s">
        <v>10443</v>
      </c>
      <c r="E2509" s="3" t="s">
        <v>10444</v>
      </c>
      <c r="F2509" s="3" t="s">
        <v>10445</v>
      </c>
      <c r="G2509" s="3" t="str">
        <f ca="1">IFERROR(__xludf.DUMMYFUNCTION("googletranslate(D2509,""en"",""ja"")"),"ヒトパピローマウイルス 11 型 DNA")</f>
        <v>ヒトパピローマウイルス 11 型 DNA</v>
      </c>
      <c r="H2509" s="3" t="str">
        <f ca="1">IFERROR(__xludf.DUMMYFUNCTION("googletranslate(E2509,""en"",""ja"")"),"生物学的検体中のヒトパピローマウイルス 11 型 DNA の測定。")</f>
        <v>生物学的検体中のヒトパピローマウイルス 11 型 DNA の測定。</v>
      </c>
      <c r="I2509" s="3" t="str">
        <f ca="1">IFERROR(__xludf.DUMMYFUNCTION("googletranslate(F2509,""en"",""ja"")"),"ヒトパピローマウイルス11型DNA測定")</f>
        <v>ヒトパピローマウイルス11型DNA測定</v>
      </c>
    </row>
    <row r="2510" spans="1:9" ht="30">
      <c r="A2510" s="3" t="s">
        <v>67</v>
      </c>
      <c r="B2510" s="3" t="s">
        <v>10446</v>
      </c>
      <c r="C2510" s="3" t="s">
        <v>10447</v>
      </c>
      <c r="D2510" s="3" t="s">
        <v>10447</v>
      </c>
      <c r="E2510" s="3" t="s">
        <v>10448</v>
      </c>
      <c r="F2510" s="3" t="s">
        <v>10449</v>
      </c>
      <c r="G2510" s="3" t="str">
        <f ca="1">IFERROR(__xludf.DUMMYFUNCTION("googletranslate(D2510,""en"",""ja"")"),"ヒトパピローマウイルス 16 型 DNA")</f>
        <v>ヒトパピローマウイルス 16 型 DNA</v>
      </c>
      <c r="H2510" s="3" t="str">
        <f ca="1">IFERROR(__xludf.DUMMYFUNCTION("googletranslate(E2510,""en"",""ja"")"),"生物学的検体中のヒトパピローマウイルス 16 型 DNA の測定。")</f>
        <v>生物学的検体中のヒトパピローマウイルス 16 型 DNA の測定。</v>
      </c>
      <c r="I2510" s="3" t="str">
        <f ca="1">IFERROR(__xludf.DUMMYFUNCTION("googletranslate(F2510,""en"",""ja"")"),"ヒトパピローマウイルス16型DNA測定")</f>
        <v>ヒトパピローマウイルス16型DNA測定</v>
      </c>
    </row>
    <row r="2511" spans="1:9" ht="30">
      <c r="A2511" s="3" t="s">
        <v>67</v>
      </c>
      <c r="B2511" s="3" t="s">
        <v>10450</v>
      </c>
      <c r="C2511" s="3" t="s">
        <v>10451</v>
      </c>
      <c r="D2511" s="3" t="s">
        <v>10451</v>
      </c>
      <c r="E2511" s="3" t="s">
        <v>10452</v>
      </c>
      <c r="F2511" s="3" t="s">
        <v>10453</v>
      </c>
      <c r="G2511" s="3" t="str">
        <f ca="1">IFERROR(__xludf.DUMMYFUNCTION("googletranslate(D2511,""en"",""ja"")"),"ヒトパピローマウイルス 18 型 DNA")</f>
        <v>ヒトパピローマウイルス 18 型 DNA</v>
      </c>
      <c r="H2511" s="3" t="str">
        <f ca="1">IFERROR(__xludf.DUMMYFUNCTION("googletranslate(E2511,""en"",""ja"")"),"生物学的検体中のヒトパピローマウイルス 18 型 DNA の測定。")</f>
        <v>生物学的検体中のヒトパピローマウイルス 18 型 DNA の測定。</v>
      </c>
      <c r="I2511" s="3" t="str">
        <f ca="1">IFERROR(__xludf.DUMMYFUNCTION("googletranslate(F2511,""en"",""ja"")"),"ヒトパピローマウイルス18型DNA測定")</f>
        <v>ヒトパピローマウイルス18型DNA測定</v>
      </c>
    </row>
    <row r="2512" spans="1:9" ht="30">
      <c r="A2512" s="3" t="s">
        <v>67</v>
      </c>
      <c r="B2512" s="3" t="s">
        <v>10454</v>
      </c>
      <c r="C2512" s="3" t="s">
        <v>10455</v>
      </c>
      <c r="D2512" s="3" t="s">
        <v>10455</v>
      </c>
      <c r="E2512" s="3" t="s">
        <v>10456</v>
      </c>
      <c r="F2512" s="3" t="s">
        <v>10457</v>
      </c>
      <c r="G2512" s="3" t="str">
        <f ca="1">IFERROR(__xludf.DUMMYFUNCTION("googletranslate(D2512,""en"",""ja"")"),"ヒトパピローマウイルス 31 型")</f>
        <v>ヒトパピローマウイルス 31 型</v>
      </c>
      <c r="H2512" s="3" t="str">
        <f ca="1">IFERROR(__xludf.DUMMYFUNCTION("googletranslate(E2512,""en"",""ja"")"),"生物学的検体中のヒトパピローマウイルス 31 型の測定。")</f>
        <v>生物学的検体中のヒトパピローマウイルス 31 型の測定。</v>
      </c>
      <c r="I2512" s="3" t="str">
        <f ca="1">IFERROR(__xludf.DUMMYFUNCTION("googletranslate(F2512,""en"",""ja"")"),"ヒトパピローマウイルス31型の測定")</f>
        <v>ヒトパピローマウイルス31型の測定</v>
      </c>
    </row>
    <row r="2513" spans="1:9" ht="30">
      <c r="A2513" s="3" t="s">
        <v>67</v>
      </c>
      <c r="B2513" s="3" t="s">
        <v>10458</v>
      </c>
      <c r="C2513" s="3" t="s">
        <v>10459</v>
      </c>
      <c r="D2513" s="3" t="s">
        <v>10459</v>
      </c>
      <c r="E2513" s="3" t="s">
        <v>10460</v>
      </c>
      <c r="F2513" s="3" t="s">
        <v>10461</v>
      </c>
      <c r="G2513" s="3" t="str">
        <f ca="1">IFERROR(__xludf.DUMMYFUNCTION("googletranslate(D2513,""en"",""ja"")"),"ヒトパピローマウイルス 31 型 DNA")</f>
        <v>ヒトパピローマウイルス 31 型 DNA</v>
      </c>
      <c r="H2513" s="3" t="str">
        <f ca="1">IFERROR(__xludf.DUMMYFUNCTION("googletranslate(E2513,""en"",""ja"")"),"生物学的検体中のヒトパピローマウイルス 31 型 DNA の測定。")</f>
        <v>生物学的検体中のヒトパピローマウイルス 31 型 DNA の測定。</v>
      </c>
      <c r="I2513" s="3" t="str">
        <f ca="1">IFERROR(__xludf.DUMMYFUNCTION("googletranslate(F2513,""en"",""ja"")"),"ヒトパピローマウイルス31型DNA測定")</f>
        <v>ヒトパピローマウイルス31型DNA測定</v>
      </c>
    </row>
    <row r="2514" spans="1:9" ht="30">
      <c r="A2514" s="3" t="s">
        <v>67</v>
      </c>
      <c r="B2514" s="3" t="s">
        <v>10462</v>
      </c>
      <c r="C2514" s="3" t="s">
        <v>10463</v>
      </c>
      <c r="D2514" s="3" t="s">
        <v>10463</v>
      </c>
      <c r="E2514" s="3" t="s">
        <v>10464</v>
      </c>
      <c r="F2514" s="3" t="s">
        <v>10465</v>
      </c>
      <c r="G2514" s="3" t="str">
        <f ca="1">IFERROR(__xludf.DUMMYFUNCTION("googletranslate(D2514,""en"",""ja"")"),"ヒトパピローマウイルス 33 型")</f>
        <v>ヒトパピローマウイルス 33 型</v>
      </c>
      <c r="H2514" s="3" t="str">
        <f ca="1">IFERROR(__xludf.DUMMYFUNCTION("googletranslate(E2514,""en"",""ja"")"),"生物学的検体中のヒトパピローマウイルス 33 型の測定。")</f>
        <v>生物学的検体中のヒトパピローマウイルス 33 型の測定。</v>
      </c>
      <c r="I2514" s="3" t="str">
        <f ca="1">IFERROR(__xludf.DUMMYFUNCTION("googletranslate(F2514,""en"",""ja"")"),"ヒトパピローマウイルス33型の測定")</f>
        <v>ヒトパピローマウイルス33型の測定</v>
      </c>
    </row>
    <row r="2515" spans="1:9" ht="30">
      <c r="A2515" s="3" t="s">
        <v>67</v>
      </c>
      <c r="B2515" s="3" t="s">
        <v>10466</v>
      </c>
      <c r="C2515" s="3" t="s">
        <v>10467</v>
      </c>
      <c r="D2515" s="3" t="s">
        <v>10467</v>
      </c>
      <c r="E2515" s="3" t="s">
        <v>10468</v>
      </c>
      <c r="F2515" s="3" t="s">
        <v>10469</v>
      </c>
      <c r="G2515" s="3" t="str">
        <f ca="1">IFERROR(__xludf.DUMMYFUNCTION("googletranslate(D2515,""en"",""ja"")"),"ヒトパピローマウイルス 33 型 DNA")</f>
        <v>ヒトパピローマウイルス 33 型 DNA</v>
      </c>
      <c r="H2515" s="3" t="str">
        <f ca="1">IFERROR(__xludf.DUMMYFUNCTION("googletranslate(E2515,""en"",""ja"")"),"生物学的検体中のヒトパピローマウイルス 33 型 DNA の測定。")</f>
        <v>生物学的検体中のヒトパピローマウイルス 33 型 DNA の測定。</v>
      </c>
      <c r="I2515" s="3" t="str">
        <f ca="1">IFERROR(__xludf.DUMMYFUNCTION("googletranslate(F2515,""en"",""ja"")"),"ヒトパピローマウイルス33型DNA測定")</f>
        <v>ヒトパピローマウイルス33型DNA測定</v>
      </c>
    </row>
    <row r="2516" spans="1:9" ht="30">
      <c r="A2516" s="3" t="s">
        <v>67</v>
      </c>
      <c r="B2516" s="3" t="s">
        <v>10470</v>
      </c>
      <c r="C2516" s="3" t="s">
        <v>10471</v>
      </c>
      <c r="D2516" s="3" t="s">
        <v>10471</v>
      </c>
      <c r="E2516" s="3" t="s">
        <v>10472</v>
      </c>
      <c r="F2516" s="3" t="s">
        <v>10473</v>
      </c>
      <c r="G2516" s="3" t="str">
        <f ca="1">IFERROR(__xludf.DUMMYFUNCTION("googletranslate(D2516,""en"",""ja"")"),"ヒトパピローマウイルス 34 型")</f>
        <v>ヒトパピローマウイルス 34 型</v>
      </c>
      <c r="H2516" s="3" t="str">
        <f ca="1">IFERROR(__xludf.DUMMYFUNCTION("googletranslate(E2516,""en"",""ja"")"),"生物学的検体中のヒトパピローマウイルス 34 型の測定。")</f>
        <v>生物学的検体中のヒトパピローマウイルス 34 型の測定。</v>
      </c>
      <c r="I2516" s="3" t="str">
        <f ca="1">IFERROR(__xludf.DUMMYFUNCTION("googletranslate(F2516,""en"",""ja"")"),"ヒトパピローマウイルス34型の測定")</f>
        <v>ヒトパピローマウイルス34型の測定</v>
      </c>
    </row>
    <row r="2517" spans="1:9" ht="30">
      <c r="A2517" s="3" t="s">
        <v>67</v>
      </c>
      <c r="B2517" s="3" t="s">
        <v>10474</v>
      </c>
      <c r="C2517" s="3" t="s">
        <v>10475</v>
      </c>
      <c r="D2517" s="3" t="s">
        <v>10475</v>
      </c>
      <c r="E2517" s="3" t="s">
        <v>10476</v>
      </c>
      <c r="F2517" s="3" t="s">
        <v>10477</v>
      </c>
      <c r="G2517" s="3" t="str">
        <f ca="1">IFERROR(__xludf.DUMMYFUNCTION("googletranslate(D2517,""en"",""ja"")"),"ヒトパピローマウイルス 35 型")</f>
        <v>ヒトパピローマウイルス 35 型</v>
      </c>
      <c r="H2517" s="3" t="str">
        <f ca="1">IFERROR(__xludf.DUMMYFUNCTION("googletranslate(E2517,""en"",""ja"")"),"生物学的検体中のヒトパピローマウイルス 35 型の測定。")</f>
        <v>生物学的検体中のヒトパピローマウイルス 35 型の測定。</v>
      </c>
      <c r="I2517" s="3" t="str">
        <f ca="1">IFERROR(__xludf.DUMMYFUNCTION("googletranslate(F2517,""en"",""ja"")"),"ヒトパピローマウイルス35型の測定")</f>
        <v>ヒトパピローマウイルス35型の測定</v>
      </c>
    </row>
    <row r="2518" spans="1:9" ht="30">
      <c r="A2518" s="3" t="s">
        <v>67</v>
      </c>
      <c r="B2518" s="3" t="s">
        <v>10478</v>
      </c>
      <c r="C2518" s="3" t="s">
        <v>10479</v>
      </c>
      <c r="D2518" s="3" t="s">
        <v>10479</v>
      </c>
      <c r="E2518" s="3" t="s">
        <v>10480</v>
      </c>
      <c r="F2518" s="3" t="s">
        <v>10481</v>
      </c>
      <c r="G2518" s="3" t="str">
        <f ca="1">IFERROR(__xludf.DUMMYFUNCTION("googletranslate(D2518,""en"",""ja"")"),"ヒトパピローマウイルス 35 型 DNA")</f>
        <v>ヒトパピローマウイルス 35 型 DNA</v>
      </c>
      <c r="H2518" s="3" t="str">
        <f ca="1">IFERROR(__xludf.DUMMYFUNCTION("googletranslate(E2518,""en"",""ja"")"),"生物学的検体中のヒトパピローマウイルス 35 型 DNA の測定。")</f>
        <v>生物学的検体中のヒトパピローマウイルス 35 型 DNA の測定。</v>
      </c>
      <c r="I2518" s="3" t="str">
        <f ca="1">IFERROR(__xludf.DUMMYFUNCTION("googletranslate(F2518,""en"",""ja"")"),"ヒトパピローマウイルス35型DNA測定")</f>
        <v>ヒトパピローマウイルス35型DNA測定</v>
      </c>
    </row>
    <row r="2519" spans="1:9" ht="30">
      <c r="A2519" s="3" t="s">
        <v>67</v>
      </c>
      <c r="B2519" s="3" t="s">
        <v>10482</v>
      </c>
      <c r="C2519" s="3" t="s">
        <v>10483</v>
      </c>
      <c r="D2519" s="3" t="s">
        <v>10483</v>
      </c>
      <c r="E2519" s="3" t="s">
        <v>10484</v>
      </c>
      <c r="F2519" s="3" t="s">
        <v>10485</v>
      </c>
      <c r="G2519" s="3" t="str">
        <f ca="1">IFERROR(__xludf.DUMMYFUNCTION("googletranslate(D2519,""en"",""ja"")"),"ヒトパピローマウイルス 39 型")</f>
        <v>ヒトパピローマウイルス 39 型</v>
      </c>
      <c r="H2519" s="3" t="str">
        <f ca="1">IFERROR(__xludf.DUMMYFUNCTION("googletranslate(E2519,""en"",""ja"")"),"生物学的検体中のヒトパピローマウイルス 39 型の測定。")</f>
        <v>生物学的検体中のヒトパピローマウイルス 39 型の測定。</v>
      </c>
      <c r="I2519" s="3" t="str">
        <f ca="1">IFERROR(__xludf.DUMMYFUNCTION("googletranslate(F2519,""en"",""ja"")"),"ヒトパピローマウイルス39型の測定")</f>
        <v>ヒトパピローマウイルス39型の測定</v>
      </c>
    </row>
    <row r="2520" spans="1:9" ht="30">
      <c r="A2520" s="3" t="s">
        <v>67</v>
      </c>
      <c r="B2520" s="3" t="s">
        <v>10486</v>
      </c>
      <c r="C2520" s="3" t="s">
        <v>10487</v>
      </c>
      <c r="D2520" s="3" t="s">
        <v>10487</v>
      </c>
      <c r="E2520" s="3" t="s">
        <v>10488</v>
      </c>
      <c r="F2520" s="3" t="s">
        <v>10489</v>
      </c>
      <c r="G2520" s="3" t="str">
        <f ca="1">IFERROR(__xludf.DUMMYFUNCTION("googletranslate(D2520,""en"",""ja"")"),"ヒトパピローマウイルス 39 型 DNA")</f>
        <v>ヒトパピローマウイルス 39 型 DNA</v>
      </c>
      <c r="H2520" s="3" t="str">
        <f ca="1">IFERROR(__xludf.DUMMYFUNCTION("googletranslate(E2520,""en"",""ja"")"),"生物学的検体中のヒトパピローマウイルス 39 型 DNA の測定。")</f>
        <v>生物学的検体中のヒトパピローマウイルス 39 型 DNA の測定。</v>
      </c>
      <c r="I2520" s="3" t="str">
        <f ca="1">IFERROR(__xludf.DUMMYFUNCTION("googletranslate(F2520,""en"",""ja"")"),"ヒトパピローマウイルス39型DNA測定")</f>
        <v>ヒトパピローマウイルス39型DNA測定</v>
      </c>
    </row>
    <row r="2521" spans="1:9" ht="30">
      <c r="A2521" s="3" t="s">
        <v>67</v>
      </c>
      <c r="B2521" s="3" t="s">
        <v>10490</v>
      </c>
      <c r="C2521" s="3" t="s">
        <v>10491</v>
      </c>
      <c r="D2521" s="3" t="s">
        <v>10491</v>
      </c>
      <c r="E2521" s="3" t="s">
        <v>10492</v>
      </c>
      <c r="F2521" s="3" t="s">
        <v>10493</v>
      </c>
      <c r="G2521" s="3" t="str">
        <f ca="1">IFERROR(__xludf.DUMMYFUNCTION("googletranslate(D2521,""en"",""ja"")"),"ヒトパピローマウイルス 40 型")</f>
        <v>ヒトパピローマウイルス 40 型</v>
      </c>
      <c r="H2521" s="3" t="str">
        <f ca="1">IFERROR(__xludf.DUMMYFUNCTION("googletranslate(E2521,""en"",""ja"")"),"生物学的検体中のヒトパピローマウイルス 40 型の測定。")</f>
        <v>生物学的検体中のヒトパピローマウイルス 40 型の測定。</v>
      </c>
      <c r="I2521" s="3" t="str">
        <f ca="1">IFERROR(__xludf.DUMMYFUNCTION("googletranslate(F2521,""en"",""ja"")"),"ヒトパピローマウイルス40型の測定")</f>
        <v>ヒトパピローマウイルス40型の測定</v>
      </c>
    </row>
    <row r="2522" spans="1:9" ht="30">
      <c r="A2522" s="3" t="s">
        <v>67</v>
      </c>
      <c r="B2522" s="3" t="s">
        <v>10494</v>
      </c>
      <c r="C2522" s="3" t="s">
        <v>10495</v>
      </c>
      <c r="D2522" s="3" t="s">
        <v>10495</v>
      </c>
      <c r="E2522" s="3" t="s">
        <v>10496</v>
      </c>
      <c r="F2522" s="3" t="s">
        <v>10497</v>
      </c>
      <c r="G2522" s="3" t="str">
        <f ca="1">IFERROR(__xludf.DUMMYFUNCTION("googletranslate(D2522,""en"",""ja"")"),"ヒトパピローマウイルス 42 型")</f>
        <v>ヒトパピローマウイルス 42 型</v>
      </c>
      <c r="H2522" s="3" t="str">
        <f ca="1">IFERROR(__xludf.DUMMYFUNCTION("googletranslate(E2522,""en"",""ja"")"),"生物学的検体中のヒトパピローマウイルス 42 型の測定。")</f>
        <v>生物学的検体中のヒトパピローマウイルス 42 型の測定。</v>
      </c>
      <c r="I2522" s="3" t="str">
        <f ca="1">IFERROR(__xludf.DUMMYFUNCTION("googletranslate(F2522,""en"",""ja"")"),"ヒトパピローマウイルス42型の測定")</f>
        <v>ヒトパピローマウイルス42型の測定</v>
      </c>
    </row>
    <row r="2523" spans="1:9" ht="30">
      <c r="A2523" s="3" t="s">
        <v>67</v>
      </c>
      <c r="B2523" s="3" t="s">
        <v>10498</v>
      </c>
      <c r="C2523" s="3" t="s">
        <v>10499</v>
      </c>
      <c r="D2523" s="3" t="s">
        <v>10499</v>
      </c>
      <c r="E2523" s="3" t="s">
        <v>10500</v>
      </c>
      <c r="F2523" s="3" t="s">
        <v>10501</v>
      </c>
      <c r="G2523" s="3" t="str">
        <f ca="1">IFERROR(__xludf.DUMMYFUNCTION("googletranslate(D2523,""en"",""ja"")"),"ヒトパピローマウイルス 43 型")</f>
        <v>ヒトパピローマウイルス 43 型</v>
      </c>
      <c r="H2523" s="3" t="str">
        <f ca="1">IFERROR(__xludf.DUMMYFUNCTION("googletranslate(E2523,""en"",""ja"")"),"生物学的検体中のヒトパピローマウイルス 43 型の測定。")</f>
        <v>生物学的検体中のヒトパピローマウイルス 43 型の測定。</v>
      </c>
      <c r="I2523" s="3" t="str">
        <f ca="1">IFERROR(__xludf.DUMMYFUNCTION("googletranslate(F2523,""en"",""ja"")"),"ヒトパピローマウイルス43型の測定")</f>
        <v>ヒトパピローマウイルス43型の測定</v>
      </c>
    </row>
    <row r="2524" spans="1:9" ht="30">
      <c r="A2524" s="3" t="s">
        <v>67</v>
      </c>
      <c r="B2524" s="3" t="s">
        <v>10502</v>
      </c>
      <c r="C2524" s="3" t="s">
        <v>10503</v>
      </c>
      <c r="D2524" s="3" t="s">
        <v>10503</v>
      </c>
      <c r="E2524" s="3" t="s">
        <v>10504</v>
      </c>
      <c r="F2524" s="3" t="s">
        <v>10505</v>
      </c>
      <c r="G2524" s="3" t="str">
        <f ca="1">IFERROR(__xludf.DUMMYFUNCTION("googletranslate(D2524,""en"",""ja"")"),"ヒトパピローマウイルス 44 型")</f>
        <v>ヒトパピローマウイルス 44 型</v>
      </c>
      <c r="H2524" s="3" t="str">
        <f ca="1">IFERROR(__xludf.DUMMYFUNCTION("googletranslate(E2524,""en"",""ja"")"),"生物学的検体中のヒトパピローマウイルス 44 型の測定。")</f>
        <v>生物学的検体中のヒトパピローマウイルス 44 型の測定。</v>
      </c>
      <c r="I2524" s="3" t="str">
        <f ca="1">IFERROR(__xludf.DUMMYFUNCTION("googletranslate(F2524,""en"",""ja"")"),"ヒトパピローマウイルス44型の測定")</f>
        <v>ヒトパピローマウイルス44型の測定</v>
      </c>
    </row>
    <row r="2525" spans="1:9" ht="30">
      <c r="A2525" s="3" t="s">
        <v>67</v>
      </c>
      <c r="B2525" s="3" t="s">
        <v>10506</v>
      </c>
      <c r="C2525" s="3" t="s">
        <v>10507</v>
      </c>
      <c r="D2525" s="3" t="s">
        <v>10507</v>
      </c>
      <c r="E2525" s="3" t="s">
        <v>10508</v>
      </c>
      <c r="F2525" s="3" t="s">
        <v>10509</v>
      </c>
      <c r="G2525" s="3" t="str">
        <f ca="1">IFERROR(__xludf.DUMMYFUNCTION("googletranslate(D2525,""en"",""ja"")"),"ヒトパピローマウイルス 45 型")</f>
        <v>ヒトパピローマウイルス 45 型</v>
      </c>
      <c r="H2525" s="3" t="str">
        <f ca="1">IFERROR(__xludf.DUMMYFUNCTION("googletranslate(E2525,""en"",""ja"")"),"生物学的検体中のヒトパピローマウイルス 45 型の測定。")</f>
        <v>生物学的検体中のヒトパピローマウイルス 45 型の測定。</v>
      </c>
      <c r="I2525" s="3" t="str">
        <f ca="1">IFERROR(__xludf.DUMMYFUNCTION("googletranslate(F2525,""en"",""ja"")"),"ヒトパピローマウイルス45型の測定")</f>
        <v>ヒトパピローマウイルス45型の測定</v>
      </c>
    </row>
    <row r="2526" spans="1:9" ht="30">
      <c r="A2526" s="3" t="s">
        <v>67</v>
      </c>
      <c r="B2526" s="3" t="s">
        <v>10510</v>
      </c>
      <c r="C2526" s="3" t="s">
        <v>10511</v>
      </c>
      <c r="D2526" s="3" t="s">
        <v>10511</v>
      </c>
      <c r="E2526" s="3" t="s">
        <v>10512</v>
      </c>
      <c r="F2526" s="3" t="s">
        <v>10513</v>
      </c>
      <c r="G2526" s="3" t="str">
        <f ca="1">IFERROR(__xludf.DUMMYFUNCTION("googletranslate(D2526,""en"",""ja"")"),"ヒトパピローマウイルス 45 型 DNA")</f>
        <v>ヒトパピローマウイルス 45 型 DNA</v>
      </c>
      <c r="H2526" s="3" t="str">
        <f ca="1">IFERROR(__xludf.DUMMYFUNCTION("googletranslate(E2526,""en"",""ja"")"),"生物学的検体中のヒトパピローマウイルス 45 型 DNA の測定。")</f>
        <v>生物学的検体中のヒトパピローマウイルス 45 型 DNA の測定。</v>
      </c>
      <c r="I2526" s="3" t="str">
        <f ca="1">IFERROR(__xludf.DUMMYFUNCTION("googletranslate(F2526,""en"",""ja"")"),"ヒトパピローマウイルス45型DNA測定")</f>
        <v>ヒトパピローマウイルス45型DNA測定</v>
      </c>
    </row>
    <row r="2527" spans="1:9" ht="30">
      <c r="A2527" s="3" t="s">
        <v>67</v>
      </c>
      <c r="B2527" s="3" t="s">
        <v>10514</v>
      </c>
      <c r="C2527" s="3" t="s">
        <v>10515</v>
      </c>
      <c r="D2527" s="3" t="s">
        <v>10515</v>
      </c>
      <c r="E2527" s="3" t="s">
        <v>10516</v>
      </c>
      <c r="F2527" s="3" t="s">
        <v>10517</v>
      </c>
      <c r="G2527" s="3" t="str">
        <f ca="1">IFERROR(__xludf.DUMMYFUNCTION("googletranslate(D2527,""en"",""ja"")"),"ヒトパピローマウイルス 51 型")</f>
        <v>ヒトパピローマウイルス 51 型</v>
      </c>
      <c r="H2527" s="3" t="str">
        <f ca="1">IFERROR(__xludf.DUMMYFUNCTION("googletranslate(E2527,""en"",""ja"")"),"生物学的検体中のヒトパピローマウイルス 51 型の測定。")</f>
        <v>生物学的検体中のヒトパピローマウイルス 51 型の測定。</v>
      </c>
      <c r="I2527" s="3" t="str">
        <f ca="1">IFERROR(__xludf.DUMMYFUNCTION("googletranslate(F2527,""en"",""ja"")"),"ヒトパピローマウイルス51型の測定")</f>
        <v>ヒトパピローマウイルス51型の測定</v>
      </c>
    </row>
    <row r="2528" spans="1:9" ht="30">
      <c r="A2528" s="3" t="s">
        <v>67</v>
      </c>
      <c r="B2528" s="3" t="s">
        <v>10518</v>
      </c>
      <c r="C2528" s="3" t="s">
        <v>10519</v>
      </c>
      <c r="D2528" s="3" t="s">
        <v>10519</v>
      </c>
      <c r="E2528" s="3" t="s">
        <v>10520</v>
      </c>
      <c r="F2528" s="3" t="s">
        <v>10521</v>
      </c>
      <c r="G2528" s="3" t="str">
        <f ca="1">IFERROR(__xludf.DUMMYFUNCTION("googletranslate(D2528,""en"",""ja"")"),"ヒトパピローマウイルス 51 型 DNA")</f>
        <v>ヒトパピローマウイルス 51 型 DNA</v>
      </c>
      <c r="H2528" s="3" t="str">
        <f ca="1">IFERROR(__xludf.DUMMYFUNCTION("googletranslate(E2528,""en"",""ja"")"),"生物学的検体中のヒトパピローマウイルス 51 型 DNA の測定。")</f>
        <v>生物学的検体中のヒトパピローマウイルス 51 型 DNA の測定。</v>
      </c>
      <c r="I2528" s="3" t="str">
        <f ca="1">IFERROR(__xludf.DUMMYFUNCTION("googletranslate(F2528,""en"",""ja"")"),"ヒトパピローマウイルス51型DNA測定")</f>
        <v>ヒトパピローマウイルス51型DNA測定</v>
      </c>
    </row>
    <row r="2529" spans="1:9" ht="30">
      <c r="A2529" s="3" t="s">
        <v>67</v>
      </c>
      <c r="B2529" s="3" t="s">
        <v>10522</v>
      </c>
      <c r="C2529" s="3" t="s">
        <v>10523</v>
      </c>
      <c r="D2529" s="3" t="s">
        <v>10523</v>
      </c>
      <c r="E2529" s="3" t="s">
        <v>10524</v>
      </c>
      <c r="F2529" s="3" t="s">
        <v>10525</v>
      </c>
      <c r="G2529" s="3" t="str">
        <f ca="1">IFERROR(__xludf.DUMMYFUNCTION("googletranslate(D2529,""en"",""ja"")"),"ヒトパピローマウイルス 52 型")</f>
        <v>ヒトパピローマウイルス 52 型</v>
      </c>
      <c r="H2529" s="3" t="str">
        <f ca="1">IFERROR(__xludf.DUMMYFUNCTION("googletranslate(E2529,""en"",""ja"")"),"生物学的検体中のヒトパピローマウイルス 52 型の測定。")</f>
        <v>生物学的検体中のヒトパピローマウイルス 52 型の測定。</v>
      </c>
      <c r="I2529" s="3" t="str">
        <f ca="1">IFERROR(__xludf.DUMMYFUNCTION("googletranslate(F2529,""en"",""ja"")"),"ヒトパピローマウイルス52型の測定")</f>
        <v>ヒトパピローマウイルス52型の測定</v>
      </c>
    </row>
    <row r="2530" spans="1:9" ht="30">
      <c r="A2530" s="3" t="s">
        <v>67</v>
      </c>
      <c r="B2530" s="3" t="s">
        <v>10526</v>
      </c>
      <c r="C2530" s="3" t="s">
        <v>10527</v>
      </c>
      <c r="D2530" s="3" t="s">
        <v>10527</v>
      </c>
      <c r="E2530" s="3" t="s">
        <v>10528</v>
      </c>
      <c r="F2530" s="3" t="s">
        <v>10529</v>
      </c>
      <c r="G2530" s="3" t="str">
        <f ca="1">IFERROR(__xludf.DUMMYFUNCTION("googletranslate(D2530,""en"",""ja"")"),"ヒトパピローマウイルス 52 型 DNA")</f>
        <v>ヒトパピローマウイルス 52 型 DNA</v>
      </c>
      <c r="H2530" s="3" t="str">
        <f ca="1">IFERROR(__xludf.DUMMYFUNCTION("googletranslate(E2530,""en"",""ja"")"),"生物学的検体中のヒトパピローマウイルス 52 型 DNA の測定。")</f>
        <v>生物学的検体中のヒトパピローマウイルス 52 型 DNA の測定。</v>
      </c>
      <c r="I2530" s="3" t="str">
        <f ca="1">IFERROR(__xludf.DUMMYFUNCTION("googletranslate(F2530,""en"",""ja"")"),"ヒトパピローマウイルス52型DNA測定")</f>
        <v>ヒトパピローマウイルス52型DNA測定</v>
      </c>
    </row>
    <row r="2531" spans="1:9" ht="30">
      <c r="A2531" s="3" t="s">
        <v>67</v>
      </c>
      <c r="B2531" s="3" t="s">
        <v>10530</v>
      </c>
      <c r="C2531" s="3" t="s">
        <v>10531</v>
      </c>
      <c r="D2531" s="3" t="s">
        <v>10531</v>
      </c>
      <c r="E2531" s="3" t="s">
        <v>10532</v>
      </c>
      <c r="F2531" s="3" t="s">
        <v>10533</v>
      </c>
      <c r="G2531" s="3" t="str">
        <f ca="1">IFERROR(__xludf.DUMMYFUNCTION("googletranslate(D2531,""en"",""ja"")"),"ヒトパピローマウイルス 53 型")</f>
        <v>ヒトパピローマウイルス 53 型</v>
      </c>
      <c r="H2531" s="3" t="str">
        <f ca="1">IFERROR(__xludf.DUMMYFUNCTION("googletranslate(E2531,""en"",""ja"")"),"生物学的検体中のヒトパピローマウイルス 53 型の測定。")</f>
        <v>生物学的検体中のヒトパピローマウイルス 53 型の測定。</v>
      </c>
      <c r="I2531" s="3" t="str">
        <f ca="1">IFERROR(__xludf.DUMMYFUNCTION("googletranslate(F2531,""en"",""ja"")"),"ヒトパピローマウイルス53型の測定")</f>
        <v>ヒトパピローマウイルス53型の測定</v>
      </c>
    </row>
    <row r="2532" spans="1:9" ht="30">
      <c r="A2532" s="3" t="s">
        <v>67</v>
      </c>
      <c r="B2532" s="3" t="s">
        <v>10534</v>
      </c>
      <c r="C2532" s="3" t="s">
        <v>10535</v>
      </c>
      <c r="D2532" s="3" t="s">
        <v>10535</v>
      </c>
      <c r="E2532" s="3" t="s">
        <v>10536</v>
      </c>
      <c r="F2532" s="3" t="s">
        <v>10537</v>
      </c>
      <c r="G2532" s="3" t="str">
        <f ca="1">IFERROR(__xludf.DUMMYFUNCTION("googletranslate(D2532,""en"",""ja"")"),"ヒトパピローマウイルス 53 型 DNA")</f>
        <v>ヒトパピローマウイルス 53 型 DNA</v>
      </c>
      <c r="H2532" s="3" t="str">
        <f ca="1">IFERROR(__xludf.DUMMYFUNCTION("googletranslate(E2532,""en"",""ja"")"),"生物学的検体中のヒトパピローマウイルス 53 型 DNA の測定。")</f>
        <v>生物学的検体中のヒトパピローマウイルス 53 型 DNA の測定。</v>
      </c>
      <c r="I2532" s="3" t="str">
        <f ca="1">IFERROR(__xludf.DUMMYFUNCTION("googletranslate(F2532,""en"",""ja"")"),"ヒトパピローマウイルス53型DNA測定")</f>
        <v>ヒトパピローマウイルス53型DNA測定</v>
      </c>
    </row>
    <row r="2533" spans="1:9" ht="30">
      <c r="A2533" s="3" t="s">
        <v>67</v>
      </c>
      <c r="B2533" s="3" t="s">
        <v>10538</v>
      </c>
      <c r="C2533" s="3" t="s">
        <v>10539</v>
      </c>
      <c r="D2533" s="3" t="s">
        <v>10539</v>
      </c>
      <c r="E2533" s="3" t="s">
        <v>10540</v>
      </c>
      <c r="F2533" s="3" t="s">
        <v>10541</v>
      </c>
      <c r="G2533" s="3" t="str">
        <f ca="1">IFERROR(__xludf.DUMMYFUNCTION("googletranslate(D2533,""en"",""ja"")"),"ヒトパピローマウイルス 54 型")</f>
        <v>ヒトパピローマウイルス 54 型</v>
      </c>
      <c r="H2533" s="3" t="str">
        <f ca="1">IFERROR(__xludf.DUMMYFUNCTION("googletranslate(E2533,""en"",""ja"")"),"生物学的検体中のヒトパピローマウイルス 54 型の測定。")</f>
        <v>生物学的検体中のヒトパピローマウイルス 54 型の測定。</v>
      </c>
      <c r="I2533" s="3" t="str">
        <f ca="1">IFERROR(__xludf.DUMMYFUNCTION("googletranslate(F2533,""en"",""ja"")"),"ヒトパピローマウイルス54型の測定")</f>
        <v>ヒトパピローマウイルス54型の測定</v>
      </c>
    </row>
    <row r="2534" spans="1:9" ht="30">
      <c r="A2534" s="3" t="s">
        <v>67</v>
      </c>
      <c r="B2534" s="3" t="s">
        <v>10542</v>
      </c>
      <c r="C2534" s="3" t="s">
        <v>10543</v>
      </c>
      <c r="D2534" s="3" t="s">
        <v>10543</v>
      </c>
      <c r="E2534" s="3" t="s">
        <v>10544</v>
      </c>
      <c r="F2534" s="3" t="s">
        <v>10545</v>
      </c>
      <c r="G2534" s="3" t="str">
        <f ca="1">IFERROR(__xludf.DUMMYFUNCTION("googletranslate(D2534,""en"",""ja"")"),"ヒトパピローマウイルス 56 型")</f>
        <v>ヒトパピローマウイルス 56 型</v>
      </c>
      <c r="H2534" s="3" t="str">
        <f ca="1">IFERROR(__xludf.DUMMYFUNCTION("googletranslate(E2534,""en"",""ja"")"),"生物学的検体中のヒトパピローマウイルス 56 型の測定。")</f>
        <v>生物学的検体中のヒトパピローマウイルス 56 型の測定。</v>
      </c>
      <c r="I2534" s="3" t="str">
        <f ca="1">IFERROR(__xludf.DUMMYFUNCTION("googletranslate(F2534,""en"",""ja"")"),"ヒトパピローマウイルス56型の測定")</f>
        <v>ヒトパピローマウイルス56型の測定</v>
      </c>
    </row>
    <row r="2535" spans="1:9" ht="30">
      <c r="A2535" s="3" t="s">
        <v>67</v>
      </c>
      <c r="B2535" s="3" t="s">
        <v>10546</v>
      </c>
      <c r="C2535" s="3" t="s">
        <v>10547</v>
      </c>
      <c r="D2535" s="3" t="s">
        <v>10547</v>
      </c>
      <c r="E2535" s="3" t="s">
        <v>10548</v>
      </c>
      <c r="F2535" s="3" t="s">
        <v>10549</v>
      </c>
      <c r="G2535" s="3" t="str">
        <f ca="1">IFERROR(__xludf.DUMMYFUNCTION("googletranslate(D2535,""en"",""ja"")"),"ヒトパピローマウイルス 56 型 DNA")</f>
        <v>ヒトパピローマウイルス 56 型 DNA</v>
      </c>
      <c r="H2535" s="3" t="str">
        <f ca="1">IFERROR(__xludf.DUMMYFUNCTION("googletranslate(E2535,""en"",""ja"")"),"生物学的検体中のヒトパピローマウイルス 56 型 DNA の測定。")</f>
        <v>生物学的検体中のヒトパピローマウイルス 56 型 DNA の測定。</v>
      </c>
      <c r="I2535" s="3" t="str">
        <f ca="1">IFERROR(__xludf.DUMMYFUNCTION("googletranslate(F2535,""en"",""ja"")"),"ヒトパピローマウイルス56型DNA測定")</f>
        <v>ヒトパピローマウイルス56型DNA測定</v>
      </c>
    </row>
    <row r="2536" spans="1:9" ht="30">
      <c r="A2536" s="3" t="s">
        <v>67</v>
      </c>
      <c r="B2536" s="3" t="s">
        <v>10550</v>
      </c>
      <c r="C2536" s="3" t="s">
        <v>10551</v>
      </c>
      <c r="D2536" s="3" t="s">
        <v>10551</v>
      </c>
      <c r="E2536" s="3" t="s">
        <v>10552</v>
      </c>
      <c r="F2536" s="3" t="s">
        <v>10553</v>
      </c>
      <c r="G2536" s="3" t="str">
        <f ca="1">IFERROR(__xludf.DUMMYFUNCTION("googletranslate(D2536,""en"",""ja"")"),"ヒトパピローマウイルス 57 型 DNA")</f>
        <v>ヒトパピローマウイルス 57 型 DNA</v>
      </c>
      <c r="H2536" s="3" t="str">
        <f ca="1">IFERROR(__xludf.DUMMYFUNCTION("googletranslate(E2536,""en"",""ja"")"),"生物学的検体中のヒトパピローマウイルス 57 型 DNA の測定。")</f>
        <v>生物学的検体中のヒトパピローマウイルス 57 型 DNA の測定。</v>
      </c>
      <c r="I2536" s="3" t="str">
        <f ca="1">IFERROR(__xludf.DUMMYFUNCTION("googletranslate(F2536,""en"",""ja"")"),"ヒトパピローマウイルス57型DNA測定")</f>
        <v>ヒトパピローマウイルス57型DNA測定</v>
      </c>
    </row>
    <row r="2537" spans="1:9" ht="30">
      <c r="A2537" s="3" t="s">
        <v>67</v>
      </c>
      <c r="B2537" s="3" t="s">
        <v>10554</v>
      </c>
      <c r="C2537" s="3" t="s">
        <v>10555</v>
      </c>
      <c r="D2537" s="3" t="s">
        <v>10555</v>
      </c>
      <c r="E2537" s="3" t="s">
        <v>10556</v>
      </c>
      <c r="F2537" s="3" t="s">
        <v>10557</v>
      </c>
      <c r="G2537" s="3" t="str">
        <f ca="1">IFERROR(__xludf.DUMMYFUNCTION("googletranslate(D2537,""en"",""ja"")"),"ヒトパピローマウイルス 58 型")</f>
        <v>ヒトパピローマウイルス 58 型</v>
      </c>
      <c r="H2537" s="3" t="str">
        <f ca="1">IFERROR(__xludf.DUMMYFUNCTION("googletranslate(E2537,""en"",""ja"")"),"生物学的検体中のヒトパピローマウイルス 58 型の測定。")</f>
        <v>生物学的検体中のヒトパピローマウイルス 58 型の測定。</v>
      </c>
      <c r="I2537" s="3" t="str">
        <f ca="1">IFERROR(__xludf.DUMMYFUNCTION("googletranslate(F2537,""en"",""ja"")"),"ヒトパピローマウイルス58型の測定")</f>
        <v>ヒトパピローマウイルス58型の測定</v>
      </c>
    </row>
    <row r="2538" spans="1:9" ht="30">
      <c r="A2538" s="3" t="s">
        <v>67</v>
      </c>
      <c r="B2538" s="3" t="s">
        <v>10558</v>
      </c>
      <c r="C2538" s="3" t="s">
        <v>10559</v>
      </c>
      <c r="D2538" s="3" t="s">
        <v>10559</v>
      </c>
      <c r="E2538" s="3" t="s">
        <v>10560</v>
      </c>
      <c r="F2538" s="3" t="s">
        <v>10561</v>
      </c>
      <c r="G2538" s="3" t="str">
        <f ca="1">IFERROR(__xludf.DUMMYFUNCTION("googletranslate(D2538,""en"",""ja"")"),"ヒトパピローマウイルス58型DNA")</f>
        <v>ヒトパピローマウイルス58型DNA</v>
      </c>
      <c r="H2538" s="3" t="str">
        <f ca="1">IFERROR(__xludf.DUMMYFUNCTION("googletranslate(E2538,""en"",""ja"")"),"生物学的検体中のヒトパピローマウイルス 58 型 DNA の測定。")</f>
        <v>生物学的検体中のヒトパピローマウイルス 58 型 DNA の測定。</v>
      </c>
      <c r="I2538" s="3" t="str">
        <f ca="1">IFERROR(__xludf.DUMMYFUNCTION("googletranslate(F2538,""en"",""ja"")"),"ヒトパピローマウイルス58型DNA測定")</f>
        <v>ヒトパピローマウイルス58型DNA測定</v>
      </c>
    </row>
    <row r="2539" spans="1:9" ht="30">
      <c r="A2539" s="3" t="s">
        <v>67</v>
      </c>
      <c r="B2539" s="3" t="s">
        <v>10562</v>
      </c>
      <c r="C2539" s="3" t="s">
        <v>10563</v>
      </c>
      <c r="D2539" s="3" t="s">
        <v>10563</v>
      </c>
      <c r="E2539" s="3" t="s">
        <v>10564</v>
      </c>
      <c r="F2539" s="3" t="s">
        <v>10565</v>
      </c>
      <c r="G2539" s="3" t="str">
        <f ca="1">IFERROR(__xludf.DUMMYFUNCTION("googletranslate(D2539,""en"",""ja"")"),"ヒトパピローマウイルス 59 型")</f>
        <v>ヒトパピローマウイルス 59 型</v>
      </c>
      <c r="H2539" s="3" t="str">
        <f ca="1">IFERROR(__xludf.DUMMYFUNCTION("googletranslate(E2539,""en"",""ja"")"),"生物学的検体中のヒトパピローマウイルス 59 型の測定。")</f>
        <v>生物学的検体中のヒトパピローマウイルス 59 型の測定。</v>
      </c>
      <c r="I2539" s="3" t="str">
        <f ca="1">IFERROR(__xludf.DUMMYFUNCTION("googletranslate(F2539,""en"",""ja"")"),"ヒトパピローマウイルス59型の測定")</f>
        <v>ヒトパピローマウイルス59型の測定</v>
      </c>
    </row>
    <row r="2540" spans="1:9" ht="30">
      <c r="A2540" s="3" t="s">
        <v>67</v>
      </c>
      <c r="B2540" s="3" t="s">
        <v>10566</v>
      </c>
      <c r="C2540" s="3" t="s">
        <v>10567</v>
      </c>
      <c r="D2540" s="3" t="s">
        <v>10567</v>
      </c>
      <c r="E2540" s="3" t="s">
        <v>10568</v>
      </c>
      <c r="F2540" s="3" t="s">
        <v>10569</v>
      </c>
      <c r="G2540" s="3" t="str">
        <f ca="1">IFERROR(__xludf.DUMMYFUNCTION("googletranslate(D2540,""en"",""ja"")"),"ヒトパピローマウイルス 59 型 DNA")</f>
        <v>ヒトパピローマウイルス 59 型 DNA</v>
      </c>
      <c r="H2540" s="3" t="str">
        <f ca="1">IFERROR(__xludf.DUMMYFUNCTION("googletranslate(E2540,""en"",""ja"")"),"生物学的検体中のヒトパピローマウイルス 59 型 DNA の測定。")</f>
        <v>生物学的検体中のヒトパピローマウイルス 59 型 DNA の測定。</v>
      </c>
      <c r="I2540" s="3" t="str">
        <f ca="1">IFERROR(__xludf.DUMMYFUNCTION("googletranslate(F2540,""en"",""ja"")"),"ヒトパピローマウイルス59型DNA測定")</f>
        <v>ヒトパピローマウイルス59型DNA測定</v>
      </c>
    </row>
    <row r="2541" spans="1:9" ht="30">
      <c r="A2541" s="3" t="s">
        <v>67</v>
      </c>
      <c r="B2541" s="3" t="s">
        <v>10570</v>
      </c>
      <c r="C2541" s="3" t="s">
        <v>10571</v>
      </c>
      <c r="D2541" s="3" t="s">
        <v>10571</v>
      </c>
      <c r="E2541" s="3" t="s">
        <v>10572</v>
      </c>
      <c r="F2541" s="3" t="s">
        <v>10573</v>
      </c>
      <c r="G2541" s="3" t="str">
        <f ca="1">IFERROR(__xludf.DUMMYFUNCTION("googletranslate(D2541,""en"",""ja"")"),"ヒトパピローマウイルス 66 型")</f>
        <v>ヒトパピローマウイルス 66 型</v>
      </c>
      <c r="H2541" s="3" t="str">
        <f ca="1">IFERROR(__xludf.DUMMYFUNCTION("googletranslate(E2541,""en"",""ja"")"),"生物学的検体中のヒトパピローマウイルス 66 型の測定。")</f>
        <v>生物学的検体中のヒトパピローマウイルス 66 型の測定。</v>
      </c>
      <c r="I2541" s="3" t="str">
        <f ca="1">IFERROR(__xludf.DUMMYFUNCTION("googletranslate(F2541,""en"",""ja"")"),"ヒトパピローマウイルス66型の測定")</f>
        <v>ヒトパピローマウイルス66型の測定</v>
      </c>
    </row>
    <row r="2542" spans="1:9" ht="30">
      <c r="A2542" s="3" t="s">
        <v>67</v>
      </c>
      <c r="B2542" s="3" t="s">
        <v>10574</v>
      </c>
      <c r="C2542" s="3" t="s">
        <v>10575</v>
      </c>
      <c r="D2542" s="3" t="s">
        <v>10575</v>
      </c>
      <c r="E2542" s="3" t="s">
        <v>10576</v>
      </c>
      <c r="F2542" s="3" t="s">
        <v>10577</v>
      </c>
      <c r="G2542" s="3" t="str">
        <f ca="1">IFERROR(__xludf.DUMMYFUNCTION("googletranslate(D2542,""en"",""ja"")"),"ヒトパピローマウイルス 66 型 DNA")</f>
        <v>ヒトパピローマウイルス 66 型 DNA</v>
      </c>
      <c r="H2542" s="3" t="str">
        <f ca="1">IFERROR(__xludf.DUMMYFUNCTION("googletranslate(E2542,""en"",""ja"")"),"生物学的検体中のヒトパピローマウイルス 66 型 DNA の測定。")</f>
        <v>生物学的検体中のヒトパピローマウイルス 66 型 DNA の測定。</v>
      </c>
      <c r="I2542" s="3" t="str">
        <f ca="1">IFERROR(__xludf.DUMMYFUNCTION("googletranslate(F2542,""en"",""ja"")"),"ヒトパピローマウイルス66型DNA測定")</f>
        <v>ヒトパピローマウイルス66型DNA測定</v>
      </c>
    </row>
    <row r="2543" spans="1:9" ht="30">
      <c r="A2543" s="3" t="s">
        <v>67</v>
      </c>
      <c r="B2543" s="3" t="s">
        <v>10578</v>
      </c>
      <c r="C2543" s="3" t="s">
        <v>10579</v>
      </c>
      <c r="D2543" s="3" t="s">
        <v>10579</v>
      </c>
      <c r="E2543" s="3" t="s">
        <v>10580</v>
      </c>
      <c r="F2543" s="3" t="s">
        <v>10581</v>
      </c>
      <c r="G2543" s="3" t="str">
        <f ca="1">IFERROR(__xludf.DUMMYFUNCTION("googletranslate(D2543,""en"",""ja"")"),"ヒトパピローマウイルス 67 型 DNA")</f>
        <v>ヒトパピローマウイルス 67 型 DNA</v>
      </c>
      <c r="H2543" s="3" t="str">
        <f ca="1">IFERROR(__xludf.DUMMYFUNCTION("googletranslate(E2543,""en"",""ja"")"),"生物学的検体中のヒトパピローマウイルス 67 型 DNA の測定。")</f>
        <v>生物学的検体中のヒトパピローマウイルス 67 型 DNA の測定。</v>
      </c>
      <c r="I2543" s="3" t="str">
        <f ca="1">IFERROR(__xludf.DUMMYFUNCTION("googletranslate(F2543,""en"",""ja"")"),"ヒトパピローマウイルス67型DNA測定")</f>
        <v>ヒトパピローマウイルス67型DNA測定</v>
      </c>
    </row>
    <row r="2544" spans="1:9" ht="30">
      <c r="A2544" s="3" t="s">
        <v>67</v>
      </c>
      <c r="B2544" s="3" t="s">
        <v>10582</v>
      </c>
      <c r="C2544" s="3" t="s">
        <v>10583</v>
      </c>
      <c r="D2544" s="3" t="s">
        <v>10583</v>
      </c>
      <c r="E2544" s="3" t="s">
        <v>10584</v>
      </c>
      <c r="F2544" s="3" t="s">
        <v>10585</v>
      </c>
      <c r="G2544" s="3" t="str">
        <f ca="1">IFERROR(__xludf.DUMMYFUNCTION("googletranslate(D2544,""en"",""ja"")"),"ヒトパピローマウイルス 68 型")</f>
        <v>ヒトパピローマウイルス 68 型</v>
      </c>
      <c r="H2544" s="3" t="str">
        <f ca="1">IFERROR(__xludf.DUMMYFUNCTION("googletranslate(E2544,""en"",""ja"")"),"生物学的検体中のヒトパピローマウイルス 68 型の測定。")</f>
        <v>生物学的検体中のヒトパピローマウイルス 68 型の測定。</v>
      </c>
      <c r="I2544" s="3" t="str">
        <f ca="1">IFERROR(__xludf.DUMMYFUNCTION("googletranslate(F2544,""en"",""ja"")"),"ヒトパピローマウイルス68型の測定")</f>
        <v>ヒトパピローマウイルス68型の測定</v>
      </c>
    </row>
    <row r="2545" spans="1:9" ht="30">
      <c r="A2545" s="3" t="s">
        <v>67</v>
      </c>
      <c r="B2545" s="3" t="s">
        <v>10586</v>
      </c>
      <c r="C2545" s="3" t="s">
        <v>10587</v>
      </c>
      <c r="D2545" s="3" t="s">
        <v>10587</v>
      </c>
      <c r="E2545" s="3" t="s">
        <v>10588</v>
      </c>
      <c r="F2545" s="3" t="s">
        <v>10589</v>
      </c>
      <c r="G2545" s="3" t="str">
        <f ca="1">IFERROR(__xludf.DUMMYFUNCTION("googletranslate(D2545,""en"",""ja"")"),"ヒトパピローマウイルス 68 型 DNA")</f>
        <v>ヒトパピローマウイルス 68 型 DNA</v>
      </c>
      <c r="H2545" s="3" t="str">
        <f ca="1">IFERROR(__xludf.DUMMYFUNCTION("googletranslate(E2545,""en"",""ja"")"),"生物学的検体中のヒトパピローマウイルス 68 型 DNA の測定。")</f>
        <v>生物学的検体中のヒトパピローマウイルス 68 型 DNA の測定。</v>
      </c>
      <c r="I2545" s="3" t="str">
        <f ca="1">IFERROR(__xludf.DUMMYFUNCTION("googletranslate(F2545,""en"",""ja"")"),"ヒトパピローマウイルス68型DNA測定")</f>
        <v>ヒトパピローマウイルス68型DNA測定</v>
      </c>
    </row>
    <row r="2546" spans="1:9" ht="30">
      <c r="A2546" s="3" t="s">
        <v>67</v>
      </c>
      <c r="B2546" s="3" t="s">
        <v>10590</v>
      </c>
      <c r="C2546" s="3" t="s">
        <v>10591</v>
      </c>
      <c r="D2546" s="3" t="s">
        <v>10591</v>
      </c>
      <c r="E2546" s="3" t="s">
        <v>10592</v>
      </c>
      <c r="F2546" s="3" t="s">
        <v>10593</v>
      </c>
      <c r="G2546" s="3" t="str">
        <f ca="1">IFERROR(__xludf.DUMMYFUNCTION("googletranslate(D2546,""en"",""ja"")"),"ヒトパピローマウイルス 69 型")</f>
        <v>ヒトパピローマウイルス 69 型</v>
      </c>
      <c r="H2546" s="3" t="str">
        <f ca="1">IFERROR(__xludf.DUMMYFUNCTION("googletranslate(E2546,""en"",""ja"")"),"生物学的検体中のヒトパピローマウイルス 69 型の測定。")</f>
        <v>生物学的検体中のヒトパピローマウイルス 69 型の測定。</v>
      </c>
      <c r="I2546" s="3" t="str">
        <f ca="1">IFERROR(__xludf.DUMMYFUNCTION("googletranslate(F2546,""en"",""ja"")"),"ヒトパピローマウイルス69型の測定")</f>
        <v>ヒトパピローマウイルス69型の測定</v>
      </c>
    </row>
    <row r="2547" spans="1:9" ht="30">
      <c r="A2547" s="3" t="s">
        <v>67</v>
      </c>
      <c r="B2547" s="3" t="s">
        <v>10594</v>
      </c>
      <c r="C2547" s="3" t="s">
        <v>10595</v>
      </c>
      <c r="D2547" s="3" t="s">
        <v>10595</v>
      </c>
      <c r="E2547" s="3" t="s">
        <v>10596</v>
      </c>
      <c r="F2547" s="3" t="s">
        <v>10597</v>
      </c>
      <c r="G2547" s="3" t="str">
        <f ca="1">IFERROR(__xludf.DUMMYFUNCTION("googletranslate(D2547,""en"",""ja"")"),"ヒトパピローマウイルス 6 型 DNA")</f>
        <v>ヒトパピローマウイルス 6 型 DNA</v>
      </c>
      <c r="H2547" s="3" t="str">
        <f ca="1">IFERROR(__xludf.DUMMYFUNCTION("googletranslate(E2547,""en"",""ja"")"),"生物学的標本中のヒトパピローマウイルス 6 型 DNA の測定。")</f>
        <v>生物学的標本中のヒトパピローマウイルス 6 型 DNA の測定。</v>
      </c>
      <c r="I2547" s="3" t="str">
        <f ca="1">IFERROR(__xludf.DUMMYFUNCTION("googletranslate(F2547,""en"",""ja"")"),"ヒトパピローマウイルス6型DNA測定")</f>
        <v>ヒトパピローマウイルス6型DNA測定</v>
      </c>
    </row>
    <row r="2548" spans="1:9" ht="30">
      <c r="A2548" s="3" t="s">
        <v>67</v>
      </c>
      <c r="B2548" s="3" t="s">
        <v>10598</v>
      </c>
      <c r="C2548" s="3" t="s">
        <v>10599</v>
      </c>
      <c r="D2548" s="3" t="s">
        <v>10599</v>
      </c>
      <c r="E2548" s="3" t="s">
        <v>10600</v>
      </c>
      <c r="F2548" s="3" t="s">
        <v>10601</v>
      </c>
      <c r="G2548" s="3" t="str">
        <f ca="1">IFERROR(__xludf.DUMMYFUNCTION("googletranslate(D2548,""en"",""ja"")"),"ヒトパピローマウイルス 70 型")</f>
        <v>ヒトパピローマウイルス 70 型</v>
      </c>
      <c r="H2548" s="3" t="str">
        <f ca="1">IFERROR(__xludf.DUMMYFUNCTION("googletranslate(E2548,""en"",""ja"")"),"生物学的検体中のヒトパピローマウイルス 70 型の測定。")</f>
        <v>生物学的検体中のヒトパピローマウイルス 70 型の測定。</v>
      </c>
      <c r="I2548" s="3" t="str">
        <f ca="1">IFERROR(__xludf.DUMMYFUNCTION("googletranslate(F2548,""en"",""ja"")"),"ヒトパピローマウイルス70型の測定")</f>
        <v>ヒトパピローマウイルス70型の測定</v>
      </c>
    </row>
    <row r="2549" spans="1:9" ht="30">
      <c r="A2549" s="3" t="s">
        <v>67</v>
      </c>
      <c r="B2549" s="3" t="s">
        <v>10602</v>
      </c>
      <c r="C2549" s="3" t="s">
        <v>10603</v>
      </c>
      <c r="D2549" s="3" t="s">
        <v>10603</v>
      </c>
      <c r="E2549" s="3" t="s">
        <v>10604</v>
      </c>
      <c r="F2549" s="3" t="s">
        <v>10605</v>
      </c>
      <c r="G2549" s="3" t="str">
        <f ca="1">IFERROR(__xludf.DUMMYFUNCTION("googletranslate(D2549,""en"",""ja"")"),"ヒトパピローマウイルス 74 型")</f>
        <v>ヒトパピローマウイルス 74 型</v>
      </c>
      <c r="H2549" s="3" t="str">
        <f ca="1">IFERROR(__xludf.DUMMYFUNCTION("googletranslate(E2549,""en"",""ja"")"),"生物学的検体中のヒトパピローマウイルス 74 型の測定。")</f>
        <v>生物学的検体中のヒトパピローマウイルス 74 型の測定。</v>
      </c>
      <c r="I2549" s="3" t="str">
        <f ca="1">IFERROR(__xludf.DUMMYFUNCTION("googletranslate(F2549,""en"",""ja"")"),"ヒトパピローマウイルス74型の測定")</f>
        <v>ヒトパピローマウイルス74型の測定</v>
      </c>
    </row>
    <row r="2550" spans="1:9" ht="30">
      <c r="A2550" s="3" t="s">
        <v>67</v>
      </c>
      <c r="B2550" s="3" t="s">
        <v>10606</v>
      </c>
      <c r="C2550" s="3" t="s">
        <v>10607</v>
      </c>
      <c r="D2550" s="3" t="s">
        <v>10607</v>
      </c>
      <c r="E2550" s="3" t="s">
        <v>10608</v>
      </c>
      <c r="F2550" s="3" t="s">
        <v>10609</v>
      </c>
      <c r="G2550" s="3" t="str">
        <f ca="1">IFERROR(__xludf.DUMMYFUNCTION("googletranslate(D2550,""en"",""ja"")"),"ヒトパピローマウイルスのDNA")</f>
        <v>ヒトパピローマウイルスのDNA</v>
      </c>
      <c r="H2550" s="3" t="str">
        <f ca="1">IFERROR(__xludf.DUMMYFUNCTION("googletranslate(E2550,""en"",""ja"")"),"生物学的標本中のヒトパピローマウイルス DNA の測定。")</f>
        <v>生物学的標本中のヒトパピローマウイルス DNA の測定。</v>
      </c>
      <c r="I2550" s="3" t="str">
        <f ca="1">IFERROR(__xludf.DUMMYFUNCTION("googletranslate(F2550,""en"",""ja"")"),"ヒトパピローマウイルスDNA測定")</f>
        <v>ヒトパピローマウイルスDNA測定</v>
      </c>
    </row>
    <row r="2551" spans="1:9" ht="45">
      <c r="A2551" s="3" t="s">
        <v>67</v>
      </c>
      <c r="B2551" s="3" t="s">
        <v>10610</v>
      </c>
      <c r="C2551" s="3" t="s">
        <v>10611</v>
      </c>
      <c r="D2551" s="3" t="s">
        <v>10612</v>
      </c>
      <c r="E2551" s="3" t="s">
        <v>10613</v>
      </c>
      <c r="F2551" s="3" t="s">
        <v>10614</v>
      </c>
      <c r="G2551" s="3" t="str">
        <f ca="1">IFERROR(__xludf.DUMMYFUNCTION("googletranslate(D2551,""en"",""ja"")"),"ヒトパピローマウイルス E6/E7 メッセンジャー RNA;ヒトパピローマウイルス E6/E7 mRNA")</f>
        <v>ヒトパピローマウイルス E6/E7 メッセンジャー RNA;ヒトパピローマウイルス E6/E7 mRNA</v>
      </c>
      <c r="H2551" s="3" t="str">
        <f ca="1">IFERROR(__xludf.DUMMYFUNCTION("googletranslate(E2551,""en"",""ja"")"),"生物学的検体中のヒトパピローマウイルス E6 および/または E7 タンパク質生成 mRNA の測定。")</f>
        <v>生物学的検体中のヒトパピローマウイルス E6 および/または E7 タンパク質生成 mRNA の測定。</v>
      </c>
      <c r="I2551" s="3" t="str">
        <f ca="1">IFERROR(__xludf.DUMMYFUNCTION("googletranslate(F2551,""en"",""ja"")"),"ヒトパピローマウイルスE6/E7 mRNA測定")</f>
        <v>ヒトパピローマウイルスE6/E7 mRNA測定</v>
      </c>
    </row>
    <row r="2552" spans="1:9" ht="30">
      <c r="A2552" s="3" t="s">
        <v>67</v>
      </c>
      <c r="B2552" s="3" t="s">
        <v>10615</v>
      </c>
      <c r="C2552" s="3" t="s">
        <v>10616</v>
      </c>
      <c r="D2552" s="3" t="s">
        <v>10616</v>
      </c>
      <c r="E2552" s="3" t="s">
        <v>10617</v>
      </c>
      <c r="F2552" s="3" t="s">
        <v>10618</v>
      </c>
      <c r="G2552" s="3" t="str">
        <f ca="1">IFERROR(__xludf.DUMMYFUNCTION("googletranslate(D2552,""en"",""ja"")"),"ヘリコバクター・ピロリ菌")</f>
        <v>ヘリコバクター・ピロリ菌</v>
      </c>
      <c r="H2552" s="3" t="str">
        <f ca="1">IFERROR(__xludf.DUMMYFUNCTION("googletranslate(E2552,""en"",""ja"")"),"生物学的標本中のヘリコバクター ピロリの測定。")</f>
        <v>生物学的標本中のヘリコバクター ピロリの測定。</v>
      </c>
      <c r="I2552" s="3" t="str">
        <f ca="1">IFERROR(__xludf.DUMMYFUNCTION("googletranslate(F2552,""en"",""ja"")"),"ヘリコバクター・ピロリの測定")</f>
        <v>ヘリコバクター・ピロリの測定</v>
      </c>
    </row>
    <row r="2553" spans="1:9" ht="30">
      <c r="A2553" s="3" t="s">
        <v>67</v>
      </c>
      <c r="B2553" s="3" t="s">
        <v>10619</v>
      </c>
      <c r="C2553" s="3" t="s">
        <v>10620</v>
      </c>
      <c r="D2553" s="3" t="s">
        <v>10620</v>
      </c>
      <c r="E2553" s="3" t="s">
        <v>10621</v>
      </c>
      <c r="F2553" s="3" t="s">
        <v>10622</v>
      </c>
      <c r="G2553" s="3" t="str">
        <f ca="1">IFERROR(__xludf.DUMMYFUNCTION("googletranslate(D2553,""en"",""ja"")"),"ヘリコバクター ピロリ抗原")</f>
        <v>ヘリコバクター ピロリ抗原</v>
      </c>
      <c r="H2553" s="3" t="str">
        <f ca="1">IFERROR(__xludf.DUMMYFUNCTION("googletranslate(E2553,""en"",""ja"")"),"生物学的標本中のヘリコバクター ピロリ抗原の測定。")</f>
        <v>生物学的標本中のヘリコバクター ピロリ抗原の測定。</v>
      </c>
      <c r="I2553" s="3" t="str">
        <f ca="1">IFERROR(__xludf.DUMMYFUNCTION("googletranslate(F2553,""en"",""ja"")"),"ヘリコバクター・ピロリ抗原測定")</f>
        <v>ヘリコバクター・ピロリ抗原測定</v>
      </c>
    </row>
    <row r="2554" spans="1:9" ht="30">
      <c r="A2554" s="3" t="s">
        <v>67</v>
      </c>
      <c r="B2554" s="3" t="s">
        <v>10623</v>
      </c>
      <c r="C2554" s="3" t="s">
        <v>10624</v>
      </c>
      <c r="D2554" s="3" t="s">
        <v>10624</v>
      </c>
      <c r="E2554" s="3" t="s">
        <v>10625</v>
      </c>
      <c r="F2554" s="3" t="s">
        <v>10626</v>
      </c>
      <c r="G2554" s="3" t="str">
        <f ca="1">IFERROR(__xludf.DUMMYFUNCTION("googletranslate(D2554,""en"",""ja"")"),"ヘリコバクター・ピロリのDNA")</f>
        <v>ヘリコバクター・ピロリのDNA</v>
      </c>
      <c r="H2554" s="3" t="str">
        <f ca="1">IFERROR(__xludf.DUMMYFUNCTION("googletranslate(E2554,""en"",""ja"")"),"生物学的標本中のヘリコバクター ピロリ DNA の測定。")</f>
        <v>生物学的標本中のヘリコバクター ピロリ DNA の測定。</v>
      </c>
      <c r="I2554" s="3" t="str">
        <f ca="1">IFERROR(__xludf.DUMMYFUNCTION("googletranslate(F2554,""en"",""ja"")"),"ヘリコバクター ピロリ DNA 測定")</f>
        <v>ヘリコバクター ピロリ DNA 測定</v>
      </c>
    </row>
    <row r="2555" spans="1:9" ht="30">
      <c r="A2555" s="3" t="s">
        <v>118</v>
      </c>
      <c r="B2555" s="3" t="s">
        <v>10627</v>
      </c>
      <c r="C2555" s="3" t="s">
        <v>10628</v>
      </c>
      <c r="D2555" s="3" t="s">
        <v>10628</v>
      </c>
      <c r="E2555" s="3" t="s">
        <v>10629</v>
      </c>
      <c r="F2555" s="3" t="s">
        <v>10628</v>
      </c>
      <c r="G2555" s="3" t="str">
        <f ca="1">IFERROR(__xludf.DUMMYFUNCTION("googletranslate(D2555,""en"",""ja"")"),"心拍")</f>
        <v>心拍</v>
      </c>
      <c r="H2555" s="3" t="str">
        <f ca="1">IFERROR(__xludf.DUMMYFUNCTION("googletranslate(E2555,""en"",""ja"")"),"単位時間あたりの心拍数。通常は 1 分あたりの心拍数として表されます。 (NCI)")</f>
        <v>単位時間あたりの心拍数。通常は 1 分あたりの心拍数として表されます。 (NCI)</v>
      </c>
      <c r="I2555" s="3" t="str">
        <f ca="1">IFERROR(__xludf.DUMMYFUNCTION("googletranslate(F2555,""en"",""ja"")"),"心拍")</f>
        <v>心拍</v>
      </c>
    </row>
    <row r="2556" spans="1:9" ht="75">
      <c r="A2556" s="3" t="s">
        <v>67</v>
      </c>
      <c r="B2556" s="3" t="s">
        <v>10630</v>
      </c>
      <c r="C2556" s="3" t="s">
        <v>10631</v>
      </c>
      <c r="D2556" s="3" t="s">
        <v>10632</v>
      </c>
      <c r="E2556" s="3" t="s">
        <v>10633</v>
      </c>
      <c r="F2556" s="3" t="s">
        <v>10634</v>
      </c>
      <c r="G2556" s="3" t="str">
        <f ca="1">IFERROR(__xludf.DUMMYFUNCTION("googletranslate(D2556,""en"",""ja"")"),"高リスクヒトパピローマウイルス型 DNA、マルチターゲット。高リスク HPV 型 DNA、MLTTRG;ハイリスク HPV タイプ DNA、マルチターゲット")</f>
        <v>高リスクヒトパピローマウイルス型 DNA、マルチターゲット。高リスク HPV 型 DNA、MLTTRG;ハイリスク HPV タイプ DNA、マルチターゲット</v>
      </c>
      <c r="H2556" s="3" t="str">
        <f ca="1">IFERROR(__xludf.DUMMYFUNCTION("googletranslate(E2556,""en"",""ja"")"),"生物学的検体中の高リスクヒトパピローマウイルス DNA の測定。これは複数の対象を対象としたテストです。")</f>
        <v>生物学的検体中の高リスクヒトパピローマウイルス DNA の測定。これは複数の対象を対象としたテストです。</v>
      </c>
      <c r="I2556" s="3" t="str">
        <f ca="1">IFERROR(__xludf.DUMMYFUNCTION("googletranslate(F2556,""en"",""ja"")"),"マルチターゲットの高リスクヒトパピローマウイルスタイプの DNA 測定")</f>
        <v>マルチターゲットの高リスクヒトパピローマウイルスタイプの DNA 測定</v>
      </c>
    </row>
    <row r="2557" spans="1:9" ht="90">
      <c r="A2557" s="3" t="s">
        <v>67</v>
      </c>
      <c r="B2557" s="3" t="s">
        <v>10635</v>
      </c>
      <c r="C2557" s="3" t="s">
        <v>10636</v>
      </c>
      <c r="D2557" s="3" t="s">
        <v>10637</v>
      </c>
      <c r="E2557" s="3" t="s">
        <v>10638</v>
      </c>
      <c r="F2557" s="3" t="s">
        <v>10639</v>
      </c>
      <c r="G2557" s="3" t="str">
        <f ca="1">IFERROR(__xludf.DUMMYFUNCTION("googletranslate(D2557,""en"",""ja"")"),"高リスクヒトパピローマウイルスタイプの mRNA、マルチターゲット。高リスク HPV 型 mRNA、MLTTRG;ハイリスク HPV タイプの mRNA、マルチターゲット")</f>
        <v>高リスクヒトパピローマウイルスタイプの mRNA、マルチターゲット。高リスク HPV 型 mRNA、MLTTRG;ハイリスク HPV タイプの mRNA、マルチターゲット</v>
      </c>
      <c r="H2557" s="3" t="str">
        <f ca="1">IFERROR(__xludf.DUMMYFUNCTION("googletranslate(E2557,""en"",""ja"")"),"生体試料中の高リスクヒトパピローマウイルス mRNA の測定。これは複数の対象を対象としたテストです。")</f>
        <v>生体試料中の高リスクヒトパピローマウイルス mRNA の測定。これは複数の対象を対象としたテストです。</v>
      </c>
      <c r="I2557" s="3" t="str">
        <f ca="1">IFERROR(__xludf.DUMMYFUNCTION("googletranslate(F2557,""en"",""ja"")"),"マルチターゲットのハイリスクヒトパピローマウイルスタイプのmRNA測定")</f>
        <v>マルチターゲットのハイリスクヒトパピローマウイルスタイプのmRNA測定</v>
      </c>
    </row>
    <row r="2558" spans="1:9" ht="45">
      <c r="A2558" s="3" t="s">
        <v>6</v>
      </c>
      <c r="B2558" s="3" t="s">
        <v>10640</v>
      </c>
      <c r="C2558" s="3" t="s">
        <v>10641</v>
      </c>
      <c r="D2558" s="3" t="s">
        <v>10641</v>
      </c>
      <c r="E2558" s="3" t="s">
        <v>10642</v>
      </c>
      <c r="F2558" s="3" t="s">
        <v>10643</v>
      </c>
      <c r="G2558" s="3" t="str">
        <f ca="1">IFERROR(__xludf.DUMMYFUNCTION("googletranslate(D2558,""en"",""ja"")"),"濃染赤血球/赤血球")</f>
        <v>濃染赤血球/赤血球</v>
      </c>
      <c r="H2558" s="3" t="str">
        <f ca="1">IFERROR(__xludf.DUMMYFUNCTION("googletranslate(E2558,""en"",""ja"")"),"生物学的標本の全赤血球に対する濃染赤血球の相対測定値 (比率またはパーセンテージ)。")</f>
        <v>生物学的標本の全赤血球に対する濃染赤血球の相対測定値 (比率またはパーセンテージ)。</v>
      </c>
      <c r="I2558" s="3" t="str">
        <f ca="1">IFERROR(__xludf.DUMMYFUNCTION("googletranslate(F2558,""en"",""ja"")"),"濃染赤血球対赤血球比の測定")</f>
        <v>濃染赤血球対赤血球比の測定</v>
      </c>
    </row>
    <row r="2559" spans="1:9" ht="30">
      <c r="A2559" s="3" t="s">
        <v>67</v>
      </c>
      <c r="B2559" s="3" t="s">
        <v>10644</v>
      </c>
      <c r="C2559" s="3" t="s">
        <v>10645</v>
      </c>
      <c r="D2559" s="3" t="s">
        <v>10645</v>
      </c>
      <c r="E2559" s="3" t="s">
        <v>10646</v>
      </c>
      <c r="F2559" s="3" t="s">
        <v>10647</v>
      </c>
      <c r="G2559" s="3" t="str">
        <f ca="1">IFERROR(__xludf.DUMMYFUNCTION("googletranslate(D2559,""en"",""ja"")"),"ヒトライノウイルス")</f>
        <v>ヒトライノウイルス</v>
      </c>
      <c r="H2559" s="3" t="str">
        <f ca="1">IFERROR(__xludf.DUMMYFUNCTION("googletranslate(E2559,""en"",""ja"")"),"生物学的標本中のヒトライノウイルスの測定。")</f>
        <v>生物学的標本中のヒトライノウイルスの測定。</v>
      </c>
      <c r="I2559" s="3" t="str">
        <f ca="1">IFERROR(__xludf.DUMMYFUNCTION("googletranslate(F2559,""en"",""ja"")"),"ヒトライノウイルス測定")</f>
        <v>ヒトライノウイルス測定</v>
      </c>
    </row>
    <row r="2560" spans="1:9" ht="30">
      <c r="A2560" s="3" t="s">
        <v>67</v>
      </c>
      <c r="B2560" s="3" t="s">
        <v>10648</v>
      </c>
      <c r="C2560" s="3" t="s">
        <v>10649</v>
      </c>
      <c r="D2560" s="3" t="s">
        <v>10650</v>
      </c>
      <c r="E2560" s="3" t="s">
        <v>10651</v>
      </c>
      <c r="F2560" s="3" t="s">
        <v>10652</v>
      </c>
      <c r="G2560" s="3" t="str">
        <f ca="1">IFERROR(__xludf.DUMMYFUNCTION("googletranslate(D2560,""en"",""ja"")"),"HRV A/B/C;ヒトライノウイルスA/B/C")</f>
        <v>HRV A/B/C;ヒトライノウイルスA/B/C</v>
      </c>
      <c r="H2560" s="3" t="str">
        <f ca="1">IFERROR(__xludf.DUMMYFUNCTION("googletranslate(E2560,""en"",""ja"")"),"生物学的検体中のヒトライノウイルス A、B、および/または C の測定。")</f>
        <v>生物学的検体中のヒトライノウイルス A、B、および/または C の測定。</v>
      </c>
      <c r="I2560" s="3" t="str">
        <f ca="1">IFERROR(__xludf.DUMMYFUNCTION("googletranslate(F2560,""en"",""ja"")"),"ヒトライノウイルス A、B、および/または C の測定")</f>
        <v>ヒトライノウイルス A、B、および/または C の測定</v>
      </c>
    </row>
    <row r="2561" spans="1:9" ht="30">
      <c r="A2561" s="3" t="s">
        <v>67</v>
      </c>
      <c r="B2561" s="3" t="s">
        <v>10653</v>
      </c>
      <c r="C2561" s="3" t="s">
        <v>10654</v>
      </c>
      <c r="D2561" s="3" t="s">
        <v>10655</v>
      </c>
      <c r="E2561" s="3" t="s">
        <v>10656</v>
      </c>
      <c r="F2561" s="3" t="s">
        <v>10657</v>
      </c>
      <c r="G2561" s="3" t="str">
        <f ca="1">IFERROR(__xludf.DUMMYFUNCTION("googletranslate(D2561,""en"",""ja"")"),"HRV A/B/C 抗原;ヒトライノウイルス A/B/C 抗原")</f>
        <v>HRV A/B/C 抗原;ヒトライノウイルス A/B/C 抗原</v>
      </c>
      <c r="H2561" s="3" t="str">
        <f ca="1">IFERROR(__xludf.DUMMYFUNCTION("googletranslate(E2561,""en"",""ja"")"),"生物学的検体中のヒトライノウイルス A、B、および/または C 抗原の測定。")</f>
        <v>生物学的検体中のヒトライノウイルス A、B、および/または C 抗原の測定。</v>
      </c>
      <c r="I2561" s="3" t="str">
        <f ca="1">IFERROR(__xludf.DUMMYFUNCTION("googletranslate(F2561,""en"",""ja"")"),"ヒトライノウイルス A、B、C 抗原の測定")</f>
        <v>ヒトライノウイルス A、B、C 抗原の測定</v>
      </c>
    </row>
    <row r="2562" spans="1:9" ht="60">
      <c r="A2562" s="3" t="s">
        <v>118</v>
      </c>
      <c r="B2562" s="3" t="s">
        <v>10658</v>
      </c>
      <c r="C2562" s="3" t="s">
        <v>10659</v>
      </c>
      <c r="D2562" s="3" t="s">
        <v>10660</v>
      </c>
      <c r="E2562" s="3" t="s">
        <v>10661</v>
      </c>
      <c r="F2562" s="3" t="s">
        <v>10662</v>
      </c>
      <c r="G2562" s="3" t="str">
        <f ca="1">IFERROR(__xludf.DUMMYFUNCTION("googletranslate(D2562,""en"",""ja"")"),"心拍数の変動、平均標準偏差 NN 間隔。心拍数変動、SDANN")</f>
        <v>心拍数の変動、平均標準偏差 NN 間隔。心拍数変動、SDANN</v>
      </c>
      <c r="H2562" s="3" t="str">
        <f ca="1">IFERROR(__xludf.DUMMYFUNCTION("googletranslate(E2562,""en"",""ja"")"),"一定期間にわたる連続した 5 分間の NN 間隔の平均の標準偏差に基づく、隣接する心拍間の時間間隔の変動の測定値。")</f>
        <v>一定期間にわたる連続した 5 分間の NN 間隔の平均の標準偏差に基づく、隣接する心拍間の時間間隔の変動の測定値。</v>
      </c>
      <c r="I2562" s="3" t="str">
        <f ca="1">IFERROR(__xludf.DUMMYFUNCTION("googletranslate(F2562,""en"",""ja"")"),"心拍数変動、平均標準偏差、NNインターバル測定")</f>
        <v>心拍数変動、平均標準偏差、NNインターバル測定</v>
      </c>
    </row>
    <row r="2563" spans="1:9" ht="45">
      <c r="A2563" s="3" t="s">
        <v>118</v>
      </c>
      <c r="B2563" s="3" t="s">
        <v>10663</v>
      </c>
      <c r="C2563" s="3" t="s">
        <v>10664</v>
      </c>
      <c r="D2563" s="3" t="s">
        <v>10665</v>
      </c>
      <c r="E2563" s="3" t="s">
        <v>10666</v>
      </c>
      <c r="F2563" s="3" t="s">
        <v>10667</v>
      </c>
      <c r="G2563" s="3" t="str">
        <f ca="1">IFERROR(__xludf.DUMMYFUNCTION("googletranslate(D2563,""en"",""ja"")"),"心拍数変動、SDNN。心拍数変動、標準偏差 NN 間隔")</f>
        <v>心拍数変動、SDNN。心拍数変動、標準偏差 NN 間隔</v>
      </c>
      <c r="H2563" s="3" t="str">
        <f ca="1">IFERROR(__xludf.DUMMYFUNCTION("googletranslate(E2563,""en"",""ja"")"),"NN 間隔の標準偏差に基づく、隣接する心拍間の時間間隔の変動の測定値。")</f>
        <v>NN 間隔の標準偏差に基づく、隣接する心拍間の時間間隔の変動の測定値。</v>
      </c>
      <c r="I2563" s="3" t="str">
        <f ca="1">IFERROR(__xludf.DUMMYFUNCTION("googletranslate(F2563,""en"",""ja"")"),"心拍変動、標準偏差、NNインターバル測定")</f>
        <v>心拍変動、標準偏差、NNインターバル測定</v>
      </c>
    </row>
    <row r="2564" spans="1:9" ht="30">
      <c r="A2564" s="3" t="s">
        <v>6</v>
      </c>
      <c r="B2564" s="3" t="s">
        <v>10668</v>
      </c>
      <c r="C2564" s="3" t="s">
        <v>10669</v>
      </c>
      <c r="D2564" s="3" t="s">
        <v>10669</v>
      </c>
      <c r="E2564" s="3" t="s">
        <v>10670</v>
      </c>
      <c r="F2564" s="3" t="s">
        <v>10671</v>
      </c>
      <c r="G2564" s="3" t="str">
        <f ca="1">IFERROR(__xludf.DUMMYFUNCTION("googletranslate(D2564,""en"",""ja"")"),"有毛細胞/総細胞数")</f>
        <v>有毛細胞/総細胞数</v>
      </c>
      <c r="H2564" s="3" t="str">
        <f ca="1">IFERROR(__xludf.DUMMYFUNCTION("googletranslate(E2564,""en"",""ja"")"),"生物学的標本の全細胞に対する有毛細胞の相対的な測定値 (比率またはパーセンテージ)。")</f>
        <v>生物学的標本の全細胞に対する有毛細胞の相対的な測定値 (比率またはパーセンテージ)。</v>
      </c>
      <c r="I2564" s="3" t="str">
        <f ca="1">IFERROR(__xludf.DUMMYFUNCTION("googletranslate(F2564,""en"",""ja"")"),"有毛細胞と全細胞の比率の測定")</f>
        <v>有毛細胞と全細胞の比率の測定</v>
      </c>
    </row>
    <row r="2565" spans="1:9" ht="45">
      <c r="A2565" s="3" t="s">
        <v>6</v>
      </c>
      <c r="B2565" s="3" t="s">
        <v>10672</v>
      </c>
      <c r="C2565" s="3" t="s">
        <v>10673</v>
      </c>
      <c r="D2565" s="3" t="s">
        <v>10673</v>
      </c>
      <c r="E2565" s="3" t="s">
        <v>10674</v>
      </c>
      <c r="F2565" s="3" t="s">
        <v>10675</v>
      </c>
      <c r="G2565" s="3" t="str">
        <f ca="1">IFERROR(__xludf.DUMMYFUNCTION("googletranslate(D2565,""en"",""ja"")"),"有毛細胞/白血球")</f>
        <v>有毛細胞/白血球</v>
      </c>
      <c r="H2565" s="3" t="str">
        <f ca="1">IFERROR(__xludf.DUMMYFUNCTION("googletranslate(E2565,""en"",""ja"")"),"生物学的標本中のすべての白血球に対する有毛細胞 (細胞質から毛状の突起を持つ B 細胞リンパ球) の相対測定値 (比率またはパーセンテージ)。")</f>
        <v>生物学的標本中のすべての白血球に対する有毛細胞 (細胞質から毛状の突起を持つ B 細胞リンパ球) の相対測定値 (比率またはパーセンテージ)。</v>
      </c>
      <c r="I2565" s="3" t="str">
        <f ca="1">IFERROR(__xludf.DUMMYFUNCTION("googletranslate(F2565,""en"",""ja"")"),"有毛細胞と白血球の比率の測定")</f>
        <v>有毛細胞と白血球の比率の測定</v>
      </c>
    </row>
    <row r="2566" spans="1:9" ht="45">
      <c r="A2566" s="3" t="s">
        <v>6</v>
      </c>
      <c r="B2566" s="3" t="s">
        <v>10676</v>
      </c>
      <c r="C2566" s="3" t="s">
        <v>10677</v>
      </c>
      <c r="D2566" s="3" t="s">
        <v>10677</v>
      </c>
      <c r="E2566" s="3" t="s">
        <v>10678</v>
      </c>
      <c r="F2566" s="3" t="s">
        <v>10679</v>
      </c>
      <c r="G2566" s="3" t="str">
        <f ca="1">IFERROR(__xludf.DUMMYFUNCTION("googletranslate(D2566,""en"",""ja"")"),"有毛細胞/リンパ球")</f>
        <v>有毛細胞/リンパ球</v>
      </c>
      <c r="H2566" s="3" t="str">
        <f ca="1">IFERROR(__xludf.DUMMYFUNCTION("googletranslate(E2566,""en"",""ja"")"),"生物学的標本中のすべてのリンパ球に対する有毛細胞 (細胞質から毛状の突起を持つ b 細胞リンパ球) の相対測定値 (比率またはパーセンテージ)。")</f>
        <v>生物学的標本中のすべてのリンパ球に対する有毛細胞 (細胞質から毛状の突起を持つ b 細胞リンパ球) の相対測定値 (比率またはパーセンテージ)。</v>
      </c>
      <c r="I2566" s="3" t="str">
        <f ca="1">IFERROR(__xludf.DUMMYFUNCTION("googletranslate(F2566,""en"",""ja"")"),"有毛細胞とリンパ球の比率の測定")</f>
        <v>有毛細胞とリンパ球の比率の測定</v>
      </c>
    </row>
    <row r="2567" spans="1:9" ht="30">
      <c r="A2567" s="3" t="s">
        <v>67</v>
      </c>
      <c r="B2567" s="3" t="s">
        <v>10680</v>
      </c>
      <c r="C2567" s="3" t="s">
        <v>10681</v>
      </c>
      <c r="D2567" s="3" t="s">
        <v>10681</v>
      </c>
      <c r="E2567" s="3" t="s">
        <v>10682</v>
      </c>
      <c r="F2567" s="3" t="s">
        <v>10683</v>
      </c>
      <c r="G2567" s="3" t="str">
        <f ca="1">IFERROR(__xludf.DUMMYFUNCTION("googletranslate(D2567,""en"",""ja"")"),"単純ヘルペスウイルス 1")</f>
        <v>単純ヘルペスウイルス 1</v>
      </c>
      <c r="H2567" s="3" t="str">
        <f ca="1">IFERROR(__xludf.DUMMYFUNCTION("googletranslate(E2567,""en"",""ja"")"),"生物学的検体中の単純ヘルペス ウイルス 1 の測定。")</f>
        <v>生物学的検体中の単純ヘルペス ウイルス 1 の測定。</v>
      </c>
      <c r="I2567" s="3" t="str">
        <f ca="1">IFERROR(__xludf.DUMMYFUNCTION("googletranslate(F2567,""en"",""ja"")"),"単純ヘルペスウイルス1型の測定")</f>
        <v>単純ヘルペスウイルス1型の測定</v>
      </c>
    </row>
    <row r="2568" spans="1:9" ht="30">
      <c r="A2568" s="3" t="s">
        <v>67</v>
      </c>
      <c r="B2568" s="3" t="s">
        <v>10684</v>
      </c>
      <c r="C2568" s="3" t="s">
        <v>10685</v>
      </c>
      <c r="D2568" s="3" t="s">
        <v>10685</v>
      </c>
      <c r="E2568" s="3" t="s">
        <v>10686</v>
      </c>
      <c r="F2568" s="3" t="s">
        <v>10687</v>
      </c>
      <c r="G2568" s="3" t="str">
        <f ca="1">IFERROR(__xludf.DUMMYFUNCTION("googletranslate(D2568,""en"",""ja"")"),"単純ヘルペスウイルス 1/2")</f>
        <v>単純ヘルペスウイルス 1/2</v>
      </c>
      <c r="H2568" s="3" t="str">
        <f ca="1">IFERROR(__xludf.DUMMYFUNCTION("googletranslate(E2568,""en"",""ja"")"),"生物学的検体中の単純ヘルペスウイルス 1 型および/または 2 の測定。")</f>
        <v>生物学的検体中の単純ヘルペスウイルス 1 型および/または 2 の測定。</v>
      </c>
      <c r="I2568" s="3" t="str">
        <f ca="1">IFERROR(__xludf.DUMMYFUNCTION("googletranslate(F2568,""en"",""ja"")"),"単純ヘルペスウイルス 1 型および/または 2 型の測定")</f>
        <v>単純ヘルペスウイルス 1 型および/または 2 型の測定</v>
      </c>
    </row>
    <row r="2569" spans="1:9" ht="30">
      <c r="A2569" s="3" t="s">
        <v>67</v>
      </c>
      <c r="B2569" s="3" t="s">
        <v>10688</v>
      </c>
      <c r="C2569" s="3" t="s">
        <v>10689</v>
      </c>
      <c r="D2569" s="3" t="s">
        <v>10690</v>
      </c>
      <c r="E2569" s="3" t="s">
        <v>10691</v>
      </c>
      <c r="F2569" s="3" t="s">
        <v>10692</v>
      </c>
      <c r="G2569" s="3" t="str">
        <f ca="1">IFERROR(__xludf.DUMMYFUNCTION("googletranslate(D2569,""en"",""ja"")"),"単純ヘルペスウイルス 1/2 抗原; HSV 1/2 抗原")</f>
        <v>単純ヘルペスウイルス 1/2 抗原; HSV 1/2 抗原</v>
      </c>
      <c r="H2569" s="3" t="str">
        <f ca="1">IFERROR(__xludf.DUMMYFUNCTION("googletranslate(E2569,""en"",""ja"")"),"生物学的検体中の単純ヘルペスウイルス 1 抗原および/または 2 抗原の測定。")</f>
        <v>生物学的検体中の単純ヘルペスウイルス 1 抗原および/または 2 抗原の測定。</v>
      </c>
      <c r="I2569" s="3" t="str">
        <f ca="1">IFERROR(__xludf.DUMMYFUNCTION("googletranslate(F2569,""en"",""ja"")"),"単純ヘルペスウイルス 1 型および/または 2 型抗原の測定")</f>
        <v>単純ヘルペスウイルス 1 型および/または 2 型抗原の測定</v>
      </c>
    </row>
    <row r="2570" spans="1:9" ht="30">
      <c r="A2570" s="3" t="s">
        <v>67</v>
      </c>
      <c r="B2570" s="3" t="s">
        <v>10693</v>
      </c>
      <c r="C2570" s="3" t="s">
        <v>10694</v>
      </c>
      <c r="D2570" s="3" t="s">
        <v>10695</v>
      </c>
      <c r="E2570" s="3" t="s">
        <v>10696</v>
      </c>
      <c r="F2570" s="3" t="s">
        <v>10697</v>
      </c>
      <c r="G2570" s="3" t="str">
        <f ca="1">IFERROR(__xludf.DUMMYFUNCTION("googletranslate(D2570,""en"",""ja"")"),"単純ヘルペスウイルス 1/2 DNA; HSV 1/2 DNA")</f>
        <v>単純ヘルペスウイルス 1/2 DNA; HSV 1/2 DNA</v>
      </c>
      <c r="H2570" s="3" t="str">
        <f ca="1">IFERROR(__xludf.DUMMYFUNCTION("googletranslate(E2570,""en"",""ja"")"),"生物学的検体中の単純ヘルペスウイルス 1 型および/または 2 型 DNA の測定。")</f>
        <v>生物学的検体中の単純ヘルペスウイルス 1 型および/または 2 型 DNA の測定。</v>
      </c>
      <c r="I2570" s="3" t="str">
        <f ca="1">IFERROR(__xludf.DUMMYFUNCTION("googletranslate(F2570,""en"",""ja"")"),"単純ヘルペスウイルス 1 型および/または 2 型 DNA 測定")</f>
        <v>単純ヘルペスウイルス 1 型および/または 2 型 DNA 測定</v>
      </c>
    </row>
    <row r="2571" spans="1:9" ht="30">
      <c r="A2571" s="3" t="s">
        <v>67</v>
      </c>
      <c r="B2571" s="3" t="s">
        <v>10698</v>
      </c>
      <c r="C2571" s="3" t="s">
        <v>10699</v>
      </c>
      <c r="D2571" s="3" t="s">
        <v>10699</v>
      </c>
      <c r="E2571" s="3" t="s">
        <v>10700</v>
      </c>
      <c r="F2571" s="3" t="s">
        <v>10701</v>
      </c>
      <c r="G2571" s="3" t="str">
        <f ca="1">IFERROR(__xludf.DUMMYFUNCTION("googletranslate(D2571,""en"",""ja"")"),"単純ヘルペスウイルス 1 型 DNA")</f>
        <v>単純ヘルペスウイルス 1 型 DNA</v>
      </c>
      <c r="H2571" s="3" t="str">
        <f ca="1">IFERROR(__xludf.DUMMYFUNCTION("googletranslate(E2571,""en"",""ja"")"),"生物学的標本中の単純ヘルペス ウイルス 1 DNA の測定。")</f>
        <v>生物学的標本中の単純ヘルペス ウイルス 1 DNA の測定。</v>
      </c>
      <c r="I2571" s="3" t="str">
        <f ca="1">IFERROR(__xludf.DUMMYFUNCTION("googletranslate(F2571,""en"",""ja"")"),"単純ヘルペスウイルス 1 型 DNA 測定")</f>
        <v>単純ヘルペスウイルス 1 型 DNA 測定</v>
      </c>
    </row>
    <row r="2572" spans="1:9" ht="30">
      <c r="A2572" s="3" t="s">
        <v>67</v>
      </c>
      <c r="B2572" s="3" t="s">
        <v>10702</v>
      </c>
      <c r="C2572" s="3" t="s">
        <v>10703</v>
      </c>
      <c r="D2572" s="3" t="s">
        <v>10703</v>
      </c>
      <c r="E2572" s="3" t="s">
        <v>10704</v>
      </c>
      <c r="F2572" s="3" t="s">
        <v>10705</v>
      </c>
      <c r="G2572" s="3" t="str">
        <f ca="1">IFERROR(__xludf.DUMMYFUNCTION("googletranslate(D2572,""en"",""ja"")"),"単純ヘルペスウイルス 2")</f>
        <v>単純ヘルペスウイルス 2</v>
      </c>
      <c r="H2572" s="3" t="str">
        <f ca="1">IFERROR(__xludf.DUMMYFUNCTION("googletranslate(E2572,""en"",""ja"")"),"生物学的標本中の単純ヘルペス ウイルス 2 の測定。")</f>
        <v>生物学的標本中の単純ヘルペス ウイルス 2 の測定。</v>
      </c>
      <c r="I2572" s="3" t="str">
        <f ca="1">IFERROR(__xludf.DUMMYFUNCTION("googletranslate(F2572,""en"",""ja"")"),"単純ヘルペスウイルス2型の測定")</f>
        <v>単純ヘルペスウイルス2型の測定</v>
      </c>
    </row>
    <row r="2573" spans="1:9" ht="30">
      <c r="A2573" s="3" t="s">
        <v>67</v>
      </c>
      <c r="B2573" s="3" t="s">
        <v>10706</v>
      </c>
      <c r="C2573" s="3" t="s">
        <v>10707</v>
      </c>
      <c r="D2573" s="3" t="s">
        <v>10707</v>
      </c>
      <c r="E2573" s="3" t="s">
        <v>10708</v>
      </c>
      <c r="F2573" s="3" t="s">
        <v>10709</v>
      </c>
      <c r="G2573" s="3" t="str">
        <f ca="1">IFERROR(__xludf.DUMMYFUNCTION("googletranslate(D2573,""en"",""ja"")"),"単純ヘルペスウイルス 2 型 DNA")</f>
        <v>単純ヘルペスウイルス 2 型 DNA</v>
      </c>
      <c r="H2573" s="3" t="str">
        <f ca="1">IFERROR(__xludf.DUMMYFUNCTION("googletranslate(E2573,""en"",""ja"")"),"生物学的標本中の単純ヘルペス ウイルス 2 DNA の測定。")</f>
        <v>生物学的標本中の単純ヘルペス ウイルス 2 DNA の測定。</v>
      </c>
      <c r="I2573" s="3" t="str">
        <f ca="1">IFERROR(__xludf.DUMMYFUNCTION("googletranslate(F2573,""en"",""ja"")"),"単純ヘルペスウイルス2型DNA測定")</f>
        <v>単純ヘルペスウイルス2型DNA測定</v>
      </c>
    </row>
    <row r="2574" spans="1:9" ht="30">
      <c r="A2574" s="3" t="s">
        <v>6</v>
      </c>
      <c r="B2574" s="3" t="s">
        <v>10710</v>
      </c>
      <c r="C2574" s="3" t="s">
        <v>10711</v>
      </c>
      <c r="D2574" s="3" t="s">
        <v>10711</v>
      </c>
      <c r="E2574" s="3" t="s">
        <v>10712</v>
      </c>
      <c r="F2574" s="3" t="s">
        <v>10713</v>
      </c>
      <c r="G2574" s="3" t="str">
        <f ca="1">IFERROR(__xludf.DUMMYFUNCTION("googletranslate(D2574,""en"",""ja"")"),"ヒートショックプロテイン70")</f>
        <v>ヒートショックプロテイン70</v>
      </c>
      <c r="H2574" s="3" t="str">
        <f ca="1">IFERROR(__xludf.DUMMYFUNCTION("googletranslate(E2574,""en"",""ja"")"),"生物学的標本中の熱ショックタンパク質 70 の測定。")</f>
        <v>生物学的標本中の熱ショックタンパク質 70 の測定。</v>
      </c>
      <c r="I2574" s="3" t="str">
        <f ca="1">IFERROR(__xludf.DUMMYFUNCTION("googletranslate(F2574,""en"",""ja"")"),"ヒートショックプロテイン70測定")</f>
        <v>ヒートショックプロテイン70測定</v>
      </c>
    </row>
    <row r="2575" spans="1:9" ht="30">
      <c r="A2575" s="3" t="s">
        <v>6</v>
      </c>
      <c r="B2575" s="3" t="s">
        <v>10714</v>
      </c>
      <c r="C2575" s="3" t="s">
        <v>10715</v>
      </c>
      <c r="D2575" s="3" t="s">
        <v>10715</v>
      </c>
      <c r="E2575" s="3" t="s">
        <v>10716</v>
      </c>
      <c r="F2575" s="3" t="s">
        <v>10717</v>
      </c>
      <c r="G2575" s="3" t="str">
        <f ca="1">IFERROR(__xludf.DUMMYFUNCTION("googletranslate(D2575,""en"",""ja"")"),"ヒートショックプロテイン90アルファ")</f>
        <v>ヒートショックプロテイン90アルファ</v>
      </c>
      <c r="H2575" s="3" t="str">
        <f ca="1">IFERROR(__xludf.DUMMYFUNCTION("googletranslate(E2575,""en"",""ja"")"),"生物学的標本中の熱ショックタンパク質 90 α の測定。")</f>
        <v>生物学的標本中の熱ショックタンパク質 90 α の測定。</v>
      </c>
      <c r="I2575" s="3" t="str">
        <f ca="1">IFERROR(__xludf.DUMMYFUNCTION("googletranslate(F2575,""en"",""ja"")"),"ヒートショックプロテイン90アルファ測定")</f>
        <v>ヒートショックプロテイン90アルファ測定</v>
      </c>
    </row>
    <row r="2576" spans="1:9" ht="60">
      <c r="A2576" s="3" t="s">
        <v>142</v>
      </c>
      <c r="B2576" s="3" t="s">
        <v>10718</v>
      </c>
      <c r="C2576" s="3" t="s">
        <v>10719</v>
      </c>
      <c r="D2576" s="3" t="s">
        <v>10720</v>
      </c>
      <c r="E2576" s="3" t="s">
        <v>10721</v>
      </c>
      <c r="F2576" s="3" t="s">
        <v>10722</v>
      </c>
      <c r="G2576" s="3" t="str">
        <f ca="1">IFERROR(__xludf.DUMMYFUNCTION("googletranslate(D2576,""en"",""ja"")"),"妊娠合併症のため入院。妊娠合併症の指標により入院")</f>
        <v>妊娠合併症のため入院。妊娠合併症の指標により入院</v>
      </c>
      <c r="H2576" s="3" t="str">
        <f ca="1">IFERROR(__xludf.DUMMYFUNCTION("googletranslate(E2576,""en"",""ja"")"),"個人が妊娠の合併症のために入院したかどうかに関する指標。")</f>
        <v>個人が妊娠の合併症のために入院したかどうかに関する指標。</v>
      </c>
      <c r="I2576" s="3" t="str">
        <f ca="1">IFERROR(__xludf.DUMMYFUNCTION("googletranslate(F2576,""en"",""ja"")"),"妊娠合併症の指標により入院")</f>
        <v>妊娠合併症の指標により入院</v>
      </c>
    </row>
    <row r="2577" spans="1:9" ht="45">
      <c r="A2577" s="3" t="s">
        <v>118</v>
      </c>
      <c r="B2577" s="3" t="s">
        <v>10723</v>
      </c>
      <c r="C2577" s="3" t="s">
        <v>10724</v>
      </c>
      <c r="D2577" s="3" t="s">
        <v>10724</v>
      </c>
      <c r="E2577" s="3" t="s">
        <v>10725</v>
      </c>
      <c r="F2577" s="3" t="s">
        <v>10724</v>
      </c>
      <c r="G2577" s="3" t="str">
        <f ca="1">IFERROR(__xludf.DUMMYFUNCTION("googletranslate(D2577,""en"",""ja"")"),"年齢に対する身長のパーセンタイル")</f>
        <v>年齢に対する身長のパーセンタイル</v>
      </c>
      <c r="H2577" s="3" t="str">
        <f ca="1">IFERROR(__xludf.DUMMYFUNCTION("googletranslate(E2577,""en"",""ja"")"),"個人の身長および年齢と参照集団の身長および年齢との関係を評価したもので、パーセンタイルで表されます。")</f>
        <v>個人の身長および年齢と参照集団の身長および年齢との関係を評価したもので、パーセンタイルで表されます。</v>
      </c>
      <c r="I2577" s="3" t="str">
        <f ca="1">IFERROR(__xludf.DUMMYFUNCTION("googletranslate(F2577,""en"",""ja"")"),"年齢に対する身長のパーセンタイル")</f>
        <v>年齢に対する身長のパーセンタイル</v>
      </c>
    </row>
    <row r="2578" spans="1:9">
      <c r="A2578" s="3" t="s">
        <v>51</v>
      </c>
      <c r="B2578" s="3" t="s">
        <v>10726</v>
      </c>
      <c r="C2578" s="3" t="s">
        <v>10727</v>
      </c>
      <c r="D2578" s="3" t="s">
        <v>10727</v>
      </c>
      <c r="E2578" s="3" t="s">
        <v>10728</v>
      </c>
      <c r="F2578" s="3" t="s">
        <v>10727</v>
      </c>
      <c r="G2578" s="3" t="str">
        <f ca="1">IFERROR(__xludf.DUMMYFUNCTION("googletranslate(D2578,""en"",""ja"")"),"発熱体の直径")</f>
        <v>発熱体の直径</v>
      </c>
      <c r="H2578" s="3" t="str">
        <f ca="1">IFERROR(__xludf.DUMMYFUNCTION("googletranslate(E2578,""en"",""ja"")"),"デバイス内の発熱体の直径。")</f>
        <v>デバイス内の発熱体の直径。</v>
      </c>
      <c r="I2578" s="3" t="str">
        <f ca="1">IFERROR(__xludf.DUMMYFUNCTION("googletranslate(F2578,""en"",""ja"")"),"発熱体の直径")</f>
        <v>発熱体の直径</v>
      </c>
    </row>
    <row r="2579" spans="1:9">
      <c r="A2579" s="3" t="s">
        <v>51</v>
      </c>
      <c r="B2579" s="3" t="s">
        <v>10729</v>
      </c>
      <c r="C2579" s="3" t="s">
        <v>10730</v>
      </c>
      <c r="D2579" s="3" t="s">
        <v>10730</v>
      </c>
      <c r="E2579" s="3" t="s">
        <v>10731</v>
      </c>
      <c r="F2579" s="3" t="s">
        <v>10730</v>
      </c>
      <c r="G2579" s="3" t="str">
        <f ca="1">IFERROR(__xludf.DUMMYFUNCTION("googletranslate(D2579,""en"",""ja"")"),"発熱体の構成")</f>
        <v>発熱体の構成</v>
      </c>
      <c r="H2579" s="3" t="str">
        <f ca="1">IFERROR(__xludf.DUMMYFUNCTION("googletranslate(E2579,""en"",""ja"")"),"デバイス内の発熱体の設計。")</f>
        <v>デバイス内の発熱体の設計。</v>
      </c>
      <c r="I2579" s="3" t="str">
        <f ca="1">IFERROR(__xludf.DUMMYFUNCTION("googletranslate(F2579,""en"",""ja"")"),"発熱体の構成")</f>
        <v>発熱体の構成</v>
      </c>
    </row>
    <row r="2580" spans="1:9">
      <c r="A2580" s="3" t="s">
        <v>51</v>
      </c>
      <c r="B2580" s="3" t="s">
        <v>10732</v>
      </c>
      <c r="C2580" s="3" t="s">
        <v>10733</v>
      </c>
      <c r="D2580" s="3" t="s">
        <v>10733</v>
      </c>
      <c r="E2580" s="3" t="s">
        <v>10734</v>
      </c>
      <c r="F2580" s="3" t="s">
        <v>10733</v>
      </c>
      <c r="G2580" s="3" t="str">
        <f ca="1">IFERROR(__xludf.DUMMYFUNCTION("googletranslate(D2580,""en"",""ja"")"),"発熱体の長さ")</f>
        <v>発熱体の長さ</v>
      </c>
      <c r="H2580" s="3" t="str">
        <f ca="1">IFERROR(__xludf.DUMMYFUNCTION("googletranslate(E2580,""en"",""ja"")"),"デバイス内の発熱体の長さ。")</f>
        <v>デバイス内の発熱体の長さ。</v>
      </c>
      <c r="I2580" s="3" t="str">
        <f ca="1">IFERROR(__xludf.DUMMYFUNCTION("googletranslate(F2580,""en"",""ja"")"),"発熱体の長さ")</f>
        <v>発熱体の長さ</v>
      </c>
    </row>
    <row r="2581" spans="1:9">
      <c r="A2581" s="3" t="s">
        <v>51</v>
      </c>
      <c r="B2581" s="3" t="s">
        <v>10735</v>
      </c>
      <c r="C2581" s="3" t="s">
        <v>10736</v>
      </c>
      <c r="D2581" s="3" t="s">
        <v>10736</v>
      </c>
      <c r="E2581" s="3" t="s">
        <v>10737</v>
      </c>
      <c r="F2581" s="3" t="s">
        <v>10736</v>
      </c>
      <c r="G2581" s="3" t="str">
        <f ca="1">IFERROR(__xludf.DUMMYFUNCTION("googletranslate(D2581,""en"",""ja"")"),"発熱体の数")</f>
        <v>発熱体の数</v>
      </c>
      <c r="H2581" s="3" t="str">
        <f ca="1">IFERROR(__xludf.DUMMYFUNCTION("googletranslate(E2581,""en"",""ja"")"),"デバイス内の発熱体の数。")</f>
        <v>デバイス内の発熱体の数。</v>
      </c>
      <c r="I2581" s="3" t="str">
        <f ca="1">IFERROR(__xludf.DUMMYFUNCTION("googletranslate(F2581,""en"",""ja"")"),"発熱体の数")</f>
        <v>発熱体の数</v>
      </c>
    </row>
    <row r="2582" spans="1:9" ht="30">
      <c r="A2582" s="3" t="s">
        <v>51</v>
      </c>
      <c r="B2582" s="3" t="s">
        <v>10738</v>
      </c>
      <c r="C2582" s="3" t="s">
        <v>10739</v>
      </c>
      <c r="D2582" s="3" t="s">
        <v>10739</v>
      </c>
      <c r="E2582" s="3" t="s">
        <v>10740</v>
      </c>
      <c r="F2582" s="3" t="s">
        <v>10739</v>
      </c>
      <c r="G2582" s="3" t="str">
        <f ca="1">IFERROR(__xludf.DUMMYFUNCTION("googletranslate(D2582,""en"",""ja"")"),"発熱体の範囲")</f>
        <v>発熱体の範囲</v>
      </c>
      <c r="H2582" s="3" t="str">
        <f ca="1">IFERROR(__xludf.DUMMYFUNCTION("googletranslate(E2582,""en"",""ja"")"),"動作中のデバイス内の発熱体の温度範囲。")</f>
        <v>動作中のデバイス内の発熱体の温度範囲。</v>
      </c>
      <c r="I2582" s="3" t="str">
        <f ca="1">IFERROR(__xludf.DUMMYFUNCTION("googletranslate(F2582,""en"",""ja"")"),"発熱体の範囲")</f>
        <v>発熱体の範囲</v>
      </c>
    </row>
    <row r="2583" spans="1:9" ht="30">
      <c r="A2583" s="3" t="s">
        <v>51</v>
      </c>
      <c r="B2583" s="3" t="s">
        <v>10741</v>
      </c>
      <c r="C2583" s="3" t="s">
        <v>10742</v>
      </c>
      <c r="D2583" s="3" t="s">
        <v>10742</v>
      </c>
      <c r="E2583" s="3" t="s">
        <v>10743</v>
      </c>
      <c r="F2583" s="3" t="s">
        <v>10742</v>
      </c>
      <c r="G2583" s="3" t="str">
        <f ca="1">IFERROR(__xludf.DUMMYFUNCTION("googletranslate(D2583,""en"",""ja"")"),"発熱体の抵抗")</f>
        <v>発熱体の抵抗</v>
      </c>
      <c r="H2583" s="3" t="str">
        <f ca="1">IFERROR(__xludf.DUMMYFUNCTION("googletranslate(E2583,""en"",""ja"")"),"デバイス内の発熱体の電流が受ける抵抗。")</f>
        <v>デバイス内の発熱体の電流が受ける抵抗。</v>
      </c>
      <c r="I2583" s="3" t="str">
        <f ca="1">IFERROR(__xludf.DUMMYFUNCTION("googletranslate(F2583,""en"",""ja"")"),"発熱体の抵抗")</f>
        <v>発熱体の抵抗</v>
      </c>
    </row>
    <row r="2584" spans="1:9" ht="30">
      <c r="A2584" s="3" t="s">
        <v>67</v>
      </c>
      <c r="B2584" s="3" t="s">
        <v>10744</v>
      </c>
      <c r="C2584" s="3" t="s">
        <v>10745</v>
      </c>
      <c r="D2584" s="3" t="s">
        <v>10745</v>
      </c>
      <c r="E2584" s="3" t="s">
        <v>10746</v>
      </c>
      <c r="F2584" s="3" t="s">
        <v>10747</v>
      </c>
      <c r="G2584" s="3" t="str">
        <f ca="1">IFERROR(__xludf.DUMMYFUNCTION("googletranslate(D2584,""en"",""ja"")"),"ヒト T リンパ指向性ウイルス RNA")</f>
        <v>ヒト T リンパ指向性ウイルス RNA</v>
      </c>
      <c r="H2584" s="3" t="str">
        <f ca="1">IFERROR(__xludf.DUMMYFUNCTION("googletranslate(E2584,""en"",""ja"")"),"生物学的標本中のヒト T リンパ指向性ウイルス RNA の測定。")</f>
        <v>生物学的標本中のヒト T リンパ指向性ウイルス RNA の測定。</v>
      </c>
      <c r="I2584" s="3" t="str">
        <f ca="1">IFERROR(__xludf.DUMMYFUNCTION("googletranslate(F2584,""en"",""ja"")"),"ヒトTリンパ指向性ウイルスRNAの測定")</f>
        <v>ヒトTリンパ指向性ウイルスRNAの測定</v>
      </c>
    </row>
    <row r="2585" spans="1:9" ht="30">
      <c r="A2585" s="3" t="s">
        <v>180</v>
      </c>
      <c r="B2585" s="3" t="s">
        <v>10748</v>
      </c>
      <c r="C2585" s="3" t="s">
        <v>10749</v>
      </c>
      <c r="D2585" s="3" t="s">
        <v>10749</v>
      </c>
      <c r="E2585" s="3" t="s">
        <v>10750</v>
      </c>
      <c r="F2585" s="3" t="s">
        <v>10751</v>
      </c>
      <c r="G2585" s="3" t="str">
        <f ca="1">IFERROR(__xludf.DUMMYFUNCTION("googletranslate(D2585,""en"",""ja"")"),"異好性抗体")</f>
        <v>異好性抗体</v>
      </c>
      <c r="H2585" s="3" t="str">
        <f ca="1">IFERROR(__xludf.DUMMYFUNCTION("googletranslate(E2585,""en"",""ja"")"),"生物学的標本中の異好性抗体の測定。")</f>
        <v>生物学的標本中の異好性抗体の測定。</v>
      </c>
      <c r="I2585" s="3" t="str">
        <f ca="1">IFERROR(__xludf.DUMMYFUNCTION("googletranslate(F2585,""en"",""ja"")"),"異好性抗体の測定")</f>
        <v>異好性抗体の測定</v>
      </c>
    </row>
    <row r="2586" spans="1:9" ht="30">
      <c r="A2586" s="3" t="s">
        <v>6</v>
      </c>
      <c r="B2586" s="3" t="s">
        <v>10752</v>
      </c>
      <c r="C2586" s="3" t="s">
        <v>10753</v>
      </c>
      <c r="D2586" s="3" t="s">
        <v>10754</v>
      </c>
      <c r="E2586" s="3" t="s">
        <v>10755</v>
      </c>
      <c r="F2586" s="3" t="s">
        <v>10756</v>
      </c>
      <c r="G2586" s="3" t="str">
        <f ca="1">IFERROR(__xludf.DUMMYFUNCTION("googletranslate(D2586,""en"",""ja"")"),"ハンチンチンタンパク質;総ハンチンチンタンパク質")</f>
        <v>ハンチンチンタンパク質;総ハンチンチンタンパク質</v>
      </c>
      <c r="H2586" s="3" t="str">
        <f ca="1">IFERROR(__xludf.DUMMYFUNCTION("googletranslate(E2586,""en"",""ja"")"),"生物学的標本中の総ハンチンチンタンパク質の測定。")</f>
        <v>生物学的標本中の総ハンチンチンタンパク質の測定。</v>
      </c>
      <c r="I2586" s="3" t="str">
        <f ca="1">IFERROR(__xludf.DUMMYFUNCTION("googletranslate(F2586,""en"",""ja"")"),"ハンチンチンタンパク質の測定")</f>
        <v>ハンチンチンタンパク質の測定</v>
      </c>
    </row>
    <row r="2587" spans="1:9" ht="30">
      <c r="A2587" s="3" t="s">
        <v>6</v>
      </c>
      <c r="B2587" s="3" t="s">
        <v>10757</v>
      </c>
      <c r="C2587" s="3" t="s">
        <v>10758</v>
      </c>
      <c r="D2587" s="3" t="s">
        <v>10758</v>
      </c>
      <c r="E2587" s="3" t="s">
        <v>10759</v>
      </c>
      <c r="F2587" s="3" t="s">
        <v>10760</v>
      </c>
      <c r="G2587" s="3" t="str">
        <f ca="1">IFERROR(__xludf.DUMMYFUNCTION("googletranslate(D2587,""en"",""ja"")"),"ハンチンチンタンパク質、変異体")</f>
        <v>ハンチンチンタンパク質、変異体</v>
      </c>
      <c r="H2587" s="3" t="str">
        <f ca="1">IFERROR(__xludf.DUMMYFUNCTION("googletranslate(E2587,""en"",""ja"")"),"生物学的標本中の変異ハンチンチンタンパク質の測定。")</f>
        <v>生物学的標本中の変異ハンチンチンタンパク質の測定。</v>
      </c>
      <c r="I2587" s="3" t="str">
        <f ca="1">IFERROR(__xludf.DUMMYFUNCTION("googletranslate(F2587,""en"",""ja"")"),"変異ハンチンチンタンパク質の測定")</f>
        <v>変異ハンチンチンタンパク質の測定</v>
      </c>
    </row>
    <row r="2588" spans="1:9" ht="30">
      <c r="A2588" s="3" t="s">
        <v>6</v>
      </c>
      <c r="B2588" s="3" t="s">
        <v>10761</v>
      </c>
      <c r="C2588" s="3" t="s">
        <v>10762</v>
      </c>
      <c r="D2588" s="3" t="s">
        <v>10762</v>
      </c>
      <c r="E2588" s="3" t="s">
        <v>10763</v>
      </c>
      <c r="F2588" s="3" t="s">
        <v>10764</v>
      </c>
      <c r="G2588" s="3" t="str">
        <f ca="1">IFERROR(__xludf.DUMMYFUNCTION("googletranslate(D2588,""en"",""ja"")"),"ハンチンチンタンパク質、野生型")</f>
        <v>ハンチンチンタンパク質、野生型</v>
      </c>
      <c r="H2588" s="3" t="str">
        <f ca="1">IFERROR(__xludf.DUMMYFUNCTION("googletranslate(E2588,""en"",""ja"")"),"生物学的標本中の野生型ハンチンチンタンパク質の測定。")</f>
        <v>生物学的標本中の野生型ハンチンチンタンパク質の測定。</v>
      </c>
      <c r="I2588" s="3" t="str">
        <f ca="1">IFERROR(__xludf.DUMMYFUNCTION("googletranslate(F2588,""en"",""ja"")"),"野生型ハンチンチンタンパク質の測定")</f>
        <v>野生型ハンチンチンタンパク質の測定</v>
      </c>
    </row>
    <row r="2589" spans="1:9" ht="30">
      <c r="A2589" s="3" t="s">
        <v>6</v>
      </c>
      <c r="B2589" s="3" t="s">
        <v>10765</v>
      </c>
      <c r="C2589" s="3" t="s">
        <v>10766</v>
      </c>
      <c r="D2589" s="3" t="s">
        <v>10766</v>
      </c>
      <c r="E2589" s="3" t="s">
        <v>10767</v>
      </c>
      <c r="F2589" s="3" t="s">
        <v>10768</v>
      </c>
      <c r="G2589" s="3" t="str">
        <f ca="1">IFERROR(__xludf.DUMMYFUNCTION("googletranslate(D2589,""en"",""ja"")"),"ホモバニリン酸")</f>
        <v>ホモバニリン酸</v>
      </c>
      <c r="H2589" s="3" t="str">
        <f ca="1">IFERROR(__xludf.DUMMYFUNCTION("googletranslate(E2589,""en"",""ja"")"),"生物学的標本中のホモバニリン酸代謝産物の測定。")</f>
        <v>生物学的標本中のホモバニリン酸代謝産物の測定。</v>
      </c>
      <c r="I2589" s="3" t="str">
        <f ca="1">IFERROR(__xludf.DUMMYFUNCTION("googletranslate(F2589,""en"",""ja"")"),"ホモバニリン酸の測定")</f>
        <v>ホモバニリン酸の測定</v>
      </c>
    </row>
    <row r="2590" spans="1:9" ht="30">
      <c r="A2590" s="3" t="s">
        <v>6</v>
      </c>
      <c r="B2590" s="3" t="s">
        <v>10769</v>
      </c>
      <c r="C2590" s="3" t="s">
        <v>10770</v>
      </c>
      <c r="D2590" s="3" t="s">
        <v>10770</v>
      </c>
      <c r="E2590" s="3" t="s">
        <v>10771</v>
      </c>
      <c r="F2590" s="3" t="s">
        <v>10772</v>
      </c>
      <c r="G2590" s="3" t="str">
        <f ca="1">IFERROR(__xludf.DUMMYFUNCTION("googletranslate(D2590,""en"",""ja"")"),"11-ヒドロキシアンドロステンジオン")</f>
        <v>11-ヒドロキシアンドロステンジオン</v>
      </c>
      <c r="H2590" s="3" t="str">
        <f ca="1">IFERROR(__xludf.DUMMYFUNCTION("googletranslate(E2590,""en"",""ja"")"),"生物学的標本中の 11-ヒドロキシアンドロステンジオンの測定。")</f>
        <v>生物学的標本中の 11-ヒドロキシアンドロステンジオンの測定。</v>
      </c>
      <c r="I2590" s="3" t="str">
        <f ca="1">IFERROR(__xludf.DUMMYFUNCTION("googletranslate(F2590,""en"",""ja"")"),"11-ヒドロキシアンドロステンジオンの測定")</f>
        <v>11-ヒドロキシアンドロステンジオンの測定</v>
      </c>
    </row>
    <row r="2591" spans="1:9" ht="30">
      <c r="A2591" s="3" t="s">
        <v>6</v>
      </c>
      <c r="B2591" s="3" t="s">
        <v>10773</v>
      </c>
      <c r="C2591" s="3" t="s">
        <v>10774</v>
      </c>
      <c r="D2591" s="3" t="s">
        <v>10774</v>
      </c>
      <c r="E2591" s="3" t="s">
        <v>10775</v>
      </c>
      <c r="F2591" s="3" t="s">
        <v>10776</v>
      </c>
      <c r="G2591" s="3" t="str">
        <f ca="1">IFERROR(__xludf.DUMMYFUNCTION("googletranslate(D2591,""en"",""ja"")"),"11-ヒドロキシアンドロステロン")</f>
        <v>11-ヒドロキシアンドロステロン</v>
      </c>
      <c r="H2591" s="3" t="str">
        <f ca="1">IFERROR(__xludf.DUMMYFUNCTION("googletranslate(E2591,""en"",""ja"")"),"生物学的標本中の 11-ヒドロキシアンドロステロンの測定。")</f>
        <v>生物学的標本中の 11-ヒドロキシアンドロステロンの測定。</v>
      </c>
      <c r="I2591" s="3" t="str">
        <f ca="1">IFERROR(__xludf.DUMMYFUNCTION("googletranslate(F2591,""en"",""ja"")"),"11-ヒドロキシアンドロステロンの測定")</f>
        <v>11-ヒドロキシアンドロステロンの測定</v>
      </c>
    </row>
    <row r="2592" spans="1:9" ht="45">
      <c r="A2592" s="3" t="s">
        <v>6</v>
      </c>
      <c r="B2592" s="3" t="s">
        <v>10777</v>
      </c>
      <c r="C2592" s="3" t="s">
        <v>10778</v>
      </c>
      <c r="D2592" s="3" t="s">
        <v>10779</v>
      </c>
      <c r="E2592" s="3" t="s">
        <v>10780</v>
      </c>
      <c r="F2592" s="3" t="s">
        <v>10781</v>
      </c>
      <c r="G2592" s="3" t="str">
        <f ca="1">IFERROR(__xludf.DUMMYFUNCTION("googletranslate(D2592,""en"",""ja"")"),"6-ヒドロキシブプロピオン; BW306U;ヒドロキシブプロピオン")</f>
        <v>6-ヒドロキシブプロピオン; BW306U;ヒドロキシブプロピオン</v>
      </c>
      <c r="H2592" s="3" t="str">
        <f ca="1">IFERROR(__xludf.DUMMYFUNCTION("googletranslate(E2592,""en"",""ja"")"),"生物学的標本中のヒドロキシブプロピオンの測定。")</f>
        <v>生物学的標本中のヒドロキシブプロピオンの測定。</v>
      </c>
      <c r="I2592" s="3" t="str">
        <f ca="1">IFERROR(__xludf.DUMMYFUNCTION("googletranslate(F2592,""en"",""ja"")"),"ヒドロキシブプロピオンの測定")</f>
        <v>ヒドロキシブプロピオンの測定</v>
      </c>
    </row>
    <row r="2593" spans="1:9" ht="60">
      <c r="A2593" s="3" t="s">
        <v>6</v>
      </c>
      <c r="B2593" s="3" t="s">
        <v>10782</v>
      </c>
      <c r="C2593" s="3" t="s">
        <v>10783</v>
      </c>
      <c r="D2593" s="3" t="s">
        <v>10784</v>
      </c>
      <c r="E2593" s="3" t="s">
        <v>10785</v>
      </c>
      <c r="F2593" s="3" t="s">
        <v>10786</v>
      </c>
      <c r="G2593" s="3" t="str">
        <f ca="1">IFERROR(__xludf.DUMMYFUNCTION("googletranslate(D2593,""en"",""ja"")"),"17-ヒドロキシコルチコイド; 17-ヒドロキシコルチコステロイド; 17-ヒドロキシコルチコステロイド")</f>
        <v>17-ヒドロキシコルチコイド; 17-ヒドロキシコルチコステロイド; 17-ヒドロキシコルチコステロイド</v>
      </c>
      <c r="H2593" s="3" t="str">
        <f ca="1">IFERROR(__xludf.DUMMYFUNCTION("googletranslate(E2593,""en"",""ja"")"),"生物学的標本中の 17-ヒドロキシコルチコステロイドの測定。")</f>
        <v>生物学的標本中の 17-ヒドロキシコルチコステロイドの測定。</v>
      </c>
      <c r="I2593" s="3" t="str">
        <f ca="1">IFERROR(__xludf.DUMMYFUNCTION("googletranslate(F2593,""en"",""ja"")"),"17-ヒドロキシコルチコステロイドの測定")</f>
        <v>17-ヒドロキシコルチコステロイドの測定</v>
      </c>
    </row>
    <row r="2594" spans="1:9" ht="30">
      <c r="A2594" s="3" t="s">
        <v>6</v>
      </c>
      <c r="B2594" s="3" t="s">
        <v>10787</v>
      </c>
      <c r="C2594" s="3" t="s">
        <v>10788</v>
      </c>
      <c r="D2594" s="3" t="s">
        <v>10788</v>
      </c>
      <c r="E2594" s="3" t="s">
        <v>10789</v>
      </c>
      <c r="F2594" s="3" t="s">
        <v>10790</v>
      </c>
      <c r="G2594" s="3" t="str">
        <f ca="1">IFERROR(__xludf.DUMMYFUNCTION("googletranslate(D2594,""en"",""ja"")"),"18-ヒドロキシコルチゾール")</f>
        <v>18-ヒドロキシコルチゾール</v>
      </c>
      <c r="H2594" s="3" t="str">
        <f ca="1">IFERROR(__xludf.DUMMYFUNCTION("googletranslate(E2594,""en"",""ja"")"),"生物学的標本中の 18-ヒドロキシコルチゾールの測定。")</f>
        <v>生物学的標本中の 18-ヒドロキシコルチゾールの測定。</v>
      </c>
      <c r="I2594" s="3" t="str">
        <f ca="1">IFERROR(__xludf.DUMMYFUNCTION("googletranslate(F2594,""en"",""ja"")"),"18-ヒドロキシコルチゾールの測定")</f>
        <v>18-ヒドロキシコルチゾールの測定</v>
      </c>
    </row>
    <row r="2595" spans="1:9" ht="30">
      <c r="A2595" s="3" t="s">
        <v>6</v>
      </c>
      <c r="B2595" s="3" t="s">
        <v>10791</v>
      </c>
      <c r="C2595" s="3" t="s">
        <v>10792</v>
      </c>
      <c r="D2595" s="3" t="s">
        <v>10792</v>
      </c>
      <c r="E2595" s="3" t="s">
        <v>10793</v>
      </c>
      <c r="F2595" s="3" t="s">
        <v>10794</v>
      </c>
      <c r="G2595" s="3" t="str">
        <f ca="1">IFERROR(__xludf.DUMMYFUNCTION("googletranslate(D2595,""en"",""ja"")"),"18-ヒドロキシコルチコステロン")</f>
        <v>18-ヒドロキシコルチコステロン</v>
      </c>
      <c r="H2595" s="3" t="str">
        <f ca="1">IFERROR(__xludf.DUMMYFUNCTION("googletranslate(E2595,""en"",""ja"")"),"生物学的標本中の 18-ヒドロキシコルチコステロンの測定。")</f>
        <v>生物学的標本中の 18-ヒドロキシコルチコステロンの測定。</v>
      </c>
      <c r="I2595" s="3" t="str">
        <f ca="1">IFERROR(__xludf.DUMMYFUNCTION("googletranslate(F2595,""en"",""ja"")"),"18-ヒドロキシコルチコステロンの測定")</f>
        <v>18-ヒドロキシコルチコステロンの測定</v>
      </c>
    </row>
    <row r="2596" spans="1:9" ht="30">
      <c r="A2596" s="3" t="s">
        <v>6</v>
      </c>
      <c r="B2596" s="3" t="s">
        <v>10795</v>
      </c>
      <c r="C2596" s="3" t="s">
        <v>10796</v>
      </c>
      <c r="D2596" s="3" t="s">
        <v>10796</v>
      </c>
      <c r="E2596" s="3" t="s">
        <v>10797</v>
      </c>
      <c r="F2596" s="3" t="s">
        <v>10798</v>
      </c>
      <c r="G2596" s="3" t="str">
        <f ca="1">IFERROR(__xludf.DUMMYFUNCTION("googletranslate(D2596,""en"",""ja"")"),"18-ヒドロキシデオキシコルチコステロン")</f>
        <v>18-ヒドロキシデオキシコルチコステロン</v>
      </c>
      <c r="H2596" s="3" t="str">
        <f ca="1">IFERROR(__xludf.DUMMYFUNCTION("googletranslate(E2596,""en"",""ja"")"),"生物学的標本中の 18-ヒドロキシデオキシコルチコステロンの測定。")</f>
        <v>生物学的標本中の 18-ヒドロキシデオキシコルチコステロンの測定。</v>
      </c>
      <c r="I2596" s="3" t="str">
        <f ca="1">IFERROR(__xludf.DUMMYFUNCTION("googletranslate(F2596,""en"",""ja"")"),"18-ヒドロキシデオキシコルチコステロンの測定")</f>
        <v>18-ヒドロキシデオキシコルチコステロンの測定</v>
      </c>
    </row>
    <row r="2597" spans="1:9" ht="75">
      <c r="A2597" s="3" t="s">
        <v>6</v>
      </c>
      <c r="B2597" s="3" t="s">
        <v>10799</v>
      </c>
      <c r="C2597" s="3" t="s">
        <v>10800</v>
      </c>
      <c r="D2597" s="3" t="s">
        <v>10801</v>
      </c>
      <c r="E2597" s="3" t="s">
        <v>10802</v>
      </c>
      <c r="F2597" s="3" t="s">
        <v>10803</v>
      </c>
      <c r="G2597" s="3" t="str">
        <f ca="1">IFERROR(__xludf.DUMMYFUNCTION("googletranslate(D2597,""en"",""ja"")"),"2-ヒドロキシエチルメルカプチュレート; 2-ヒドロキシエチルメルカプツール酸;ヘマ; N-アセチル-S-(2-ヒドロキシエチル)システイン")</f>
        <v>2-ヒドロキシエチルメルカプチュレート; 2-ヒドロキシエチルメルカプツール酸;ヘマ; N-アセチル-S-(2-ヒドロキシエチル)システイン</v>
      </c>
      <c r="H2597" s="3" t="str">
        <f ca="1">IFERROR(__xludf.DUMMYFUNCTION("googletranslate(E2597,""en"",""ja"")"),"試料中の 2-ヒドロキシエチルメルカプツール酸の測定。")</f>
        <v>試料中の 2-ヒドロキシエチルメルカプツール酸の測定。</v>
      </c>
      <c r="I2597" s="3" t="str">
        <f ca="1">IFERROR(__xludf.DUMMYFUNCTION("googletranslate(F2597,""en"",""ja"")"),"2-ヒドロキシエチルメルカプツール酸の測定")</f>
        <v>2-ヒドロキシエチルメルカプツール酸の測定</v>
      </c>
    </row>
    <row r="2598" spans="1:9" ht="30">
      <c r="A2598" s="3" t="s">
        <v>6</v>
      </c>
      <c r="B2598" s="3" t="s">
        <v>10804</v>
      </c>
      <c r="C2598" s="3" t="s">
        <v>10805</v>
      </c>
      <c r="D2598" s="3" t="s">
        <v>10805</v>
      </c>
      <c r="E2598" s="3" t="s">
        <v>10806</v>
      </c>
      <c r="F2598" s="3" t="s">
        <v>10807</v>
      </c>
      <c r="G2598" s="3" t="str">
        <f ca="1">IFERROR(__xludf.DUMMYFUNCTION("googletranslate(D2598,""en"",""ja"")"),"11-ヒドロキシエチオコラノロン")</f>
        <v>11-ヒドロキシエチオコラノロン</v>
      </c>
      <c r="H2598" s="3" t="str">
        <f ca="1">IFERROR(__xludf.DUMMYFUNCTION("googletranslate(E2598,""en"",""ja"")"),"生物学的標本中の 11-ヒドロキシエチオコラノロンの測定。")</f>
        <v>生物学的標本中の 11-ヒドロキシエチオコラノロンの測定。</v>
      </c>
      <c r="I2598" s="3" t="str">
        <f ca="1">IFERROR(__xludf.DUMMYFUNCTION("googletranslate(F2598,""en"",""ja"")"),"11-ヒドロキシエチオコラノロンの測定")</f>
        <v>11-ヒドロキシエチオコラノロンの測定</v>
      </c>
    </row>
    <row r="2599" spans="1:9" ht="45">
      <c r="A2599" s="3" t="s">
        <v>6</v>
      </c>
      <c r="B2599" s="3" t="s">
        <v>10808</v>
      </c>
      <c r="C2599" s="3" t="s">
        <v>10809</v>
      </c>
      <c r="D2599" s="3" t="s">
        <v>10810</v>
      </c>
      <c r="E2599" s="3" t="s">
        <v>10811</v>
      </c>
      <c r="F2599" s="3" t="s">
        <v>10812</v>
      </c>
      <c r="G2599" s="3" t="str">
        <f ca="1">IFERROR(__xludf.DUMMYFUNCTION("googletranslate(D2599,""en"",""ja"")"),"2-ヒドロキシグルタル酸; 2-ヒドロキシグルタル酸; α-ヒドロキシグルタル酸")</f>
        <v>2-ヒドロキシグルタル酸; 2-ヒドロキシグルタル酸; α-ヒドロキシグルタル酸</v>
      </c>
      <c r="H2599" s="3" t="str">
        <f ca="1">IFERROR(__xludf.DUMMYFUNCTION("googletranslate(E2599,""en"",""ja"")"),"生物学的標本中の 2-ヒドロキシグルタル酸の測定。")</f>
        <v>生物学的標本中の 2-ヒドロキシグルタル酸の測定。</v>
      </c>
      <c r="I2599" s="3" t="str">
        <f ca="1">IFERROR(__xludf.DUMMYFUNCTION("googletranslate(F2599,""en"",""ja"")"),"2-ヒドロキシグルタル酸の測定")</f>
        <v>2-ヒドロキシグルタル酸の測定</v>
      </c>
    </row>
    <row r="2600" spans="1:9" ht="45">
      <c r="A2600" s="3" t="s">
        <v>6</v>
      </c>
      <c r="B2600" s="3" t="s">
        <v>10813</v>
      </c>
      <c r="C2600" s="3" t="s">
        <v>10814</v>
      </c>
      <c r="D2600" s="3" t="s">
        <v>10815</v>
      </c>
      <c r="E2600" s="3" t="s">
        <v>10816</v>
      </c>
      <c r="F2600" s="3" t="s">
        <v>10817</v>
      </c>
      <c r="G2600" s="3" t="str">
        <f ca="1">IFERROR(__xludf.DUMMYFUNCTION("googletranslate(D2600,""en"",""ja"")"),"4-HNE; 4-ヒドロキシ-2-ノネナール; 4-ヒドロキシノネナール; HNE")</f>
        <v>4-HNE; 4-ヒドロキシ-2-ノネナール; 4-ヒドロキシノネナール; HNE</v>
      </c>
      <c r="H2600" s="3" t="str">
        <f ca="1">IFERROR(__xludf.DUMMYFUNCTION("googletranslate(E2600,""en"",""ja"")"),"生物学的標本中の 4-ヒドロキシノネナールの測定。")</f>
        <v>生物学的標本中の 4-ヒドロキシノネナールの測定。</v>
      </c>
      <c r="I2600" s="3" t="str">
        <f ca="1">IFERROR(__xludf.DUMMYFUNCTION("googletranslate(F2600,""en"",""ja"")"),"4-ヒドロキシノネナールの測定")</f>
        <v>4-ヒドロキシノネナールの測定</v>
      </c>
    </row>
    <row r="2601" spans="1:9" ht="30">
      <c r="A2601" s="3" t="s">
        <v>6</v>
      </c>
      <c r="B2601" s="3" t="s">
        <v>10818</v>
      </c>
      <c r="C2601" s="3" t="s">
        <v>10819</v>
      </c>
      <c r="D2601" s="3" t="s">
        <v>10819</v>
      </c>
      <c r="E2601" s="3" t="s">
        <v>10820</v>
      </c>
      <c r="F2601" s="3" t="s">
        <v>10821</v>
      </c>
      <c r="G2601" s="3" t="str">
        <f ca="1">IFERROR(__xludf.DUMMYFUNCTION("googletranslate(D2601,""en"",""ja"")"),"17-ヒドロキシプレグネノロン")</f>
        <v>17-ヒドロキシプレグネノロン</v>
      </c>
      <c r="H2601" s="3" t="str">
        <f ca="1">IFERROR(__xludf.DUMMYFUNCTION("googletranslate(E2601,""en"",""ja"")"),"生物学的標本中の 17-ヒドロキシプレグネノロンの測定。")</f>
        <v>生物学的標本中の 17-ヒドロキシプレグネノロンの測定。</v>
      </c>
      <c r="I2601" s="3" t="str">
        <f ca="1">IFERROR(__xludf.DUMMYFUNCTION("googletranslate(F2601,""en"",""ja"")"),"17-ヒドロキシプレグネノロンの測定")</f>
        <v>17-ヒドロキシプレグネノロンの測定</v>
      </c>
    </row>
    <row r="2602" spans="1:9">
      <c r="A2602" s="3" t="s">
        <v>6</v>
      </c>
      <c r="B2602" s="3" t="s">
        <v>10822</v>
      </c>
      <c r="C2602" s="3" t="s">
        <v>10823</v>
      </c>
      <c r="D2602" s="3" t="s">
        <v>10823</v>
      </c>
      <c r="E2602" s="3" t="s">
        <v>10824</v>
      </c>
      <c r="F2602" s="3" t="s">
        <v>10825</v>
      </c>
      <c r="G2602" s="3" t="str">
        <f ca="1">IFERROR(__xludf.DUMMYFUNCTION("googletranslate(D2602,""en"",""ja"")"),"ヒアルロン酸")</f>
        <v>ヒアルロン酸</v>
      </c>
      <c r="H2602" s="3" t="str">
        <f ca="1">IFERROR(__xludf.DUMMYFUNCTION("googletranslate(E2602,""en"",""ja"")"),"生体標本中のヒアルロン酸の測定。")</f>
        <v>生体標本中のヒアルロン酸の測定。</v>
      </c>
      <c r="I2602" s="3" t="str">
        <f ca="1">IFERROR(__xludf.DUMMYFUNCTION("googletranslate(F2602,""en"",""ja"")"),"ヒアルロン酸測定")</f>
        <v>ヒアルロン酸測定</v>
      </c>
    </row>
    <row r="2603" spans="1:9" ht="30">
      <c r="A2603" s="3" t="s">
        <v>6</v>
      </c>
      <c r="B2603" s="3" t="s">
        <v>10826</v>
      </c>
      <c r="C2603" s="3" t="s">
        <v>10827</v>
      </c>
      <c r="D2603" s="3" t="s">
        <v>10827</v>
      </c>
      <c r="E2603" s="3" t="s">
        <v>10828</v>
      </c>
      <c r="F2603" s="3" t="s">
        <v>10829</v>
      </c>
      <c r="G2603" s="3" t="str">
        <f ca="1">IFERROR(__xludf.DUMMYFUNCTION("googletranslate(D2603,""en"",""ja"")"),"ヒドロコドン")</f>
        <v>ヒドロコドン</v>
      </c>
      <c r="H2603" s="3" t="str">
        <f ca="1">IFERROR(__xludf.DUMMYFUNCTION("googletranslate(E2603,""en"",""ja"")"),"生物学的標本に存在するヒドロコドンの測定。")</f>
        <v>生物学的標本に存在するヒドロコドンの測定。</v>
      </c>
      <c r="I2603" s="3" t="str">
        <f ca="1">IFERROR(__xludf.DUMMYFUNCTION("googletranslate(F2603,""en"",""ja"")"),"ヒドロコドンの測定")</f>
        <v>ヒドロコドンの測定</v>
      </c>
    </row>
    <row r="2604" spans="1:9" ht="45">
      <c r="A2604" s="3" t="s">
        <v>6</v>
      </c>
      <c r="B2604" s="3" t="s">
        <v>10830</v>
      </c>
      <c r="C2604" s="3" t="s">
        <v>10831</v>
      </c>
      <c r="D2604" s="3" t="s">
        <v>10832</v>
      </c>
      <c r="E2604" s="3" t="s">
        <v>10833</v>
      </c>
      <c r="F2604" s="3" t="s">
        <v>10834</v>
      </c>
      <c r="G2604" s="3" t="str">
        <f ca="1">IFERROR(__xludf.DUMMYFUNCTION("googletranslate(D2604,""en"",""ja"")"),"1'-ヒドロキシイミダゾラム; 1-ヒドロキシイミダゾラム; α-ヒドロキシイミダゾラム")</f>
        <v>1'-ヒドロキシイミダゾラム; 1-ヒドロキシイミダゾラム; α-ヒドロキシイミダゾラム</v>
      </c>
      <c r="H2604" s="3" t="str">
        <f ca="1">IFERROR(__xludf.DUMMYFUNCTION("googletranslate(E2604,""en"",""ja"")"),"生物学的標本中に存在する 1-ヒドロキシミダゾラムの測定。")</f>
        <v>生物学的標本中に存在する 1-ヒドロキシミダゾラムの測定。</v>
      </c>
      <c r="I2604" s="3" t="str">
        <f ca="1">IFERROR(__xludf.DUMMYFUNCTION("googletranslate(F2604,""en"",""ja"")"),"1-ヒドロキシイミダゾラムの測定")</f>
        <v>1-ヒドロキシイミダゾラムの測定</v>
      </c>
    </row>
    <row r="2605" spans="1:9" ht="30">
      <c r="A2605" s="3" t="s">
        <v>6</v>
      </c>
      <c r="B2605" s="3" t="s">
        <v>10835</v>
      </c>
      <c r="C2605" s="3" t="s">
        <v>10836</v>
      </c>
      <c r="D2605" s="3" t="s">
        <v>10836</v>
      </c>
      <c r="E2605" s="3" t="s">
        <v>10837</v>
      </c>
      <c r="F2605" s="3" t="s">
        <v>10838</v>
      </c>
      <c r="G2605" s="3" t="str">
        <f ca="1">IFERROR(__xludf.DUMMYFUNCTION("googletranslate(D2605,""en"",""ja"")"),"4-ヒドロキシイミダゾラム")</f>
        <v>4-ヒドロキシイミダゾラム</v>
      </c>
      <c r="H2605" s="3" t="str">
        <f ca="1">IFERROR(__xludf.DUMMYFUNCTION("googletranslate(E2605,""en"",""ja"")"),"生物学的標本中に存在する 4-ヒドロキシミダゾラムの測定。")</f>
        <v>生物学的標本中に存在する 4-ヒドロキシミダゾラムの測定。</v>
      </c>
      <c r="I2605" s="3" t="str">
        <f ca="1">IFERROR(__xludf.DUMMYFUNCTION("googletranslate(F2605,""en"",""ja"")"),"4-ヒドロキシイミダゾラムの測定")</f>
        <v>4-ヒドロキシイミダゾラムの測定</v>
      </c>
    </row>
    <row r="2606" spans="1:9" ht="30">
      <c r="A2606" s="3" t="s">
        <v>6</v>
      </c>
      <c r="B2606" s="3" t="s">
        <v>10839</v>
      </c>
      <c r="C2606" s="3" t="s">
        <v>10840</v>
      </c>
      <c r="D2606" s="3" t="s">
        <v>10840</v>
      </c>
      <c r="E2606" s="3" t="s">
        <v>10841</v>
      </c>
      <c r="F2606" s="3" t="s">
        <v>10842</v>
      </c>
      <c r="G2606" s="3" t="str">
        <f ca="1">IFERROR(__xludf.DUMMYFUNCTION("googletranslate(D2606,""en"",""ja"")"),"ヒドロモルフォン")</f>
        <v>ヒドロモルフォン</v>
      </c>
      <c r="H2606" s="3" t="str">
        <f ca="1">IFERROR(__xludf.DUMMYFUNCTION("googletranslate(E2606,""en"",""ja"")"),"生物学的標本に存在するヒドロモルホンの測定。")</f>
        <v>生物学的標本に存在するヒドロモルホンの測定。</v>
      </c>
      <c r="I2606" s="3" t="str">
        <f ca="1">IFERROR(__xludf.DUMMYFUNCTION("googletranslate(F2606,""en"",""ja"")"),"ヒドロモルホン測定")</f>
        <v>ヒドロモルホン測定</v>
      </c>
    </row>
    <row r="2607" spans="1:9">
      <c r="A2607" s="3" t="s">
        <v>51</v>
      </c>
      <c r="B2607" s="3" t="s">
        <v>10843</v>
      </c>
      <c r="C2607" s="3" t="s">
        <v>10844</v>
      </c>
      <c r="D2607" s="3" t="s">
        <v>10845</v>
      </c>
      <c r="E2607" s="3" t="s">
        <v>10846</v>
      </c>
      <c r="F2607" s="3" t="s">
        <v>10847</v>
      </c>
      <c r="G2607" s="3" t="str">
        <f ca="1">IFERROR(__xludf.DUMMYFUNCTION("googletranslate(D2607,""en"",""ja"")"),"ヒドラジン;レボキシン")</f>
        <v>ヒドラジン;レボキシン</v>
      </c>
      <c r="H2607" s="3" t="str">
        <f ca="1">IFERROR(__xludf.DUMMYFUNCTION("googletranslate(E2607,""en"",""ja"")"),"試料中のヒドラジンの測定。")</f>
        <v>試料中のヒドラジンの測定。</v>
      </c>
      <c r="I2607" s="3" t="str">
        <f ca="1">IFERROR(__xludf.DUMMYFUNCTION("googletranslate(F2607,""en"",""ja"")"),"ヒドラジンの測定")</f>
        <v>ヒドラジンの測定</v>
      </c>
    </row>
    <row r="2608" spans="1:9">
      <c r="A2608" s="3" t="s">
        <v>6</v>
      </c>
      <c r="B2608" s="3" t="s">
        <v>10848</v>
      </c>
      <c r="C2608" s="3" t="s">
        <v>10849</v>
      </c>
      <c r="D2608" s="3" t="s">
        <v>10849</v>
      </c>
      <c r="E2608" s="3" t="s">
        <v>10850</v>
      </c>
      <c r="F2608" s="3" t="s">
        <v>10851</v>
      </c>
      <c r="G2608" s="3" t="str">
        <f ca="1">IFERROR(__xludf.DUMMYFUNCTION("googletranslate(D2608,""en"",""ja"")"),"水素")</f>
        <v>水素</v>
      </c>
      <c r="H2608" s="3" t="str">
        <f ca="1">IFERROR(__xludf.DUMMYFUNCTION("googletranslate(E2608,""en"",""ja"")"),"生物学的標本中の水素の測定。")</f>
        <v>生物学的標本中の水素の測定。</v>
      </c>
      <c r="I2608" s="3" t="str">
        <f ca="1">IFERROR(__xludf.DUMMYFUNCTION("googletranslate(F2608,""en"",""ja"")"),"水素測定")</f>
        <v>水素測定</v>
      </c>
    </row>
    <row r="2609" spans="1:9" ht="30">
      <c r="A2609" s="3" t="s">
        <v>6</v>
      </c>
      <c r="B2609" s="3" t="s">
        <v>10852</v>
      </c>
      <c r="C2609" s="3" t="s">
        <v>10853</v>
      </c>
      <c r="D2609" s="3" t="s">
        <v>10854</v>
      </c>
      <c r="E2609" s="3" t="s">
        <v>10855</v>
      </c>
      <c r="F2609" s="3" t="s">
        <v>10856</v>
      </c>
      <c r="G2609" s="3" t="str">
        <f ca="1">IFERROR(__xludf.DUMMYFUNCTION("googletranslate(D2609,""en"",""ja"")"),"濃色症;濃染赤血球")</f>
        <v>濃色症;濃染赤血球</v>
      </c>
      <c r="H2609" s="3" t="str">
        <f ca="1">IFERROR(__xludf.DUMMYFUNCTION("googletranslate(E2609,""en"",""ja"")"),"ヘモグロビン濃度が上昇した赤血球の有病率の測定。")</f>
        <v>ヘモグロビン濃度が上昇した赤血球の有病率の測定。</v>
      </c>
      <c r="I2609" s="3" t="str">
        <f ca="1">IFERROR(__xludf.DUMMYFUNCTION("googletranslate(F2609,""en"",""ja"")"),"濃色症の測定")</f>
        <v>濃色症の測定</v>
      </c>
    </row>
    <row r="2610" spans="1:9">
      <c r="A2610" s="3" t="s">
        <v>1557</v>
      </c>
      <c r="B2610" s="3" t="s">
        <v>10857</v>
      </c>
      <c r="C2610" s="3" t="s">
        <v>10858</v>
      </c>
      <c r="D2610" s="3" t="s">
        <v>10858</v>
      </c>
      <c r="E2610" s="3" t="s">
        <v>10859</v>
      </c>
      <c r="F2610" s="3" t="s">
        <v>10858</v>
      </c>
      <c r="G2610" s="3" t="str">
        <f ca="1">IFERROR(__xludf.DUMMYFUNCTION("googletranslate(D2610,""en"",""ja"")"),"充血グレード")</f>
        <v>充血グレード</v>
      </c>
      <c r="H2610" s="3" t="str">
        <f ca="1">IFERROR(__xludf.DUMMYFUNCTION("googletranslate(E2610,""en"",""ja"")"),"充血を評価するためのスケール上の位置。")</f>
        <v>充血を評価するためのスケール上の位置。</v>
      </c>
      <c r="I2610" s="3" t="str">
        <f ca="1">IFERROR(__xludf.DUMMYFUNCTION("googletranslate(F2610,""en"",""ja"")"),"充血グレード")</f>
        <v>充血グレード</v>
      </c>
    </row>
    <row r="2611" spans="1:9" ht="30">
      <c r="A2611" s="3" t="s">
        <v>1557</v>
      </c>
      <c r="B2611" s="3" t="s">
        <v>10860</v>
      </c>
      <c r="C2611" s="3" t="s">
        <v>10861</v>
      </c>
      <c r="D2611" s="3" t="s">
        <v>10861</v>
      </c>
      <c r="E2611" s="3" t="s">
        <v>10862</v>
      </c>
      <c r="F2611" s="3" t="s">
        <v>10863</v>
      </c>
      <c r="G2611" s="3" t="str">
        <f ca="1">IFERROR(__xludf.DUMMYFUNCTION("googletranslate(D2611,""en"",""ja"")"),"充血")</f>
        <v>充血</v>
      </c>
      <c r="H2611" s="3" t="str">
        <f ca="1">IFERROR(__xludf.DUMMYFUNCTION("googletranslate(E2611,""en"",""ja"")"),"生物学的標本または場所における充血（血液量の増加）の評価。")</f>
        <v>生物学的標本または場所における充血（血液量の増加）の評価。</v>
      </c>
      <c r="I2611" s="3" t="str">
        <f ca="1">IFERROR(__xludf.DUMMYFUNCTION("googletranslate(F2611,""en"",""ja"")"),"充血の評価")</f>
        <v>充血の評価</v>
      </c>
    </row>
    <row r="2612" spans="1:9" ht="30">
      <c r="A2612" s="3" t="s">
        <v>6</v>
      </c>
      <c r="B2612" s="3" t="s">
        <v>10864</v>
      </c>
      <c r="C2612" s="3" t="s">
        <v>10865</v>
      </c>
      <c r="D2612" s="3" t="s">
        <v>10866</v>
      </c>
      <c r="E2612" s="3" t="s">
        <v>10867</v>
      </c>
      <c r="F2612" s="3" t="s">
        <v>10868</v>
      </c>
      <c r="G2612" s="3" t="str">
        <f ca="1">IFERROR(__xludf.DUMMYFUNCTION("googletranslate(D2612,""en"",""ja"")"),"17-ヒドロキシプロゲステロン; 17-OHP")</f>
        <v>17-ヒドロキシプロゲステロン; 17-OHP</v>
      </c>
      <c r="H2612" s="3" t="str">
        <f ca="1">IFERROR(__xludf.DUMMYFUNCTION("googletranslate(E2612,""en"",""ja"")"),"生物学的標本中の 17-ヒドロキシプロゲステロンの測定。")</f>
        <v>生物学的標本中の 17-ヒドロキシプロゲステロンの測定。</v>
      </c>
      <c r="I2612" s="3" t="str">
        <f ca="1">IFERROR(__xludf.DUMMYFUNCTION("googletranslate(F2612,""en"",""ja"")"),"17-ヒドロキシプロゲステロンの測定")</f>
        <v>17-ヒドロキシプロゲステロンの測定</v>
      </c>
    </row>
    <row r="2613" spans="1:9" ht="30">
      <c r="A2613" s="3" t="s">
        <v>6</v>
      </c>
      <c r="B2613" s="3" t="s">
        <v>10869</v>
      </c>
      <c r="C2613" s="3" t="s">
        <v>10870</v>
      </c>
      <c r="D2613" s="3" t="s">
        <v>10870</v>
      </c>
      <c r="E2613" s="3" t="s">
        <v>10871</v>
      </c>
      <c r="F2613" s="3" t="s">
        <v>10872</v>
      </c>
      <c r="G2613" s="3" t="str">
        <f ca="1">IFERROR(__xludf.DUMMYFUNCTION("googletranslate(D2613,""en"",""ja"")"),"ヒドロキシプロリン")</f>
        <v>ヒドロキシプロリン</v>
      </c>
      <c r="H2613" s="3" t="str">
        <f ca="1">IFERROR(__xludf.DUMMYFUNCTION("googletranslate(E2613,""en"",""ja"")"),"生物学的標本中の総ヒドロキシプロリンの測定。")</f>
        <v>生物学的標本中の総ヒドロキシプロリンの測定。</v>
      </c>
      <c r="I2613" s="3" t="str">
        <f ca="1">IFERROR(__xludf.DUMMYFUNCTION("googletranslate(F2613,""en"",""ja"")"),"ヒドロキシプロリンの測定")</f>
        <v>ヒドロキシプロリンの測定</v>
      </c>
    </row>
    <row r="2614" spans="1:9" ht="30">
      <c r="A2614" s="3" t="s">
        <v>6</v>
      </c>
      <c r="B2614" s="3" t="s">
        <v>10873</v>
      </c>
      <c r="C2614" s="3" t="s">
        <v>10874</v>
      </c>
      <c r="D2614" s="3" t="s">
        <v>10874</v>
      </c>
      <c r="E2614" s="3" t="s">
        <v>10875</v>
      </c>
      <c r="F2614" s="3" t="s">
        <v>10876</v>
      </c>
      <c r="G2614" s="3" t="str">
        <f ca="1">IFERROR(__xludf.DUMMYFUNCTION("googletranslate(D2614,""en"",""ja"")"),"ハイパーセグメント化されたセル")</f>
        <v>ハイパーセグメント化されたセル</v>
      </c>
      <c r="H2614" s="3" t="str">
        <f ca="1">IFERROR(__xludf.DUMMYFUNCTION("googletranslate(E2614,""en"",""ja"")"),"生物学的標本中の過剰にセグメント化された (5 つの葉を超える) 好中球の測定。")</f>
        <v>生物学的標本中の過剰にセグメント化された (5 つの葉を超える) 好中球の測定。</v>
      </c>
      <c r="I2614" s="3" t="str">
        <f ca="1">IFERROR(__xludf.DUMMYFUNCTION("googletranslate(F2614,""en"",""ja"")"),"ハイパーセグメント化された好中球の測定")</f>
        <v>ハイパーセグメント化された好中球の測定</v>
      </c>
    </row>
    <row r="2615" spans="1:9">
      <c r="A2615" s="3" t="s">
        <v>6</v>
      </c>
      <c r="B2615" s="3" t="s">
        <v>10877</v>
      </c>
      <c r="C2615" s="3" t="s">
        <v>10878</v>
      </c>
      <c r="D2615" s="3" t="s">
        <v>10878</v>
      </c>
      <c r="E2615" s="3" t="s">
        <v>10879</v>
      </c>
      <c r="F2615" s="3" t="s">
        <v>10880</v>
      </c>
      <c r="G2615" s="3" t="str">
        <f ca="1">IFERROR(__xludf.DUMMYFUNCTION("googletranslate(D2615,""en"",""ja"")"),"ヒドロキシリジン")</f>
        <v>ヒドロキシリジン</v>
      </c>
      <c r="H2615" s="3" t="str">
        <f ca="1">IFERROR(__xludf.DUMMYFUNCTION("googletranslate(E2615,""en"",""ja"")"),"生物学的標本中のヒドロキシリシンの測定。")</f>
        <v>生物学的標本中のヒドロキシリシンの測定。</v>
      </c>
      <c r="I2615" s="3" t="str">
        <f ca="1">IFERROR(__xludf.DUMMYFUNCTION("googletranslate(F2615,""en"",""ja"")"),"ヒドロキシリシンの測定")</f>
        <v>ヒドロキシリシンの測定</v>
      </c>
    </row>
    <row r="2616" spans="1:9" ht="45">
      <c r="A2616" s="3" t="s">
        <v>51</v>
      </c>
      <c r="B2616" s="3" t="s">
        <v>10881</v>
      </c>
      <c r="C2616" s="3" t="s">
        <v>10882</v>
      </c>
      <c r="D2616" s="3" t="s">
        <v>10883</v>
      </c>
      <c r="E2616" s="3" t="s">
        <v>10884</v>
      </c>
      <c r="F2616" s="3" t="s">
        <v>10885</v>
      </c>
      <c r="G2616" s="3" t="str">
        <f ca="1">IFERROR(__xludf.DUMMYFUNCTION("googletranslate(D2616,""en"",""ja"")"),"インデノ(1,2,3-cd)ピレン;インデノ[1,2,3-cd]ピレン; o-フェニレンピレン")</f>
        <v>インデノ(1,2,3-cd)ピレン;インデノ[1,2,3-cd]ピレン; o-フェニレンピレン</v>
      </c>
      <c r="H2616" s="3" t="str">
        <f ca="1">IFERROR(__xludf.DUMMYFUNCTION("googletranslate(E2616,""en"",""ja"")"),"試料中のインデノ[1,2,3-cd]ピレンの測定。")</f>
        <v>試料中のインデノ[1,2,3-cd]ピレンの測定。</v>
      </c>
      <c r="I2616" s="3" t="str">
        <f ca="1">IFERROR(__xludf.DUMMYFUNCTION("googletranslate(F2616,""en"",""ja"")"),"インデノ[1,2,3-cd]ピレンの測定")</f>
        <v>インデノ[1,2,3-cd]ピレンの測定</v>
      </c>
    </row>
    <row r="2617" spans="1:9" ht="45">
      <c r="A2617" s="3" t="s">
        <v>33</v>
      </c>
      <c r="B2617" s="3" t="s">
        <v>10886</v>
      </c>
      <c r="C2617" s="3" t="s">
        <v>10887</v>
      </c>
      <c r="D2617" s="3" t="s">
        <v>10887</v>
      </c>
      <c r="E2617" s="3" t="s">
        <v>10888</v>
      </c>
      <c r="F2617" s="3" t="s">
        <v>10889</v>
      </c>
      <c r="G2617" s="3" t="str">
        <f ca="1">IFERROR(__xludf.DUMMYFUNCTION("googletranslate(D2617,""en"",""ja"")"),"28S/18S")</f>
        <v>28S/18S</v>
      </c>
      <c r="H2617" s="3" t="str">
        <f ca="1">IFERROR(__xludf.DUMMYFUNCTION("googletranslate(E2617,""en"",""ja"")"),"生物学的標本中の 28S rRNA と 18S rRNA のヌクレオチド長の比率をそれぞれ決定することによって測定される、リボ核酸の完全性の評価。")</f>
        <v>生物学的標本中の 28S rRNA と 18S rRNA のヌクレオチド長の比率をそれぞれ決定することによって測定される、リボ核酸の完全性の評価。</v>
      </c>
      <c r="I2617" s="3" t="str">
        <f ca="1">IFERROR(__xludf.DUMMYFUNCTION("googletranslate(F2617,""en"",""ja"")"),"28S リボソーム RNA と 18S リボソーム RNA の比率")</f>
        <v>28S リボソーム RNA と 18S リボソーム RNA の比率</v>
      </c>
    </row>
    <row r="2618" spans="1:9" ht="60">
      <c r="A2618" s="3" t="s">
        <v>6</v>
      </c>
      <c r="B2618" s="3" t="s">
        <v>10890</v>
      </c>
      <c r="C2618" s="3" t="s">
        <v>10891</v>
      </c>
      <c r="D2618" s="3" t="s">
        <v>10892</v>
      </c>
      <c r="E2618" s="3" t="s">
        <v>10893</v>
      </c>
      <c r="F2618" s="3" t="s">
        <v>10894</v>
      </c>
      <c r="G2618" s="3" t="str">
        <f ca="1">IFERROR(__xludf.DUMMYFUNCTION("googletranslate(D2618,""en"",""ja"")"),"5-ヒドロキシインドール酢酸排泄率; 5-ヒドロキシインドール酢酸排泄率")</f>
        <v>5-ヒドロキシインドール酢酸排泄率; 5-ヒドロキシインドール酢酸排泄率</v>
      </c>
      <c r="H2618" s="3" t="str">
        <f ca="1">IFERROR(__xludf.DUMMYFUNCTION("googletranslate(E2618,""en"",""ja"")"),"規定の時間 (例: 1 時間) にわたって生物学的検体中に排泄される 5-ヒドロキシインドール酢酸の量の測定。")</f>
        <v>規定の時間 (例: 1 時間) にわたって生物学的検体中に排泄される 5-ヒドロキシインドール酢酸の量の測定。</v>
      </c>
      <c r="I2618" s="3" t="str">
        <f ca="1">IFERROR(__xludf.DUMMYFUNCTION("googletranslate(F2618,""en"",""ja"")"),"5-ヒドロキシインドール酢酸排泄率")</f>
        <v>5-ヒドロキシインドール酢酸排泄率</v>
      </c>
    </row>
    <row r="2619" spans="1:9" ht="30">
      <c r="A2619" s="3" t="s">
        <v>6</v>
      </c>
      <c r="B2619" s="3" t="s">
        <v>10895</v>
      </c>
      <c r="C2619" s="3" t="s">
        <v>10896</v>
      </c>
      <c r="D2619" s="3" t="s">
        <v>10897</v>
      </c>
      <c r="E2619" s="3" t="s">
        <v>10898</v>
      </c>
      <c r="F2619" s="3" t="s">
        <v>10899</v>
      </c>
      <c r="G2619" s="3" t="str">
        <f ca="1">IFERROR(__xludf.DUMMYFUNCTION("googletranslate(D2619,""en"",""ja"")"),"5-ヒドロキシインドール酢酸; 5-ヒドロキシインドール酢酸")</f>
        <v>5-ヒドロキシインドール酢酸; 5-ヒドロキシインドール酢酸</v>
      </c>
      <c r="H2619" s="3" t="str">
        <f ca="1">IFERROR(__xludf.DUMMYFUNCTION("googletranslate(E2619,""en"",""ja"")"),"生体試料中の 5-ヒドロキシインドール酢酸の測定。")</f>
        <v>生体試料中の 5-ヒドロキシインドール酢酸の測定。</v>
      </c>
      <c r="I2619" s="3" t="str">
        <f ca="1">IFERROR(__xludf.DUMMYFUNCTION("googletranslate(F2619,""en"",""ja"")"),"5-ヒドロキシインドール酢酸の測定")</f>
        <v>5-ヒドロキシインドール酢酸の測定</v>
      </c>
    </row>
    <row r="2620" spans="1:9" ht="45">
      <c r="A2620" s="3" t="s">
        <v>6</v>
      </c>
      <c r="B2620" s="3" t="s">
        <v>10900</v>
      </c>
      <c r="C2620" s="3" t="s">
        <v>10901</v>
      </c>
      <c r="D2620" s="3" t="s">
        <v>10901</v>
      </c>
      <c r="E2620" s="3" t="s">
        <v>10902</v>
      </c>
      <c r="F2620" s="3" t="s">
        <v>10903</v>
      </c>
      <c r="G2620" s="3" t="str">
        <f ca="1">IFERROR(__xludf.DUMMYFUNCTION("googletranslate(D2620,""en"",""ja"")"),"5-ヒドロキシインドール酢酸/クレアチニン")</f>
        <v>5-ヒドロキシインドール酢酸/クレアチニン</v>
      </c>
      <c r="H2620" s="3" t="str">
        <f ca="1">IFERROR(__xludf.DUMMYFUNCTION("googletranslate(E2620,""en"",""ja"")"),"生物学的標本中のクレアチニンに対する 5-ヒドロキシインドール酢酸の相対測定値 (比率またはパーセンテージ)。")</f>
        <v>生物学的標本中のクレアチニンに対する 5-ヒドロキシインドール酢酸の相対測定値 (比率またはパーセンテージ)。</v>
      </c>
      <c r="I2620" s="3" t="str">
        <f ca="1">IFERROR(__xludf.DUMMYFUNCTION("googletranslate(F2620,""en"",""ja"")"),"5-ヒドロキシインドール酢酸とクレアチニンの比の測定")</f>
        <v>5-ヒドロキシインドール酢酸とクレアチニンの比の測定</v>
      </c>
    </row>
    <row r="2621" spans="1:9" ht="30">
      <c r="A2621" s="3" t="s">
        <v>51</v>
      </c>
      <c r="B2621" s="3" t="s">
        <v>10904</v>
      </c>
      <c r="C2621" s="3" t="s">
        <v>10905</v>
      </c>
      <c r="D2621" s="3" t="s">
        <v>10906</v>
      </c>
      <c r="E2621" s="3" t="s">
        <v>10907</v>
      </c>
      <c r="F2621" s="3" t="s">
        <v>10908</v>
      </c>
      <c r="G2621" s="3" t="str">
        <f ca="1">IFERROR(__xludf.DUMMYFUNCTION("googletranslate(D2621,""en"",""ja"")"),"酢酸イソアミル;イソアミル酢酸;酢酸イソペンチル")</f>
        <v>酢酸イソアミル;イソアミル酢酸;酢酸イソペンチル</v>
      </c>
      <c r="H2621" s="3" t="str">
        <f ca="1">IFERROR(__xludf.DUMMYFUNCTION("googletranslate(E2621,""en"",""ja"")"),"試料中の酢酸イソアミルの測定。")</f>
        <v>試料中の酢酸イソアミルの測定。</v>
      </c>
      <c r="I2621" s="3" t="str">
        <f ca="1">IFERROR(__xludf.DUMMYFUNCTION("googletranslate(F2621,""en"",""ja"")"),"酢酸イソアミルの測定")</f>
        <v>酢酸イソアミルの測定</v>
      </c>
    </row>
    <row r="2622" spans="1:9" ht="30">
      <c r="A2622" s="3" t="s">
        <v>6</v>
      </c>
      <c r="B2622" s="3" t="s">
        <v>10909</v>
      </c>
      <c r="C2622" s="3" t="s">
        <v>10910</v>
      </c>
      <c r="D2622" s="3" t="s">
        <v>10910</v>
      </c>
      <c r="E2622" s="3" t="s">
        <v>10911</v>
      </c>
      <c r="F2622" s="3" t="s">
        <v>10912</v>
      </c>
      <c r="G2622" s="3" t="str">
        <f ca="1">IFERROR(__xludf.DUMMYFUNCTION("googletranslate(D2622,""en"",""ja"")"),"IDL アポリポタンパク質 B")</f>
        <v>IDL アポリポタンパク質 B</v>
      </c>
      <c r="H2622" s="3" t="str">
        <f ca="1">IFERROR(__xludf.DUMMYFUNCTION("googletranslate(E2622,""en"",""ja"")"),"生物学的標本の中間密度リポタンパク質画分に含まれるアポリポタンパク質 B の測定。")</f>
        <v>生物学的標本の中間密度リポタンパク質画分に含まれるアポリポタンパク質 B の測定。</v>
      </c>
      <c r="I2622" s="3" t="str">
        <f ca="1">IFERROR(__xludf.DUMMYFUNCTION("googletranslate(F2622,""en"",""ja"")"),"IDL アポリポタンパク質 B 測定")</f>
        <v>IDL アポリポタンパク質 B 測定</v>
      </c>
    </row>
    <row r="2623" spans="1:9" ht="30">
      <c r="A2623" s="3" t="s">
        <v>6</v>
      </c>
      <c r="B2623" s="3" t="s">
        <v>10913</v>
      </c>
      <c r="C2623" s="3" t="s">
        <v>10914</v>
      </c>
      <c r="D2623" s="3" t="s">
        <v>10915</v>
      </c>
      <c r="E2623" s="3" t="s">
        <v>10916</v>
      </c>
      <c r="F2623" s="3" t="s">
        <v>10917</v>
      </c>
      <c r="G2623" s="3" t="str">
        <f ca="1">IFERROR(__xludf.DUMMYFUNCTION("googletranslate(D2623,""en"",""ja"")"),"アミリン;膵島アミロイドポリペプチド")</f>
        <v>アミリン;膵島アミロイドポリペプチド</v>
      </c>
      <c r="H2623" s="3" t="str">
        <f ca="1">IFERROR(__xludf.DUMMYFUNCTION("googletranslate(E2623,""en"",""ja"")"),"生物学的標本中の膵島アミロイド ポリペプチドの測定。")</f>
        <v>生物学的標本中の膵島アミロイド ポリペプチドの測定。</v>
      </c>
      <c r="I2623" s="3" t="str">
        <f ca="1">IFERROR(__xludf.DUMMYFUNCTION("googletranslate(F2623,""en"",""ja"")"),"膵島アミロイドポリペプチドの測定")</f>
        <v>膵島アミロイドポリペプチドの測定</v>
      </c>
    </row>
    <row r="2624" spans="1:9" ht="30">
      <c r="A2624" s="3" t="s">
        <v>6</v>
      </c>
      <c r="B2624" s="3" t="s">
        <v>10918</v>
      </c>
      <c r="C2624" s="3" t="s">
        <v>10919</v>
      </c>
      <c r="D2624" s="3" t="s">
        <v>10919</v>
      </c>
      <c r="E2624" s="3" t="s">
        <v>10920</v>
      </c>
      <c r="F2624" s="3" t="s">
        <v>10919</v>
      </c>
      <c r="G2624" s="3" t="str">
        <f ca="1">IFERROR(__xludf.DUMMYFUNCTION("googletranslate(D2624,""en"",""ja"")"),"総鉄結合能")</f>
        <v>総鉄結合能</v>
      </c>
      <c r="H2624" s="3" t="str">
        <f ca="1">IFERROR(__xludf.DUMMYFUNCTION("googletranslate(E2624,""en"",""ja"")"),"生物学的標本中のトランスフェリンを完全に飽和させるのに必要な鉄の量の測定値。")</f>
        <v>生物学的標本中のトランスフェリンを完全に飽和させるのに必要な鉄の量の測定値。</v>
      </c>
      <c r="I2624" s="3" t="str">
        <f ca="1">IFERROR(__xludf.DUMMYFUNCTION("googletranslate(F2624,""en"",""ja"")"),"総鉄結合能")</f>
        <v>総鉄結合能</v>
      </c>
    </row>
    <row r="2625" spans="1:9" ht="30">
      <c r="A2625" s="3" t="s">
        <v>6</v>
      </c>
      <c r="B2625" s="3" t="s">
        <v>10921</v>
      </c>
      <c r="C2625" s="3" t="s">
        <v>10922</v>
      </c>
      <c r="D2625" s="3" t="s">
        <v>10922</v>
      </c>
      <c r="E2625" s="3" t="s">
        <v>10923</v>
      </c>
      <c r="F2625" s="3" t="s">
        <v>10924</v>
      </c>
      <c r="G2625" s="3" t="str">
        <f ca="1">IFERROR(__xludf.DUMMYFUNCTION("googletranslate(D2625,""en"",""ja"")"),"不飽和鉄結合能")</f>
        <v>不飽和鉄結合能</v>
      </c>
      <c r="H2625" s="3" t="str">
        <f ca="1">IFERROR(__xludf.DUMMYFUNCTION("googletranslate(E2625,""en"",""ja"")"),"生体標本中の不飽和鉄の結合能力の測定。")</f>
        <v>生体標本中の不飽和鉄の結合能力の測定。</v>
      </c>
      <c r="I2625" s="3" t="str">
        <f ca="1">IFERROR(__xludf.DUMMYFUNCTION("googletranslate(F2625,""en"",""ja"")"),"不飽和鉄結合能測定")</f>
        <v>不飽和鉄結合能測定</v>
      </c>
    </row>
    <row r="2626" spans="1:9" ht="45">
      <c r="A2626" s="3" t="s">
        <v>51</v>
      </c>
      <c r="B2626" s="3" t="s">
        <v>10925</v>
      </c>
      <c r="C2626" s="3" t="s">
        <v>10926</v>
      </c>
      <c r="D2626" s="3" t="s">
        <v>10927</v>
      </c>
      <c r="E2626" s="3" t="s">
        <v>10928</v>
      </c>
      <c r="F2626" s="3" t="s">
        <v>10929</v>
      </c>
      <c r="G2626" s="3" t="str">
        <f ca="1">IFERROR(__xludf.DUMMYFUNCTION("googletranslate(D2626,""en"",""ja"")"),"2-メチルプロピルエタノエート;酢酸イソブチル;イソブチル酢酸")</f>
        <v>2-メチルプロピルエタノエート;酢酸イソブチル;イソブチル酢酸</v>
      </c>
      <c r="H2626" s="3" t="str">
        <f ca="1">IFERROR(__xludf.DUMMYFUNCTION("googletranslate(E2626,""en"",""ja"")"),"試料中の酢酸イソブチルの測定。")</f>
        <v>試料中の酢酸イソブチルの測定。</v>
      </c>
      <c r="I2626" s="3" t="str">
        <f ca="1">IFERROR(__xludf.DUMMYFUNCTION("googletranslate(F2626,""en"",""ja"")"),"酢酸イソブチルの測定")</f>
        <v>酢酸イソブチルの測定</v>
      </c>
    </row>
    <row r="2627" spans="1:9" ht="30">
      <c r="A2627" s="3" t="s">
        <v>490</v>
      </c>
      <c r="B2627" s="3" t="s">
        <v>10930</v>
      </c>
      <c r="C2627" s="3" t="s">
        <v>10931</v>
      </c>
      <c r="D2627" s="3" t="s">
        <v>10931</v>
      </c>
      <c r="E2627" s="3" t="s">
        <v>10932</v>
      </c>
      <c r="F2627" s="3" t="s">
        <v>10931</v>
      </c>
      <c r="G2627" s="3" t="str">
        <f ca="1">IFERROR(__xludf.DUMMYFUNCTION("googletranslate(D2627,""en"",""ja"")"),"吸気能力")</f>
        <v>吸気能力</v>
      </c>
      <c r="H2627" s="3" t="str">
        <f ca="1">IFERROR(__xludf.DUMMYFUNCTION("googletranslate(E2627,""en"",""ja"")"),"被験者が一回の呼気後に肺に吸い込むことができる空気の最大量（IRV と TV）。")</f>
        <v>被験者が一回の呼気後に肺に吸い込むことができる空気の最大量（IRV と TV）。</v>
      </c>
      <c r="I2627" s="3" t="str">
        <f ca="1">IFERROR(__xludf.DUMMYFUNCTION("googletranslate(F2627,""en"",""ja"")"),"吸気能力")</f>
        <v>吸気能力</v>
      </c>
    </row>
    <row r="2628" spans="1:9" ht="30">
      <c r="A2628" s="3" t="s">
        <v>6</v>
      </c>
      <c r="B2628" s="3" t="s">
        <v>10933</v>
      </c>
      <c r="C2628" s="3" t="s">
        <v>10934</v>
      </c>
      <c r="D2628" s="3" t="s">
        <v>10934</v>
      </c>
      <c r="E2628" s="3" t="s">
        <v>10935</v>
      </c>
      <c r="F2628" s="3" t="s">
        <v>10936</v>
      </c>
      <c r="G2628" s="3" t="str">
        <f ca="1">IFERROR(__xludf.DUMMYFUNCTION("googletranslate(D2628,""en"",""ja"")"),"膵島細胞 512 抗原")</f>
        <v>膵島細胞 512 抗原</v>
      </c>
      <c r="H2628" s="3" t="str">
        <f ca="1">IFERROR(__xludf.DUMMYFUNCTION("googletranslate(E2628,""en"",""ja"")"),"生物学的検体中の膵島細胞 512 抗原の測定。")</f>
        <v>生物学的検体中の膵島細胞 512 抗原の測定。</v>
      </c>
      <c r="I2628" s="3" t="str">
        <f ca="1">IFERROR(__xludf.DUMMYFUNCTION("googletranslate(F2628,""en"",""ja"")"),"膵島細胞512抗原測定")</f>
        <v>膵島細胞512抗原測定</v>
      </c>
    </row>
    <row r="2629" spans="1:9" ht="30">
      <c r="A2629" s="3" t="s">
        <v>6</v>
      </c>
      <c r="B2629" s="3" t="s">
        <v>10937</v>
      </c>
      <c r="C2629" s="3" t="s">
        <v>10938</v>
      </c>
      <c r="D2629" s="3" t="s">
        <v>10938</v>
      </c>
      <c r="E2629" s="3" t="s">
        <v>10939</v>
      </c>
      <c r="F2629" s="3" t="s">
        <v>10940</v>
      </c>
      <c r="G2629" s="3" t="str">
        <f ca="1">IFERROR(__xludf.DUMMYFUNCTION("googletranslate(D2629,""en"",""ja"")"),"細胞間接着分子")</f>
        <v>細胞間接着分子</v>
      </c>
      <c r="H2629" s="3" t="str">
        <f ca="1">IFERROR(__xludf.DUMMYFUNCTION("googletranslate(E2629,""en"",""ja"")"),"生物学的標本中の総細胞間接着分子の測定。")</f>
        <v>生物学的標本中の総細胞間接着分子の測定。</v>
      </c>
      <c r="I2629" s="3" t="str">
        <f ca="1">IFERROR(__xludf.DUMMYFUNCTION("googletranslate(F2629,""en"",""ja"")"),"細胞間接着分子測定")</f>
        <v>細胞間接着分子測定</v>
      </c>
    </row>
    <row r="2630" spans="1:9" ht="30">
      <c r="A2630" s="3" t="s">
        <v>6</v>
      </c>
      <c r="B2630" s="3" t="s">
        <v>10941</v>
      </c>
      <c r="C2630" s="3" t="s">
        <v>10942</v>
      </c>
      <c r="D2630" s="3" t="s">
        <v>10943</v>
      </c>
      <c r="E2630" s="3" t="s">
        <v>10944</v>
      </c>
      <c r="F2630" s="3" t="s">
        <v>10945</v>
      </c>
      <c r="G2630" s="3" t="str">
        <f ca="1">IFERROR(__xludf.DUMMYFUNCTION("googletranslate(D2630,""en"",""ja"")"),"細胞間接着分子 1;可溶性CD54")</f>
        <v>細胞間接着分子 1;可溶性CD54</v>
      </c>
      <c r="H2630" s="3" t="str">
        <f ca="1">IFERROR(__xludf.DUMMYFUNCTION("googletranslate(E2630,""en"",""ja"")"),"生体試料中の細胞間接着分子 1 の測定。")</f>
        <v>生体試料中の細胞間接着分子 1 の測定。</v>
      </c>
      <c r="I2630" s="3" t="str">
        <f ca="1">IFERROR(__xludf.DUMMYFUNCTION("googletranslate(F2630,""en"",""ja"")"),"細胞間接着分子1の測定")</f>
        <v>細胞間接着分子1の測定</v>
      </c>
    </row>
    <row r="2631" spans="1:9" ht="30">
      <c r="A2631" s="3" t="s">
        <v>6</v>
      </c>
      <c r="B2631" s="3" t="s">
        <v>10946</v>
      </c>
      <c r="C2631" s="3" t="s">
        <v>10947</v>
      </c>
      <c r="D2631" s="3" t="s">
        <v>10947</v>
      </c>
      <c r="E2631" s="3" t="s">
        <v>10948</v>
      </c>
      <c r="F2631" s="3" t="s">
        <v>10949</v>
      </c>
      <c r="G2631" s="3" t="str">
        <f ca="1">IFERROR(__xludf.DUMMYFUNCTION("googletranslate(D2631,""en"",""ja"")"),"細胞間接着分子3")</f>
        <v>細胞間接着分子3</v>
      </c>
      <c r="H2631" s="3" t="str">
        <f ca="1">IFERROR(__xludf.DUMMYFUNCTION("googletranslate(E2631,""en"",""ja"")"),"生体試料中の細胞間接着分子 3 の測定。")</f>
        <v>生体試料中の細胞間接着分子 3 の測定。</v>
      </c>
      <c r="I2631" s="3" t="str">
        <f ca="1">IFERROR(__xludf.DUMMYFUNCTION("googletranslate(F2631,""en"",""ja"")"),"細胞間接着分子3の測定")</f>
        <v>細胞間接着分子3の測定</v>
      </c>
    </row>
    <row r="2632" spans="1:9" ht="30">
      <c r="A2632" s="3" t="s">
        <v>6</v>
      </c>
      <c r="B2632" s="3" t="s">
        <v>10950</v>
      </c>
      <c r="C2632" s="3" t="s">
        <v>10951</v>
      </c>
      <c r="D2632" s="3" t="s">
        <v>10951</v>
      </c>
      <c r="E2632" s="3" t="s">
        <v>10952</v>
      </c>
      <c r="F2632" s="3" t="s">
        <v>10953</v>
      </c>
      <c r="G2632" s="3" t="str">
        <f ca="1">IFERROR(__xludf.DUMMYFUNCTION("googletranslate(D2632,""en"",""ja"")"),"インドシアニングリーン")</f>
        <v>インドシアニングリーン</v>
      </c>
      <c r="H2632" s="3" t="str">
        <f ca="1">IFERROR(__xludf.DUMMYFUNCTION("googletranslate(E2632,""en"",""ja"")"),"生物標本のインドシアニングリーンの測定。")</f>
        <v>生物標本のインドシアニングリーンの測定。</v>
      </c>
      <c r="I2632" s="3" t="str">
        <f ca="1">IFERROR(__xludf.DUMMYFUNCTION("googletranslate(F2632,""en"",""ja"")"),"インドシアニングリーンの測定")</f>
        <v>インドシアニングリーンの測定</v>
      </c>
    </row>
    <row r="2633" spans="1:9" ht="45">
      <c r="A2633" s="3" t="s">
        <v>6</v>
      </c>
      <c r="B2633" s="3" t="s">
        <v>10954</v>
      </c>
      <c r="C2633" s="3" t="s">
        <v>10955</v>
      </c>
      <c r="D2633" s="3" t="s">
        <v>10955</v>
      </c>
      <c r="E2633" s="3" t="s">
        <v>10956</v>
      </c>
      <c r="F2633" s="3" t="s">
        <v>10957</v>
      </c>
      <c r="G2633" s="3" t="str">
        <f ca="1">IFERROR(__xludf.DUMMYFUNCTION("googletranslate(D2633,""en"",""ja"")"),"インドシアニングリーンクリアランス")</f>
        <v>インドシアニングリーンクリアランス</v>
      </c>
      <c r="H2633" s="3" t="str">
        <f ca="1">IFERROR(__xludf.DUMMYFUNCTION("googletranslate(E2633,""en"",""ja"")"),"指定された時間単位 (例: 1 分) の排泄によってインドシアニン グリーンが除去される血清または血漿の量の測定値。")</f>
        <v>指定された時間単位 (例: 1 分) の排泄によってインドシアニン グリーンが除去される血清または血漿の量の測定値。</v>
      </c>
      <c r="I2633" s="3" t="str">
        <f ca="1">IFERROR(__xludf.DUMMYFUNCTION("googletranslate(F2633,""en"",""ja"")"),"インドシアニングリーンクリアランス測定")</f>
        <v>インドシアニングリーンクリアランス測定</v>
      </c>
    </row>
    <row r="2634" spans="1:9" ht="30">
      <c r="A2634" s="3" t="s">
        <v>185</v>
      </c>
      <c r="B2634" s="3" t="s">
        <v>10958</v>
      </c>
      <c r="C2634" s="3" t="s">
        <v>10959</v>
      </c>
      <c r="D2634" s="3" t="s">
        <v>10959</v>
      </c>
      <c r="E2634" s="3" t="s">
        <v>10960</v>
      </c>
      <c r="F2634" s="3" t="s">
        <v>10959</v>
      </c>
      <c r="G2634" s="3" t="str">
        <f ca="1">IFERROR(__xludf.DUMMYFUNCTION("googletranslate(D2634,""en"",""ja"")"),"回盲接合部除去インジケーター")</f>
        <v>回盲接合部除去インジケーター</v>
      </c>
      <c r="H2634" s="3" t="str">
        <f ca="1">IFERROR(__xludf.DUMMYFUNCTION("googletranslate(E2634,""en"",""ja"")"),"回盲接合部が除去されたかどうかに関する指標。")</f>
        <v>回盲接合部が除去されたかどうかに関する指標。</v>
      </c>
      <c r="I2634" s="3" t="str">
        <f ca="1">IFERROR(__xludf.DUMMYFUNCTION("googletranslate(F2634,""en"",""ja"")"),"回盲接合部除去インジケーター")</f>
        <v>回盲接合部除去インジケーター</v>
      </c>
    </row>
    <row r="2635" spans="1:9" ht="60">
      <c r="A2635" s="3" t="s">
        <v>6394</v>
      </c>
      <c r="B2635" s="3" t="s">
        <v>10961</v>
      </c>
      <c r="C2635" s="3" t="s">
        <v>10962</v>
      </c>
      <c r="D2635" s="3" t="s">
        <v>10962</v>
      </c>
      <c r="E2635" s="3" t="s">
        <v>10963</v>
      </c>
      <c r="F2635" s="3" t="s">
        <v>10964</v>
      </c>
      <c r="G2635" s="3" t="str">
        <f ca="1">IFERROR(__xludf.DUMMYFUNCTION("googletranslate(D2635,""en"",""ja"")"),"阻害濃度の正味評価")</f>
        <v>阻害濃度の正味評価</v>
      </c>
      <c r="H2635" s="3" t="str">
        <f ca="1">IFERROR(__xludf.DUMMYFUNCTION("googletranslate(E2635,""en"",""ja"")"),"微生物の感受性の低下または増加、または特定の薬物の阻害濃度 (IC50 および/または IC95) に応じた生物学的/生化学反応の活性の指標。")</f>
        <v>微生物の感受性の低下または増加、または特定の薬物の阻害濃度 (IC50 および/または IC95) に応じた生物学的/生化学反応の活性の指標。</v>
      </c>
      <c r="I2635" s="3" t="str">
        <f ca="1">IFERROR(__xludf.DUMMYFUNCTION("googletranslate(F2635,""en"",""ja"")"),"阻害濃度ネットアセスメント測定")</f>
        <v>阻害濃度ネットアセスメント測定</v>
      </c>
    </row>
    <row r="2636" spans="1:9" ht="45">
      <c r="A2636" s="3" t="s">
        <v>490</v>
      </c>
      <c r="B2636" s="3" t="s">
        <v>10965</v>
      </c>
      <c r="C2636" s="3" t="s">
        <v>10966</v>
      </c>
      <c r="D2636" s="3" t="s">
        <v>10966</v>
      </c>
      <c r="E2636" s="3" t="s">
        <v>10967</v>
      </c>
      <c r="F2636" s="3" t="s">
        <v>10966</v>
      </c>
      <c r="G2636" s="3" t="str">
        <f ca="1">IFERROR(__xludf.DUMMYFUNCTION("googletranslate(D2636,""en"",""ja"")"),"予測吸気能力のパーセント")</f>
        <v>予測吸気能力のパーセント</v>
      </c>
      <c r="H2636" s="3" t="str">
        <f ca="1">IFERROR(__xludf.DUMMYFUNCTION("googletranslate(E2636,""en"",""ja"")"),"予測された正常値の割合として、被験者が一回呼気後に肺に吸入できる空気の最大量 (IRV と TV)。")</f>
        <v>予測された正常値の割合として、被験者が一回呼気後に肺に吸入できる空気の最大量 (IRV と TV)。</v>
      </c>
      <c r="I2636" s="3" t="str">
        <f ca="1">IFERROR(__xludf.DUMMYFUNCTION("googletranslate(F2636,""en"",""ja"")"),"予測吸気能力のパーセント")</f>
        <v>予測吸気能力のパーセント</v>
      </c>
    </row>
    <row r="2637" spans="1:9" ht="30">
      <c r="A2637" s="3" t="s">
        <v>490</v>
      </c>
      <c r="B2637" s="3" t="s">
        <v>10968</v>
      </c>
      <c r="C2637" s="3" t="s">
        <v>10969</v>
      </c>
      <c r="D2637" s="3" t="s">
        <v>10969</v>
      </c>
      <c r="E2637" s="3" t="s">
        <v>10970</v>
      </c>
      <c r="F2637" s="3" t="s">
        <v>10971</v>
      </c>
      <c r="G2637" s="3" t="str">
        <f ca="1">IFERROR(__xludf.DUMMYFUNCTION("googletranslate(D2637,""en"",""ja"")"),"IC の可逆性")</f>
        <v>IC の可逆性</v>
      </c>
      <c r="H2637" s="3" t="str">
        <f ca="1">IFERROR(__xludf.DUMMYFUNCTION("googletranslate(E2637,""en"",""ja"")"),"治療前のIC値に対する気管支拡張薬投与後のICの変化。")</f>
        <v>治療前のIC値に対する気管支拡張薬投与後のICの変化。</v>
      </c>
      <c r="I2637" s="3" t="str">
        <f ca="1">IFERROR(__xludf.DUMMYFUNCTION("googletranslate(F2637,""en"",""ja"")"),"吸気量の可逆性")</f>
        <v>吸気量の可逆性</v>
      </c>
    </row>
    <row r="2638" spans="1:9" ht="30">
      <c r="A2638" s="3" t="s">
        <v>6</v>
      </c>
      <c r="B2638" s="3" t="s">
        <v>10972</v>
      </c>
      <c r="C2638" s="3" t="s">
        <v>10973</v>
      </c>
      <c r="D2638" s="3" t="s">
        <v>10974</v>
      </c>
      <c r="E2638" s="3" t="s">
        <v>10975</v>
      </c>
      <c r="F2638" s="3" t="s">
        <v>10973</v>
      </c>
      <c r="G2638" s="3" t="str">
        <f ca="1">IFERROR(__xludf.DUMMYFUNCTION("googletranslate(D2638,""en"",""ja"")"),"黄疸指数。黄疸")</f>
        <v>黄疸指数。黄疸</v>
      </c>
      <c r="H2638" s="3" t="str">
        <f ca="1">IFERROR(__xludf.DUMMYFUNCTION("googletranslate(E2638,""en"",""ja"")"),"胆汁色素の存在による生物学的標本の黄色の測定。")</f>
        <v>胆汁色素の存在による生物学的標本の黄色の測定。</v>
      </c>
      <c r="I2638" s="3" t="str">
        <f ca="1">IFERROR(__xludf.DUMMYFUNCTION("googletranslate(F2638,""en"",""ja"")"),"黄疸指数")</f>
        <v>黄疸指数</v>
      </c>
    </row>
    <row r="2639" spans="1:9" ht="30">
      <c r="A2639" s="3" t="s">
        <v>118</v>
      </c>
      <c r="B2639" s="3" t="s">
        <v>10976</v>
      </c>
      <c r="C2639" s="3" t="s">
        <v>10977</v>
      </c>
      <c r="D2639" s="3" t="s">
        <v>10977</v>
      </c>
      <c r="E2639" s="3" t="s">
        <v>10978</v>
      </c>
      <c r="F2639" s="3" t="s">
        <v>10977</v>
      </c>
      <c r="G2639" s="3" t="str">
        <f ca="1">IFERROR(__xludf.DUMMYFUNCTION("googletranslate(D2639,""en"",""ja"")"),"理想体重")</f>
        <v>理想体重</v>
      </c>
      <c r="H2639" s="3" t="str">
        <f ca="1">IFERROR(__xludf.DUMMYFUNCTION("googletranslate(E2639,""en"",""ja"")"),"標準的な方法によって計算された人の最適体重。")</f>
        <v>標準的な方法によって計算された人の最適体重。</v>
      </c>
      <c r="I2639" s="3" t="str">
        <f ca="1">IFERROR(__xludf.DUMMYFUNCTION("googletranslate(F2639,""en"",""ja"")"),"理想体重")</f>
        <v>理想体重</v>
      </c>
    </row>
    <row r="2640" spans="1:9" ht="30">
      <c r="A2640" s="3" t="s">
        <v>6</v>
      </c>
      <c r="B2640" s="3" t="s">
        <v>10979</v>
      </c>
      <c r="C2640" s="3" t="s">
        <v>10980</v>
      </c>
      <c r="D2640" s="3" t="s">
        <v>10981</v>
      </c>
      <c r="E2640" s="3" t="s">
        <v>10982</v>
      </c>
      <c r="F2640" s="3" t="s">
        <v>10983</v>
      </c>
      <c r="G2640" s="3" t="str">
        <f ca="1">IFERROR(__xludf.DUMMYFUNCTION("googletranslate(D2640,""en"",""ja"")"),"IDLコレステロール;中間密度リポタンパク質")</f>
        <v>IDLコレステロール;中間密度リポタンパク質</v>
      </c>
      <c r="H2640" s="3" t="str">
        <f ca="1">IFERROR(__xludf.DUMMYFUNCTION("googletranslate(E2640,""en"",""ja"")"),"生物学的標本中の中間密度リポタンパク質の測定。")</f>
        <v>生物学的標本中の中間密度リポタンパク質の測定。</v>
      </c>
      <c r="I2640" s="3" t="str">
        <f ca="1">IFERROR(__xludf.DUMMYFUNCTION("googletranslate(F2640,""en"",""ja"")"),"中間密度リポタンパク質コレステロール測定")</f>
        <v>中間密度リポタンパク質コレステロール測定</v>
      </c>
    </row>
    <row r="2641" spans="1:9" ht="45">
      <c r="A2641" s="3" t="s">
        <v>6</v>
      </c>
      <c r="B2641" s="3" t="s">
        <v>10984</v>
      </c>
      <c r="C2641" s="3" t="s">
        <v>10985</v>
      </c>
      <c r="D2641" s="3" t="s">
        <v>10985</v>
      </c>
      <c r="E2641" s="3" t="s">
        <v>10986</v>
      </c>
      <c r="F2641" s="3" t="s">
        <v>10987</v>
      </c>
      <c r="G2641" s="3" t="str">
        <f ca="1">IFERROR(__xludf.DUMMYFUNCTION("googletranslate(D2641,""en"",""ja"")"),"IDLコレステロール/LDLコレステロール")</f>
        <v>IDLコレステロール/LDLコレステロール</v>
      </c>
      <c r="H2641" s="3" t="str">
        <f ca="1">IFERROR(__xludf.DUMMYFUNCTION("googletranslate(E2641,""en"",""ja"")"),"生物学的標本中の低密度リポタンパク質コレステロールと比較した中密度リポタンパク質コレステロールの量の相対測定値 (比)。")</f>
        <v>生物学的標本中の低密度リポタンパク質コレステロールと比較した中密度リポタンパク質コレステロールの量の相対測定値 (比)。</v>
      </c>
      <c r="I2641" s="3" t="str">
        <f ca="1">IFERROR(__xludf.DUMMYFUNCTION("googletranslate(F2641,""en"",""ja"")"),"IDLコレステロール対LDLコレステロール比の測定")</f>
        <v>IDLコレステロール対LDLコレステロール比の測定</v>
      </c>
    </row>
    <row r="2642" spans="1:9" ht="30">
      <c r="A2642" s="3" t="s">
        <v>6</v>
      </c>
      <c r="B2642" s="3" t="s">
        <v>10988</v>
      </c>
      <c r="C2642" s="3" t="s">
        <v>10989</v>
      </c>
      <c r="D2642" s="3" t="s">
        <v>10990</v>
      </c>
      <c r="E2642" s="3" t="s">
        <v>10991</v>
      </c>
      <c r="F2642" s="3" t="s">
        <v>10992</v>
      </c>
      <c r="G2642" s="3" t="str">
        <f ca="1">IFERROR(__xludf.DUMMYFUNCTION("googletranslate(D2642,""en"",""ja"")"),"IDL 粒子;中間密度リポタンパク質粒子")</f>
        <v>IDL 粒子;中間密度リポタンパク質粒子</v>
      </c>
      <c r="H2642" s="3" t="str">
        <f ca="1">IFERROR(__xludf.DUMMYFUNCTION("googletranslate(E2642,""en"",""ja"")"),"生物学的標本中の IDL 粒子の濃度の測定。")</f>
        <v>生物学的標本中の IDL 粒子の濃度の測定。</v>
      </c>
      <c r="I2642" s="3" t="str">
        <f ca="1">IFERROR(__xludf.DUMMYFUNCTION("googletranslate(F2642,""en"",""ja"")"),"IDL粒子測定")</f>
        <v>IDL粒子測定</v>
      </c>
    </row>
    <row r="2643" spans="1:9" ht="30">
      <c r="A2643" s="3" t="s">
        <v>6</v>
      </c>
      <c r="B2643" s="3" t="s">
        <v>10993</v>
      </c>
      <c r="C2643" s="3" t="s">
        <v>10994</v>
      </c>
      <c r="D2643" s="3" t="s">
        <v>10994</v>
      </c>
      <c r="E2643" s="3" t="s">
        <v>10995</v>
      </c>
      <c r="F2643" s="3" t="s">
        <v>10996</v>
      </c>
      <c r="G2643" s="3" t="str">
        <f ca="1">IFERROR(__xludf.DUMMYFUNCTION("googletranslate(D2643,""en"",""ja"")"),"IDLトリグリセリド")</f>
        <v>IDLトリグリセリド</v>
      </c>
      <c r="H2643" s="3" t="str">
        <f ca="1">IFERROR(__xludf.DUMMYFUNCTION("googletranslate(E2643,""en"",""ja"")"),"生物学的標本中の中間密度リポタンパク質トリグリセリドの測定。")</f>
        <v>生物学的標本中の中間密度リポタンパク質トリグリセリドの測定。</v>
      </c>
      <c r="I2643" s="3" t="str">
        <f ca="1">IFERROR(__xludf.DUMMYFUNCTION("googletranslate(F2643,""en"",""ja"")"),"IDLトリグリセリド測定")</f>
        <v>IDLトリグリセリド測定</v>
      </c>
    </row>
    <row r="2644" spans="1:9" ht="60">
      <c r="A2644" s="3" t="s">
        <v>6</v>
      </c>
      <c r="B2644" s="3" t="s">
        <v>10997</v>
      </c>
      <c r="C2644" s="3" t="s">
        <v>10998</v>
      </c>
      <c r="D2644" s="3" t="s">
        <v>10999</v>
      </c>
      <c r="E2644" s="3" t="s">
        <v>11000</v>
      </c>
      <c r="F2644" s="3" t="s">
        <v>11001</v>
      </c>
      <c r="G2644" s="3" t="str">
        <f ca="1">IFERROR(__xludf.DUMMYFUNCTION("googletranslate(D2644,""en"",""ja"")"),"IDL コレステロールおよび VLDL コレステロール サブタイプ 3。 IDL+VLDL コレステロール サブタイプ 3")</f>
        <v>IDL コレステロールおよび VLDL コレステロール サブタイプ 3。 IDL+VLDL コレステロール サブタイプ 3</v>
      </c>
      <c r="H2644" s="3" t="str">
        <f ca="1">IFERROR(__xludf.DUMMYFUNCTION("googletranslate(E2644,""en"",""ja"")"),"生物学的標本における中間密度リポタンパク質コレステロールおよび超低密度リポタンパク質コレステロール サブタイプ 3 の測定。")</f>
        <v>生物学的標本における中間密度リポタンパク質コレステロールおよび超低密度リポタンパク質コレステロール サブタイプ 3 の測定。</v>
      </c>
      <c r="I2644" s="3" t="str">
        <f ca="1">IFERROR(__xludf.DUMMYFUNCTION("googletranslate(F2644,""en"",""ja"")"),"IDLコレステロールおよびVLDLコレステロールサブタイプ3の測定")</f>
        <v>IDLコレステロールおよびVLDLコレステロールサブタイプ3の測定</v>
      </c>
    </row>
    <row r="2645" spans="1:9">
      <c r="A2645" s="3" t="s">
        <v>185</v>
      </c>
      <c r="B2645" s="3" t="s">
        <v>11002</v>
      </c>
      <c r="C2645" s="3" t="s">
        <v>11003</v>
      </c>
      <c r="D2645" s="3" t="s">
        <v>11003</v>
      </c>
      <c r="E2645" s="3" t="s">
        <v>11004</v>
      </c>
      <c r="F2645" s="3" t="s">
        <v>11003</v>
      </c>
      <c r="G2645" s="3" t="str">
        <f ca="1">IFERROR(__xludf.DUMMYFUNCTION("googletranslate(D2645,""en"",""ja"")"),"硬化最長径")</f>
        <v>硬化最長径</v>
      </c>
      <c r="H2645" s="3" t="str">
        <f ca="1">IFERROR(__xludf.DUMMYFUNCTION("googletranslate(E2645,""en"",""ja"")"),"皮膚の硬い部分の最長直径。 (NCI)")</f>
        <v>皮膚の硬い部分の最長直径。 (NCI)</v>
      </c>
      <c r="I2645" s="3" t="str">
        <f ca="1">IFERROR(__xludf.DUMMYFUNCTION("googletranslate(F2645,""en"",""ja"")"),"硬化最長径")</f>
        <v>硬化最長径</v>
      </c>
    </row>
    <row r="2646" spans="1:9">
      <c r="A2646" s="3" t="s">
        <v>1535</v>
      </c>
      <c r="B2646" s="3" t="s">
        <v>11002</v>
      </c>
      <c r="C2646" s="3" t="s">
        <v>11003</v>
      </c>
      <c r="D2646" s="3" t="s">
        <v>11003</v>
      </c>
      <c r="E2646" s="3" t="s">
        <v>11004</v>
      </c>
      <c r="F2646" s="3" t="s">
        <v>11003</v>
      </c>
      <c r="G2646" s="3" t="str">
        <f ca="1">IFERROR(__xludf.DUMMYFUNCTION("googletranslate(D2646,""en"",""ja"")"),"硬化最長径")</f>
        <v>硬化最長径</v>
      </c>
      <c r="H2646" s="3" t="str">
        <f ca="1">IFERROR(__xludf.DUMMYFUNCTION("googletranslate(E2646,""en"",""ja"")"),"皮膚の硬い部分の最長直径。 (NCI)")</f>
        <v>皮膚の硬い部分の最長直径。 (NCI)</v>
      </c>
      <c r="I2646" s="3" t="str">
        <f ca="1">IFERROR(__xludf.DUMMYFUNCTION("googletranslate(F2646,""en"",""ja"")"),"硬化最長径")</f>
        <v>硬化最長径</v>
      </c>
    </row>
    <row r="2647" spans="1:9" ht="30">
      <c r="A2647" s="3" t="s">
        <v>103</v>
      </c>
      <c r="B2647" s="3" t="s">
        <v>11005</v>
      </c>
      <c r="C2647" s="3" t="s">
        <v>11006</v>
      </c>
      <c r="D2647" s="3" t="s">
        <v>11007</v>
      </c>
      <c r="E2647" s="3" t="s">
        <v>11008</v>
      </c>
      <c r="F2647" s="3" t="s">
        <v>11009</v>
      </c>
      <c r="G2647" s="3" t="str">
        <f ca="1">IFERROR(__xludf.DUMMYFUNCTION("googletranslate(D2647,""en"",""ja"")"),"IEリム;上皮内リンパ球")</f>
        <v>IEリム;上皮内リンパ球</v>
      </c>
      <c r="H2647" s="3" t="str">
        <f ca="1">IFERROR(__xludf.DUMMYFUNCTION("googletranslate(E2647,""en"",""ja"")"),"生物学的標本における上皮内リンパ球の測定。")</f>
        <v>生物学的標本における上皮内リンパ球の測定。</v>
      </c>
      <c r="I2647" s="3" t="str">
        <f ca="1">IFERROR(__xludf.DUMMYFUNCTION("googletranslate(F2647,""en"",""ja"")"),"上皮内リンパ球数")</f>
        <v>上皮内リンパ球数</v>
      </c>
    </row>
    <row r="2648" spans="1:9" ht="45">
      <c r="A2648" s="3" t="s">
        <v>6</v>
      </c>
      <c r="B2648" s="3" t="s">
        <v>11010</v>
      </c>
      <c r="C2648" s="3" t="s">
        <v>11011</v>
      </c>
      <c r="D2648" s="3" t="s">
        <v>11012</v>
      </c>
      <c r="E2648" s="3" t="s">
        <v>11013</v>
      </c>
      <c r="F2648" s="3" t="s">
        <v>11014</v>
      </c>
      <c r="G2648" s="3" t="str">
        <f ca="1">IFERROR(__xludf.DUMMYFUNCTION("googletranslate(D2648,""en"",""ja"")"),"インターフェロンアルファ誘導タンパク質 27;インターフェロンα誘導性タンパク質 27")</f>
        <v>インターフェロンアルファ誘導タンパク質 27;インターフェロンα誘導性タンパク質 27</v>
      </c>
      <c r="H2648" s="3" t="str">
        <f ca="1">IFERROR(__xludf.DUMMYFUNCTION("googletranslate(E2648,""en"",""ja"")"),"生物学的標本中のインターフェロンα誘導性タンパク質 27 の測定。")</f>
        <v>生物学的標本中のインターフェロンα誘導性タンパク質 27 の測定。</v>
      </c>
      <c r="I2648" s="3" t="str">
        <f ca="1">IFERROR(__xludf.DUMMYFUNCTION("googletranslate(F2648,""en"",""ja"")"),"インターフェロンα誘導性タンパク質27の測定")</f>
        <v>インターフェロンα誘導性タンパク質27の測定</v>
      </c>
    </row>
    <row r="2649" spans="1:9" ht="30">
      <c r="A2649" s="3" t="s">
        <v>6</v>
      </c>
      <c r="B2649" s="3" t="s">
        <v>11015</v>
      </c>
      <c r="C2649" s="3" t="s">
        <v>11016</v>
      </c>
      <c r="D2649" s="3" t="s">
        <v>11016</v>
      </c>
      <c r="E2649" s="3" t="s">
        <v>11017</v>
      </c>
      <c r="F2649" s="3" t="s">
        <v>11018</v>
      </c>
      <c r="G2649" s="3" t="str">
        <f ca="1">IFERROR(__xludf.DUMMYFUNCTION("googletranslate(D2649,""en"",""ja"")"),"インターフェロン誘導タンパク質 44")</f>
        <v>インターフェロン誘導タンパク質 44</v>
      </c>
      <c r="H2649" s="3" t="str">
        <f ca="1">IFERROR(__xludf.DUMMYFUNCTION("googletranslate(E2649,""en"",""ja"")"),"生物学的標本中のインターフェロン誘導性タンパク質 44 の測定。")</f>
        <v>生物学的標本中のインターフェロン誘導性タンパク質 44 の測定。</v>
      </c>
      <c r="I2649" s="3" t="str">
        <f ca="1">IFERROR(__xludf.DUMMYFUNCTION("googletranslate(F2649,""en"",""ja"")"),"インターフェロン誘導性プロテイン 44 の測定")</f>
        <v>インターフェロン誘導性プロテイン 44 の測定</v>
      </c>
    </row>
    <row r="2650" spans="1:9" ht="30">
      <c r="A2650" s="3" t="s">
        <v>6</v>
      </c>
      <c r="B2650" s="3" t="s">
        <v>11019</v>
      </c>
      <c r="C2650" s="3" t="s">
        <v>11020</v>
      </c>
      <c r="D2650" s="3" t="s">
        <v>11020</v>
      </c>
      <c r="E2650" s="3" t="s">
        <v>11021</v>
      </c>
      <c r="F2650" s="3" t="s">
        <v>11022</v>
      </c>
      <c r="G2650" s="3" t="str">
        <f ca="1">IFERROR(__xludf.DUMMYFUNCTION("googletranslate(D2650,""en"",""ja"")"),"インターフェロン誘導性プロテイン 44 様")</f>
        <v>インターフェロン誘導性プロテイン 44 様</v>
      </c>
      <c r="H2650" s="3" t="str">
        <f ca="1">IFERROR(__xludf.DUMMYFUNCTION("googletranslate(E2650,""en"",""ja"")"),"生物学的標本中のインターフェロン誘導性タンパク質 44 様の測定。")</f>
        <v>生物学的標本中のインターフェロン誘導性タンパク質 44 様の測定。</v>
      </c>
      <c r="I2650" s="3" t="str">
        <f ca="1">IFERROR(__xludf.DUMMYFUNCTION("googletranslate(F2650,""en"",""ja"")"),"インターフェロン誘導プロテイン 44 様の測定")</f>
        <v>インターフェロン誘導プロテイン 44 様の測定</v>
      </c>
    </row>
    <row r="2651" spans="1:9" ht="30">
      <c r="A2651" s="3" t="s">
        <v>6</v>
      </c>
      <c r="B2651" s="3" t="s">
        <v>11023</v>
      </c>
      <c r="C2651" s="3" t="s">
        <v>11024</v>
      </c>
      <c r="D2651" s="3" t="s">
        <v>11024</v>
      </c>
      <c r="E2651" s="3" t="s">
        <v>11025</v>
      </c>
      <c r="F2651" s="3" t="s">
        <v>11026</v>
      </c>
      <c r="G2651" s="3" t="str">
        <f ca="1">IFERROR(__xludf.DUMMYFUNCTION("googletranslate(D2651,""en"",""ja"")"),"インターフェロンα誘導性タンパク質 6")</f>
        <v>インターフェロンα誘導性タンパク質 6</v>
      </c>
      <c r="H2651" s="3" t="str">
        <f ca="1">IFERROR(__xludf.DUMMYFUNCTION("googletranslate(E2651,""en"",""ja"")"),"生物学的標本中のインターフェロンα誘導性タンパク質 6 の測定。")</f>
        <v>生物学的標本中のインターフェロンα誘導性タンパク質 6 の測定。</v>
      </c>
      <c r="I2651" s="3" t="str">
        <f ca="1">IFERROR(__xludf.DUMMYFUNCTION("googletranslate(F2651,""en"",""ja"")"),"インターフェロンα誘導性プロテイン6の測定")</f>
        <v>インターフェロンα誘導性プロテイン6の測定</v>
      </c>
    </row>
    <row r="2652" spans="1:9" ht="60">
      <c r="A2652" s="3" t="s">
        <v>6</v>
      </c>
      <c r="B2652" s="3" t="s">
        <v>11027</v>
      </c>
      <c r="C2652" s="3" t="s">
        <v>11028</v>
      </c>
      <c r="D2652" s="3" t="s">
        <v>11029</v>
      </c>
      <c r="E2652" s="3" t="s">
        <v>11030</v>
      </c>
      <c r="F2652" s="3" t="s">
        <v>11031</v>
      </c>
      <c r="G2652" s="3" t="str">
        <f ca="1">IFERROR(__xludf.DUMMYFUNCTION("googletranslate(D2652,""en"",""ja"")"),"インターフェロン誘導性 56 kDa タンパク質。テトラトリコペプチドリピートを持つインターフェロン誘導タンパク質 1")</f>
        <v>インターフェロン誘導性 56 kDa タンパク質。テトラトリコペプチドリピートを持つインターフェロン誘導タンパク質 1</v>
      </c>
      <c r="H2652" s="3" t="str">
        <f ca="1">IFERROR(__xludf.DUMMYFUNCTION("googletranslate(E2652,""en"",""ja"")"),"生物学的標本中のインターフェロン誘導性 56 KDa タンパク質の測定。")</f>
        <v>生物学的標本中のインターフェロン誘導性 56 KDa タンパク質の測定。</v>
      </c>
      <c r="I2652" s="3" t="str">
        <f ca="1">IFERROR(__xludf.DUMMYFUNCTION("googletranslate(F2652,""en"",""ja"")"),"インターフェロン誘導 56 kDa タンパク質の測定")</f>
        <v>インターフェロン誘導 56 kDa タンパク質の測定</v>
      </c>
    </row>
    <row r="2653" spans="1:9" ht="60">
      <c r="A2653" s="3" t="s">
        <v>6</v>
      </c>
      <c r="B2653" s="3" t="s">
        <v>11032</v>
      </c>
      <c r="C2653" s="3" t="s">
        <v>11033</v>
      </c>
      <c r="D2653" s="3" t="s">
        <v>11034</v>
      </c>
      <c r="E2653" s="3" t="s">
        <v>11035</v>
      </c>
      <c r="F2653" s="3" t="s">
        <v>11036</v>
      </c>
      <c r="G2653" s="3" t="str">
        <f ca="1">IFERROR(__xludf.DUMMYFUNCTION("googletranslate(D2653,""en"",""ja"")"),"インターフェロン誘導性 60 kDa タンパク質;テトラトリコペプチドリピート 3 を含むインターフェロン誘導タンパク質")</f>
        <v>インターフェロン誘導性 60 kDa タンパク質;テトラトリコペプチドリピート 3 を含むインターフェロン誘導タンパク質</v>
      </c>
      <c r="H2653" s="3" t="str">
        <f ca="1">IFERROR(__xludf.DUMMYFUNCTION("googletranslate(E2653,""en"",""ja"")"),"生物学的標本中のインターフェロン誘導性 60 KDa タンパク質の測定。")</f>
        <v>生物学的標本中のインターフェロン誘導性 60 KDa タンパク質の測定。</v>
      </c>
      <c r="I2653" s="3" t="str">
        <f ca="1">IFERROR(__xludf.DUMMYFUNCTION("googletranslate(F2653,""en"",""ja"")"),"インターフェロン誘導性 60 kDa タンパク質の測定")</f>
        <v>インターフェロン誘導性 60 kDa タンパク質の測定</v>
      </c>
    </row>
    <row r="2654" spans="1:9" ht="30">
      <c r="A2654" s="3" t="s">
        <v>6</v>
      </c>
      <c r="B2654" s="3" t="s">
        <v>11037</v>
      </c>
      <c r="C2654" s="3" t="s">
        <v>11038</v>
      </c>
      <c r="D2654" s="3" t="s">
        <v>11038</v>
      </c>
      <c r="E2654" s="3" t="s">
        <v>11039</v>
      </c>
      <c r="F2654" s="3" t="s">
        <v>11040</v>
      </c>
      <c r="G2654" s="3" t="str">
        <f ca="1">IFERROR(__xludf.DUMMYFUNCTION("googletranslate(D2654,""en"",""ja"")"),"インターフェロンアルファ")</f>
        <v>インターフェロンアルファ</v>
      </c>
      <c r="H2654" s="3" t="str">
        <f ca="1">IFERROR(__xludf.DUMMYFUNCTION("googletranslate(E2654,""en"",""ja"")"),"生物学的標本中の総インターフェロン アルファの測定。")</f>
        <v>生物学的標本中の総インターフェロン アルファの測定。</v>
      </c>
      <c r="I2654" s="3" t="str">
        <f ca="1">IFERROR(__xludf.DUMMYFUNCTION("googletranslate(F2654,""en"",""ja"")"),"インターフェロンαの測定")</f>
        <v>インターフェロンαの測定</v>
      </c>
    </row>
    <row r="2655" spans="1:9" ht="30">
      <c r="A2655" s="3" t="s">
        <v>6</v>
      </c>
      <c r="B2655" s="3" t="s">
        <v>11041</v>
      </c>
      <c r="C2655" s="3" t="s">
        <v>11042</v>
      </c>
      <c r="D2655" s="3" t="s">
        <v>11042</v>
      </c>
      <c r="E2655" s="3" t="s">
        <v>11043</v>
      </c>
      <c r="F2655" s="3" t="s">
        <v>11044</v>
      </c>
      <c r="G2655" s="3" t="str">
        <f ca="1">IFERROR(__xludf.DUMMYFUNCTION("googletranslate(D2655,""en"",""ja"")"),"インターフェロンアルファ2型")</f>
        <v>インターフェロンアルファ2型</v>
      </c>
      <c r="H2655" s="3" t="str">
        <f ca="1">IFERROR(__xludf.DUMMYFUNCTION("googletranslate(E2655,""en"",""ja"")"),"生物学的検体中のインターフェロン アルファ タイプ 2 の測定。")</f>
        <v>生物学的検体中のインターフェロン アルファ タイプ 2 の測定。</v>
      </c>
      <c r="I2655" s="3" t="str">
        <f ca="1">IFERROR(__xludf.DUMMYFUNCTION("googletranslate(F2655,""en"",""ja"")"),"インターフェロンα2型の測定")</f>
        <v>インターフェロンα2型の測定</v>
      </c>
    </row>
    <row r="2656" spans="1:9" ht="30">
      <c r="A2656" s="3" t="s">
        <v>6</v>
      </c>
      <c r="B2656" s="3" t="s">
        <v>11045</v>
      </c>
      <c r="C2656" s="3" t="s">
        <v>11046</v>
      </c>
      <c r="D2656" s="3" t="s">
        <v>11046</v>
      </c>
      <c r="E2656" s="3" t="s">
        <v>11047</v>
      </c>
      <c r="F2656" s="3" t="s">
        <v>11048</v>
      </c>
      <c r="G2656" s="3" t="str">
        <f ca="1">IFERROR(__xludf.DUMMYFUNCTION("googletranslate(D2656,""en"",""ja"")"),"インターフェロン ベータ")</f>
        <v>インターフェロン ベータ</v>
      </c>
      <c r="H2656" s="3" t="str">
        <f ca="1">IFERROR(__xludf.DUMMYFUNCTION("googletranslate(E2656,""en"",""ja"")"),"生物学的標本中のインターフェロン ベータの測定。")</f>
        <v>生物学的標本中のインターフェロン ベータの測定。</v>
      </c>
      <c r="I2656" s="3" t="str">
        <f ca="1">IFERROR(__xludf.DUMMYFUNCTION("googletranslate(F2656,""en"",""ja"")"),"インターフェロンベータ測定")</f>
        <v>インターフェロンベータ測定</v>
      </c>
    </row>
    <row r="2657" spans="1:9" ht="30">
      <c r="A2657" s="3" t="s">
        <v>6</v>
      </c>
      <c r="B2657" s="3" t="s">
        <v>11049</v>
      </c>
      <c r="C2657" s="3" t="s">
        <v>11050</v>
      </c>
      <c r="D2657" s="3" t="s">
        <v>11050</v>
      </c>
      <c r="E2657" s="3" t="s">
        <v>11051</v>
      </c>
      <c r="F2657" s="3" t="s">
        <v>11052</v>
      </c>
      <c r="G2657" s="3" t="str">
        <f ca="1">IFERROR(__xludf.DUMMYFUNCTION("googletranslate(D2657,""en"",""ja"")"),"インターフェロンガンマ")</f>
        <v>インターフェロンガンマ</v>
      </c>
      <c r="H2657" s="3" t="str">
        <f ca="1">IFERROR(__xludf.DUMMYFUNCTION("googletranslate(E2657,""en"",""ja"")"),"生物学的標本中のインターフェロン ガンマの測定。")</f>
        <v>生物学的標本中のインターフェロン ガンマの測定。</v>
      </c>
      <c r="I2657" s="3" t="str">
        <f ca="1">IFERROR(__xludf.DUMMYFUNCTION("googletranslate(F2657,""en"",""ja"")"),"インターフェロンガンマ測定")</f>
        <v>インターフェロンガンマ測定</v>
      </c>
    </row>
    <row r="2658" spans="1:9" ht="30">
      <c r="A2658" s="3" t="s">
        <v>6</v>
      </c>
      <c r="B2658" s="3" t="s">
        <v>11053</v>
      </c>
      <c r="C2658" s="3" t="s">
        <v>11054</v>
      </c>
      <c r="D2658" s="3" t="s">
        <v>11054</v>
      </c>
      <c r="E2658" s="3" t="s">
        <v>11055</v>
      </c>
      <c r="F2658" s="3" t="s">
        <v>11056</v>
      </c>
      <c r="G2658" s="3" t="str">
        <f ca="1">IFERROR(__xludf.DUMMYFUNCTION("googletranslate(D2658,""en"",""ja"")"),"免疫グロブリンA")</f>
        <v>免疫グロブリンA</v>
      </c>
      <c r="H2658" s="3" t="str">
        <f ca="1">IFERROR(__xludf.DUMMYFUNCTION("googletranslate(E2658,""en"",""ja"")"),"生物学的検体中の総免疫グロブリン A の測定。")</f>
        <v>生物学的検体中の総免疫グロブリン A の測定。</v>
      </c>
      <c r="I2658" s="3" t="str">
        <f ca="1">IFERROR(__xludf.DUMMYFUNCTION("googletranslate(F2658,""en"",""ja"")"),"免疫グロブリン A の測定")</f>
        <v>免疫グロブリン A の測定</v>
      </c>
    </row>
    <row r="2659" spans="1:9" ht="30">
      <c r="A2659" s="3" t="s">
        <v>6</v>
      </c>
      <c r="B2659" s="3" t="s">
        <v>11057</v>
      </c>
      <c r="C2659" s="3" t="s">
        <v>11058</v>
      </c>
      <c r="D2659" s="3" t="s">
        <v>11059</v>
      </c>
      <c r="E2659" s="3" t="s">
        <v>11060</v>
      </c>
      <c r="F2659" s="3" t="s">
        <v>11061</v>
      </c>
      <c r="G2659" s="3" t="str">
        <f ca="1">IFERROR(__xludf.DUMMYFUNCTION("googletranslate(D2659,""en"",""ja"")"),"IgA/C3; IgA/補体C3;免疫グロブリンA/補体C3")</f>
        <v>IgA/C3; IgA/補体C3;免疫グロブリンA/補体C3</v>
      </c>
      <c r="H2659" s="3" t="str">
        <f ca="1">IFERROR(__xludf.DUMMYFUNCTION("googletranslate(E2659,""en"",""ja"")"),"生物学的検体中の免疫グロブリン A と補体 C3 の相対測定値 (比)。")</f>
        <v>生物学的検体中の免疫グロブリン A と補体 C3 の相対測定値 (比)。</v>
      </c>
      <c r="I2659" s="3" t="str">
        <f ca="1">IFERROR(__xludf.DUMMYFUNCTION("googletranslate(F2659,""en"",""ja"")"),"免疫グロブリン A による C3 測定の補完")</f>
        <v>免疫グロブリン A による C3 測定の補完</v>
      </c>
    </row>
    <row r="2660" spans="1:9" ht="30">
      <c r="A2660" s="3" t="s">
        <v>6</v>
      </c>
      <c r="B2660" s="3" t="s">
        <v>11062</v>
      </c>
      <c r="C2660" s="3" t="s">
        <v>11063</v>
      </c>
      <c r="D2660" s="3" t="s">
        <v>11063</v>
      </c>
      <c r="E2660" s="3" t="s">
        <v>11064</v>
      </c>
      <c r="F2660" s="3" t="s">
        <v>11065</v>
      </c>
      <c r="G2660" s="3" t="str">
        <f ca="1">IFERROR(__xludf.DUMMYFUNCTION("googletranslate(D2660,""en"",""ja"")"),"IgG IgM IgA 合計")</f>
        <v>IgG IgM IgA 合計</v>
      </c>
      <c r="H2660" s="3" t="str">
        <f ca="1">IFERROR(__xludf.DUMMYFUNCTION("googletranslate(E2660,""en"",""ja"")"),"生物学的検体中の総 IgG、IgM、および IgA の測定。")</f>
        <v>生物学的検体中の総 IgG、IgM、および IgA の測定。</v>
      </c>
      <c r="I2660" s="3" t="str">
        <f ca="1">IFERROR(__xludf.DUMMYFUNCTION("googletranslate(F2660,""en"",""ja"")"),"IgG IgM IgA 合計測定")</f>
        <v>IgG IgM IgA 合計測定</v>
      </c>
    </row>
    <row r="2661" spans="1:9" ht="30">
      <c r="A2661" s="3" t="s">
        <v>6</v>
      </c>
      <c r="B2661" s="3" t="s">
        <v>11066</v>
      </c>
      <c r="C2661" s="3" t="s">
        <v>11067</v>
      </c>
      <c r="D2661" s="3" t="s">
        <v>11067</v>
      </c>
      <c r="E2661" s="3" t="s">
        <v>11068</v>
      </c>
      <c r="F2661" s="3" t="s">
        <v>11069</v>
      </c>
      <c r="G2661" s="3" t="str">
        <f ca="1">IFERROR(__xludf.DUMMYFUNCTION("googletranslate(D2661,""en"",""ja"")"),"免疫グロブリンD")</f>
        <v>免疫グロブリンD</v>
      </c>
      <c r="H2661" s="3" t="str">
        <f ca="1">IFERROR(__xludf.DUMMYFUNCTION("googletranslate(E2661,""en"",""ja"")"),"生物学的標本中の免疫グロブリン D の測定。")</f>
        <v>生物学的標本中の免疫グロブリン D の測定。</v>
      </c>
      <c r="I2661" s="3" t="str">
        <f ca="1">IFERROR(__xludf.DUMMYFUNCTION("googletranslate(F2661,""en"",""ja"")"),"免疫グロブリンD測定")</f>
        <v>免疫グロブリンD測定</v>
      </c>
    </row>
    <row r="2662" spans="1:9" ht="30">
      <c r="A2662" s="3" t="s">
        <v>103</v>
      </c>
      <c r="B2662" s="3" t="s">
        <v>11070</v>
      </c>
      <c r="C2662" s="3" t="s">
        <v>11071</v>
      </c>
      <c r="D2662" s="3" t="s">
        <v>11072</v>
      </c>
      <c r="E2662" s="3" t="s">
        <v>11073</v>
      </c>
      <c r="F2662" s="3" t="s">
        <v>11074</v>
      </c>
      <c r="G2662" s="3" t="str">
        <f ca="1">IFERROR(__xludf.DUMMYFUNCTION("googletranslate(D2662,""en"",""ja"")"),"IgD 発現;免疫グロブリン D の発現")</f>
        <v>IgD 発現;免疫グロブリン D の発現</v>
      </c>
      <c r="H2662" s="3" t="str">
        <f ca="1">IFERROR(__xludf.DUMMYFUNCTION("googletranslate(E2662,""en"",""ja"")"),"生物学的標本における細胞 IgD 発現の測定。")</f>
        <v>生物学的標本における細胞 IgD 発現の測定。</v>
      </c>
      <c r="I2662" s="3" t="str">
        <f ca="1">IFERROR(__xludf.DUMMYFUNCTION("googletranslate(F2662,""en"",""ja"")"),"IgD発現測定")</f>
        <v>IgD発現測定</v>
      </c>
    </row>
    <row r="2663" spans="1:9" ht="30">
      <c r="A2663" s="3" t="s">
        <v>6</v>
      </c>
      <c r="B2663" s="3" t="s">
        <v>11075</v>
      </c>
      <c r="C2663" s="3" t="s">
        <v>11076</v>
      </c>
      <c r="D2663" s="3" t="s">
        <v>11076</v>
      </c>
      <c r="E2663" s="3" t="s">
        <v>11077</v>
      </c>
      <c r="F2663" s="3" t="s">
        <v>11078</v>
      </c>
      <c r="G2663" s="3" t="str">
        <f ca="1">IFERROR(__xludf.DUMMYFUNCTION("googletranslate(D2663,""en"",""ja"")"),"免疫グロブリン E")</f>
        <v>免疫グロブリン E</v>
      </c>
      <c r="H2663" s="3" t="str">
        <f ca="1">IFERROR(__xludf.DUMMYFUNCTION("googletranslate(E2663,""en"",""ja"")"),"生物学的検体中の総免疫グロブリン E の測定。")</f>
        <v>生物学的検体中の総免疫グロブリン E の測定。</v>
      </c>
      <c r="I2663" s="3" t="str">
        <f ca="1">IFERROR(__xludf.DUMMYFUNCTION("googletranslate(F2663,""en"",""ja"")"),"免疫グロブリンEの測定")</f>
        <v>免疫グロブリンEの測定</v>
      </c>
    </row>
    <row r="2664" spans="1:9" ht="30">
      <c r="A2664" s="3" t="s">
        <v>6</v>
      </c>
      <c r="B2664" s="3" t="s">
        <v>11079</v>
      </c>
      <c r="C2664" s="3" t="s">
        <v>11080</v>
      </c>
      <c r="D2664" s="3" t="s">
        <v>11080</v>
      </c>
      <c r="E2664" s="3" t="s">
        <v>11081</v>
      </c>
      <c r="F2664" s="3" t="s">
        <v>11082</v>
      </c>
      <c r="G2664" s="3" t="str">
        <f ca="1">IFERROR(__xludf.DUMMYFUNCTION("googletranslate(D2664,""en"",""ja"")"),"免疫グロブリン E、フリー")</f>
        <v>免疫グロブリン E、フリー</v>
      </c>
      <c r="H2664" s="3" t="str">
        <f ca="1">IFERROR(__xludf.DUMMYFUNCTION("googletranslate(E2664,""en"",""ja"")"),"生物学的標本中の遊離免疫グロブリン E の測定。")</f>
        <v>生物学的標本中の遊離免疫グロブリン E の測定。</v>
      </c>
      <c r="I2664" s="3" t="str">
        <f ca="1">IFERROR(__xludf.DUMMYFUNCTION("googletranslate(F2664,""en"",""ja"")"),"無料の免疫グロブリン E 測定")</f>
        <v>無料の免疫グロブリン E 測定</v>
      </c>
    </row>
    <row r="2665" spans="1:9" ht="30">
      <c r="A2665" s="3" t="s">
        <v>6</v>
      </c>
      <c r="B2665" s="3" t="s">
        <v>11083</v>
      </c>
      <c r="C2665" s="3" t="s">
        <v>11084</v>
      </c>
      <c r="D2665" s="3" t="s">
        <v>11084</v>
      </c>
      <c r="E2665" s="3" t="s">
        <v>11085</v>
      </c>
      <c r="F2665" s="3" t="s">
        <v>11086</v>
      </c>
      <c r="G2665" s="3" t="str">
        <f ca="1">IFERROR(__xludf.DUMMYFUNCTION("googletranslate(D2665,""en"",""ja"")"),"インスリン様成長因子-1")</f>
        <v>インスリン様成長因子-1</v>
      </c>
      <c r="H2665" s="3" t="str">
        <f ca="1">IFERROR(__xludf.DUMMYFUNCTION("googletranslate(E2665,""en"",""ja"")"),"生物学的標本中のインスリン様成長因子 1 の測定。")</f>
        <v>生物学的標本中のインスリン様成長因子 1 の測定。</v>
      </c>
      <c r="I2665" s="3" t="str">
        <f ca="1">IFERROR(__xludf.DUMMYFUNCTION("googletranslate(F2665,""en"",""ja"")"),"インスリン様成長因子 1 の測定")</f>
        <v>インスリン様成長因子 1 の測定</v>
      </c>
    </row>
    <row r="2666" spans="1:9" ht="30">
      <c r="A2666" s="3" t="s">
        <v>6</v>
      </c>
      <c r="B2666" s="3" t="s">
        <v>11087</v>
      </c>
      <c r="C2666" s="3" t="s">
        <v>11088</v>
      </c>
      <c r="D2666" s="3" t="s">
        <v>11088</v>
      </c>
      <c r="E2666" s="3" t="s">
        <v>11089</v>
      </c>
      <c r="F2666" s="3" t="s">
        <v>11090</v>
      </c>
      <c r="G2666" s="3" t="str">
        <f ca="1">IFERROR(__xludf.DUMMYFUNCTION("googletranslate(D2666,""en"",""ja"")"),"インスリン様成長因子-2")</f>
        <v>インスリン様成長因子-2</v>
      </c>
      <c r="H2666" s="3" t="str">
        <f ca="1">IFERROR(__xludf.DUMMYFUNCTION("googletranslate(E2666,""en"",""ja"")"),"生物学的標本中のインスリン様成長因子 2 の測定。")</f>
        <v>生物学的標本中のインスリン様成長因子 2 の測定。</v>
      </c>
      <c r="I2666" s="3" t="str">
        <f ca="1">IFERROR(__xludf.DUMMYFUNCTION("googletranslate(F2666,""en"",""ja"")"),"インスリン様成長因子 2 の測定")</f>
        <v>インスリン様成長因子 2 の測定</v>
      </c>
    </row>
    <row r="2667" spans="1:9" ht="45">
      <c r="A2667" s="3" t="s">
        <v>6</v>
      </c>
      <c r="B2667" s="3" t="s">
        <v>11091</v>
      </c>
      <c r="C2667" s="3" t="s">
        <v>11092</v>
      </c>
      <c r="D2667" s="3" t="s">
        <v>11093</v>
      </c>
      <c r="E2667" s="3" t="s">
        <v>11094</v>
      </c>
      <c r="F2667" s="3" t="s">
        <v>11095</v>
      </c>
      <c r="G2667" s="3" t="str">
        <f ca="1">IFERROR(__xludf.DUMMYFUNCTION("googletranslate(D2667,""en"",""ja"")"),"インスリン様成長因子結合 Prot1;インスリン様成長因子結合タンパク質 1")</f>
        <v>インスリン様成長因子結合 Prot1;インスリン様成長因子結合タンパク質 1</v>
      </c>
      <c r="H2667" s="3" t="str">
        <f ca="1">IFERROR(__xludf.DUMMYFUNCTION("googletranslate(E2667,""en"",""ja"")"),"生物学的検体中の総インスリン様成長因子結合タンパク質 1 の測定。")</f>
        <v>生物学的検体中の総インスリン様成長因子結合タンパク質 1 の測定。</v>
      </c>
      <c r="I2667" s="3" t="str">
        <f ca="1">IFERROR(__xludf.DUMMYFUNCTION("googletranslate(F2667,""en"",""ja"")"),"インスリン様成長因子結合タンパク質 1 の測定")</f>
        <v>インスリン様成長因子結合タンパク質 1 の測定</v>
      </c>
    </row>
    <row r="2668" spans="1:9" ht="45">
      <c r="A2668" s="3" t="s">
        <v>6</v>
      </c>
      <c r="B2668" s="3" t="s">
        <v>11096</v>
      </c>
      <c r="C2668" s="3" t="s">
        <v>11097</v>
      </c>
      <c r="D2668" s="3" t="s">
        <v>11098</v>
      </c>
      <c r="E2668" s="3" t="s">
        <v>11099</v>
      </c>
      <c r="F2668" s="3" t="s">
        <v>11100</v>
      </c>
      <c r="G2668" s="3" t="str">
        <f ca="1">IFERROR(__xludf.DUMMYFUNCTION("googletranslate(D2668,""en"",""ja"")"),"インスリン様成長因子結合 Prot2;インスリン様成長因子結合タンパク質 2")</f>
        <v>インスリン様成長因子結合 Prot2;インスリン様成長因子結合タンパク質 2</v>
      </c>
      <c r="H2668" s="3" t="str">
        <f ca="1">IFERROR(__xludf.DUMMYFUNCTION("googletranslate(E2668,""en"",""ja"")"),"生体試料中のインスリン様成長因子結合タンパク質 2 の測定。")</f>
        <v>生体試料中のインスリン様成長因子結合タンパク質 2 の測定。</v>
      </c>
      <c r="I2668" s="3" t="str">
        <f ca="1">IFERROR(__xludf.DUMMYFUNCTION("googletranslate(F2668,""en"",""ja"")"),"インスリン様成長因子結合タンパク質 2 の測定")</f>
        <v>インスリン様成長因子結合タンパク質 2 の測定</v>
      </c>
    </row>
    <row r="2669" spans="1:9" ht="45">
      <c r="A2669" s="3" t="s">
        <v>6</v>
      </c>
      <c r="B2669" s="3" t="s">
        <v>11101</v>
      </c>
      <c r="C2669" s="3" t="s">
        <v>11102</v>
      </c>
      <c r="D2669" s="3" t="s">
        <v>11103</v>
      </c>
      <c r="E2669" s="3" t="s">
        <v>11104</v>
      </c>
      <c r="F2669" s="3" t="s">
        <v>11105</v>
      </c>
      <c r="G2669" s="3" t="str">
        <f ca="1">IFERROR(__xludf.DUMMYFUNCTION("googletranslate(D2669,""en"",""ja"")"),"インスリン様成長因子結合 Prot3;インスリン様成長因子結合タンパク質 3")</f>
        <v>インスリン様成長因子結合 Prot3;インスリン様成長因子結合タンパク質 3</v>
      </c>
      <c r="H2669" s="3" t="str">
        <f ca="1">IFERROR(__xludf.DUMMYFUNCTION("googletranslate(E2669,""en"",""ja"")"),"生体試料中のインスリン様成長因子結合タンパク質 3 の測定。")</f>
        <v>生体試料中のインスリン様成長因子結合タンパク質 3 の測定。</v>
      </c>
      <c r="I2669" s="3" t="str">
        <f ca="1">IFERROR(__xludf.DUMMYFUNCTION("googletranslate(F2669,""en"",""ja"")"),"インスリン様成長因子結合タンパク質 3 の測定")</f>
        <v>インスリン様成長因子結合タンパク質 3 の測定</v>
      </c>
    </row>
    <row r="2670" spans="1:9" ht="75">
      <c r="A2670" s="3" t="s">
        <v>6</v>
      </c>
      <c r="B2670" s="3" t="s">
        <v>11106</v>
      </c>
      <c r="C2670" s="3" t="s">
        <v>11107</v>
      </c>
      <c r="D2670" s="3" t="s">
        <v>11108</v>
      </c>
      <c r="E2670" s="3" t="s">
        <v>11109</v>
      </c>
      <c r="F2670" s="3" t="s">
        <v>11110</v>
      </c>
      <c r="G2670" s="3" t="str">
        <f ca="1">IFERROR(__xludf.DUMMYFUNCTION("googletranslate(D2670,""en"",""ja"")"),"株主総会; FSTL2; IBP-7; IGFBP-7; IGFBP-7v; IGFBPRP1;インスリン様成長因子結合 Prot7;インスリン様成長因子結合タンパク質 7; MAC25; PSF; RAMSVPS; TAF")</f>
        <v>株主総会; FSTL2; IBP-7; IGFBP-7; IGFBP-7v; IGFBPRP1;インスリン様成長因子結合 Prot7;インスリン様成長因子結合タンパク質 7; MAC25; PSF; RAMSVPS; TAF</v>
      </c>
      <c r="H2670" s="3" t="str">
        <f ca="1">IFERROR(__xludf.DUMMYFUNCTION("googletranslate(E2670,""en"",""ja"")"),"生物学的標本中のインスリン様成長因子結合タンパク質 7 の測定。")</f>
        <v>生物学的標本中のインスリン様成長因子結合タンパク質 7 の測定。</v>
      </c>
      <c r="I2670" s="3" t="str">
        <f ca="1">IFERROR(__xludf.DUMMYFUNCTION("googletranslate(F2670,""en"",""ja"")"),"インスリン様成長因子結合タンパク質 7 の測定")</f>
        <v>インスリン様成長因子結合タンパク質 7 の測定</v>
      </c>
    </row>
    <row r="2671" spans="1:9" ht="30">
      <c r="A2671" s="3" t="s">
        <v>6</v>
      </c>
      <c r="B2671" s="3" t="s">
        <v>11111</v>
      </c>
      <c r="C2671" s="3" t="s">
        <v>11112</v>
      </c>
      <c r="D2671" s="3" t="s">
        <v>11112</v>
      </c>
      <c r="E2671" s="3" t="s">
        <v>11113</v>
      </c>
      <c r="F2671" s="3" t="s">
        <v>11114</v>
      </c>
      <c r="G2671" s="3" t="str">
        <f ca="1">IFERROR(__xludf.DUMMYFUNCTION("googletranslate(D2671,""en"",""ja"")"),"免疫グロブリンG")</f>
        <v>免疫グロブリンG</v>
      </c>
      <c r="H2671" s="3" t="str">
        <f ca="1">IFERROR(__xludf.DUMMYFUNCTION("googletranslate(E2671,""en"",""ja"")"),"生物学的検体中の総免疫グロブリン G の測定。")</f>
        <v>生物学的検体中の総免疫グロブリン G の測定。</v>
      </c>
      <c r="I2671" s="3" t="str">
        <f ca="1">IFERROR(__xludf.DUMMYFUNCTION("googletranslate(F2671,""en"",""ja"")"),"免疫グロブリンG測定")</f>
        <v>免疫グロブリンG測定</v>
      </c>
    </row>
    <row r="2672" spans="1:9" ht="30">
      <c r="A2672" s="3" t="s">
        <v>6</v>
      </c>
      <c r="B2672" s="3" t="s">
        <v>11115</v>
      </c>
      <c r="C2672" s="3" t="s">
        <v>11116</v>
      </c>
      <c r="D2672" s="3" t="s">
        <v>11116</v>
      </c>
      <c r="E2672" s="3" t="s">
        <v>11117</v>
      </c>
      <c r="F2672" s="3" t="s">
        <v>11118</v>
      </c>
      <c r="G2672" s="3" t="str">
        <f ca="1">IFERROR(__xludf.DUMMYFUNCTION("googletranslate(D2672,""en"",""ja"")"),"免疫グロブリン G サブクラス 1")</f>
        <v>免疫グロブリン G サブクラス 1</v>
      </c>
      <c r="H2672" s="3" t="str">
        <f ca="1">IFERROR(__xludf.DUMMYFUNCTION("googletranslate(E2672,""en"",""ja"")"),"生物学的検体中の免疫グロブリン G サブクラス 1 の測定。")</f>
        <v>生物学的検体中の免疫グロブリン G サブクラス 1 の測定。</v>
      </c>
      <c r="I2672" s="3" t="str">
        <f ca="1">IFERROR(__xludf.DUMMYFUNCTION("googletranslate(F2672,""en"",""ja"")"),"免疫グロブリン G サブクラス 1 の測定")</f>
        <v>免疫グロブリン G サブクラス 1 の測定</v>
      </c>
    </row>
    <row r="2673" spans="1:9" ht="30">
      <c r="A2673" s="3" t="s">
        <v>6</v>
      </c>
      <c r="B2673" s="3" t="s">
        <v>11119</v>
      </c>
      <c r="C2673" s="3" t="s">
        <v>11120</v>
      </c>
      <c r="D2673" s="3" t="s">
        <v>11120</v>
      </c>
      <c r="E2673" s="3" t="s">
        <v>11121</v>
      </c>
      <c r="F2673" s="3" t="s">
        <v>11122</v>
      </c>
      <c r="G2673" s="3" t="str">
        <f ca="1">IFERROR(__xludf.DUMMYFUNCTION("googletranslate(D2673,""en"",""ja"")"),"免疫グロブリン G サブクラス 2")</f>
        <v>免疫グロブリン G サブクラス 2</v>
      </c>
      <c r="H2673" s="3" t="str">
        <f ca="1">IFERROR(__xludf.DUMMYFUNCTION("googletranslate(E2673,""en"",""ja"")"),"生物学的検体中の免疫グロブリン G サブクラス 2 の測定。")</f>
        <v>生物学的検体中の免疫グロブリン G サブクラス 2 の測定。</v>
      </c>
      <c r="I2673" s="3" t="str">
        <f ca="1">IFERROR(__xludf.DUMMYFUNCTION("googletranslate(F2673,""en"",""ja"")"),"免疫グロブリン G サブクラス 2 の測定")</f>
        <v>免疫グロブリン G サブクラス 2 の測定</v>
      </c>
    </row>
    <row r="2674" spans="1:9" ht="30">
      <c r="A2674" s="3" t="s">
        <v>6</v>
      </c>
      <c r="B2674" s="3" t="s">
        <v>11123</v>
      </c>
      <c r="C2674" s="3" t="s">
        <v>11124</v>
      </c>
      <c r="D2674" s="3" t="s">
        <v>11124</v>
      </c>
      <c r="E2674" s="3" t="s">
        <v>11125</v>
      </c>
      <c r="F2674" s="3" t="s">
        <v>11126</v>
      </c>
      <c r="G2674" s="3" t="str">
        <f ca="1">IFERROR(__xludf.DUMMYFUNCTION("googletranslate(D2674,""en"",""ja"")"),"免疫グロブリン G サブクラス 3")</f>
        <v>免疫グロブリン G サブクラス 3</v>
      </c>
      <c r="H2674" s="3" t="str">
        <f ca="1">IFERROR(__xludf.DUMMYFUNCTION("googletranslate(E2674,""en"",""ja"")"),"生物学的検体中の免疫グロブリン G サブクラス 3 の測定。")</f>
        <v>生物学的検体中の免疫グロブリン G サブクラス 3 の測定。</v>
      </c>
      <c r="I2674" s="3" t="str">
        <f ca="1">IFERROR(__xludf.DUMMYFUNCTION("googletranslate(F2674,""en"",""ja"")"),"免疫グロブリン G サブクラス 3 の測定")</f>
        <v>免疫グロブリン G サブクラス 3 の測定</v>
      </c>
    </row>
    <row r="2675" spans="1:9" ht="30">
      <c r="A2675" s="3" t="s">
        <v>6</v>
      </c>
      <c r="B2675" s="3" t="s">
        <v>11127</v>
      </c>
      <c r="C2675" s="3" t="s">
        <v>11128</v>
      </c>
      <c r="D2675" s="3" t="s">
        <v>11128</v>
      </c>
      <c r="E2675" s="3" t="s">
        <v>11129</v>
      </c>
      <c r="F2675" s="3" t="s">
        <v>11130</v>
      </c>
      <c r="G2675" s="3" t="str">
        <f ca="1">IFERROR(__xludf.DUMMYFUNCTION("googletranslate(D2675,""en"",""ja"")"),"免疫グロブリン G サブクラス 4")</f>
        <v>免疫グロブリン G サブクラス 4</v>
      </c>
      <c r="H2675" s="3" t="str">
        <f ca="1">IFERROR(__xludf.DUMMYFUNCTION("googletranslate(E2675,""en"",""ja"")"),"生物学的検体中の免疫グロブリン G サブクラス 4 の測定。")</f>
        <v>生物学的検体中の免疫グロブリン G サブクラス 4 の測定。</v>
      </c>
      <c r="I2675" s="3" t="str">
        <f ca="1">IFERROR(__xludf.DUMMYFUNCTION("googletranslate(F2675,""en"",""ja"")"),"免疫グロブリン G サブクラス 4 の測定")</f>
        <v>免疫グロブリン G サブクラス 4 の測定</v>
      </c>
    </row>
    <row r="2676" spans="1:9" ht="45">
      <c r="A2676" s="3" t="s">
        <v>6</v>
      </c>
      <c r="B2676" s="3" t="s">
        <v>11131</v>
      </c>
      <c r="C2676" s="3" t="s">
        <v>11132</v>
      </c>
      <c r="D2676" s="3" t="s">
        <v>11133</v>
      </c>
      <c r="E2676" s="3" t="s">
        <v>11134</v>
      </c>
      <c r="F2676" s="3" t="s">
        <v>11135</v>
      </c>
      <c r="G2676" s="3" t="str">
        <f ca="1">IFERROR(__xludf.DUMMYFUNCTION("googletranslate(D2676,""en"",""ja"")"),"IgG/アルブミン;免疫グロブリンG/アルブミン")</f>
        <v>IgG/アルブミン;免疫グロブリンG/アルブミン</v>
      </c>
      <c r="H2676" s="3" t="str">
        <f ca="1">IFERROR(__xludf.DUMMYFUNCTION("googletranslate(E2676,""en"",""ja"")"),"生物学的標本中のアルブミンに対する免疫グロブリン G の相対測定値 (比率またはパーセンテージ)。")</f>
        <v>生物学的標本中のアルブミンに対する免疫グロブリン G の相対測定値 (比率またはパーセンテージ)。</v>
      </c>
      <c r="I2676" s="3" t="str">
        <f ca="1">IFERROR(__xludf.DUMMYFUNCTION("googletranslate(F2676,""en"",""ja"")"),"免疫グロブリンG対アルブミン比の測定")</f>
        <v>免疫グロブリンG対アルブミン比の測定</v>
      </c>
    </row>
    <row r="2677" spans="1:9">
      <c r="A2677" s="3" t="s">
        <v>6</v>
      </c>
      <c r="B2677" s="3" t="s">
        <v>11136</v>
      </c>
      <c r="C2677" s="3" t="s">
        <v>11137</v>
      </c>
      <c r="D2677" s="3" t="s">
        <v>11137</v>
      </c>
      <c r="E2677" s="3" t="s">
        <v>11138</v>
      </c>
      <c r="F2677" s="3" t="s">
        <v>11137</v>
      </c>
      <c r="G2677" s="3" t="str">
        <f ca="1">IFERROR(__xludf.DUMMYFUNCTION("googletranslate(D2677,""en"",""ja"")"),"IgGクリアランス")</f>
        <v>IgGクリアランス</v>
      </c>
      <c r="H2677" s="3" t="str">
        <f ca="1">IFERROR(__xludf.DUMMYFUNCTION("googletranslate(E2677,""en"",""ja"")"),"生物学的標本における IgG クリアランスの測定。")</f>
        <v>生物学的標本における IgG クリアランスの測定。</v>
      </c>
      <c r="I2677" s="3" t="str">
        <f ca="1">IFERROR(__xludf.DUMMYFUNCTION("googletranslate(F2677,""en"",""ja"")"),"IgGクリアランス")</f>
        <v>IgGクリアランス</v>
      </c>
    </row>
    <row r="2678" spans="1:9" ht="30">
      <c r="A2678" s="3" t="s">
        <v>6</v>
      </c>
      <c r="B2678" s="3" t="s">
        <v>11139</v>
      </c>
      <c r="C2678" s="3" t="s">
        <v>11140</v>
      </c>
      <c r="D2678" s="3" t="s">
        <v>11140</v>
      </c>
      <c r="E2678" s="3" t="s">
        <v>11141</v>
      </c>
      <c r="F2678" s="3" t="s">
        <v>11142</v>
      </c>
      <c r="G2678" s="3" t="str">
        <f ca="1">IFERROR(__xludf.DUMMYFUNCTION("googletranslate(D2678,""en"",""ja"")"),"IgG クリアランス/アルブミン クリアランス")</f>
        <v>IgG クリアランス/アルブミン クリアランス</v>
      </c>
      <c r="H2678" s="3" t="str">
        <f ca="1">IFERROR(__xludf.DUMMYFUNCTION("googletranslate(E2678,""en"",""ja"")"),"生物学的標本における IgG クリアランスとアルブミン クリアランスの相対測定値 (比)。")</f>
        <v>生物学的標本における IgG クリアランスとアルブミン クリアランスの相対測定値 (比)。</v>
      </c>
      <c r="I2678" s="3" t="str">
        <f ca="1">IFERROR(__xludf.DUMMYFUNCTION("googletranslate(F2678,""en"",""ja"")"),"IgGクリアランス対アルブミンクリアランス比の測定")</f>
        <v>IgGクリアランス対アルブミンクリアランス比の測定</v>
      </c>
    </row>
    <row r="2679" spans="1:9" ht="45">
      <c r="A2679" s="3" t="s">
        <v>6</v>
      </c>
      <c r="B2679" s="3" t="s">
        <v>11143</v>
      </c>
      <c r="C2679" s="3" t="s">
        <v>11144</v>
      </c>
      <c r="D2679" s="3" t="s">
        <v>11144</v>
      </c>
      <c r="E2679" s="3" t="s">
        <v>11145</v>
      </c>
      <c r="F2679" s="3" t="s">
        <v>11146</v>
      </c>
      <c r="G2679" s="3" t="str">
        <f ca="1">IFERROR(__xludf.DUMMYFUNCTION("googletranslate(D2679,""en"",""ja"")"),"免疫グロブリンG/クレアチニン")</f>
        <v>免疫グロブリンG/クレアチニン</v>
      </c>
      <c r="H2679" s="3" t="str">
        <f ca="1">IFERROR(__xludf.DUMMYFUNCTION("googletranslate(E2679,""en"",""ja"")"),"生物学的標本中のクレアチニンに対する免疫グロブリン G の相対測定値 (比率またはパーセンテージ)。")</f>
        <v>生物学的標本中のクレアチニンに対する免疫グロブリン G の相対測定値 (比率またはパーセンテージ)。</v>
      </c>
      <c r="I2679" s="3" t="str">
        <f ca="1">IFERROR(__xludf.DUMMYFUNCTION("googletranslate(F2679,""en"",""ja"")"),"免疫グロブリンG対クレアチニン比の測定")</f>
        <v>免疫グロブリンG対クレアチニン比の測定</v>
      </c>
    </row>
    <row r="2680" spans="1:9" ht="30">
      <c r="A2680" s="3" t="s">
        <v>6</v>
      </c>
      <c r="B2680" s="3" t="s">
        <v>11147</v>
      </c>
      <c r="C2680" s="3" t="s">
        <v>11148</v>
      </c>
      <c r="D2680" s="3" t="s">
        <v>11148</v>
      </c>
      <c r="E2680" s="3" t="s">
        <v>11149</v>
      </c>
      <c r="F2680" s="3" t="s">
        <v>11148</v>
      </c>
      <c r="G2680" s="3" t="str">
        <f ca="1">IFERROR(__xludf.DUMMYFUNCTION("googletranslate(D2680,""en"",""ja"")"),"IgG合成速度")</f>
        <v>IgG合成速度</v>
      </c>
      <c r="H2680" s="3" t="str">
        <f ca="1">IFERROR(__xludf.DUMMYFUNCTION("googletranslate(E2680,""en"",""ja"")"),"生物学的標本における IgG 合成速度の測定。")</f>
        <v>生物学的標本における IgG 合成速度の測定。</v>
      </c>
      <c r="I2680" s="3" t="str">
        <f ca="1">IFERROR(__xludf.DUMMYFUNCTION("googletranslate(F2680,""en"",""ja"")"),"IgG合成速度")</f>
        <v>IgG合成速度</v>
      </c>
    </row>
    <row r="2681" spans="1:9" ht="30">
      <c r="A2681" s="3" t="s">
        <v>103</v>
      </c>
      <c r="B2681" s="3" t="s">
        <v>11150</v>
      </c>
      <c r="C2681" s="3" t="s">
        <v>11151</v>
      </c>
      <c r="D2681" s="3" t="s">
        <v>11152</v>
      </c>
      <c r="E2681" s="3" t="s">
        <v>11153</v>
      </c>
      <c r="F2681" s="3" t="s">
        <v>11154</v>
      </c>
      <c r="G2681" s="3" t="str">
        <f ca="1">IFERROR(__xludf.DUMMYFUNCTION("googletranslate(D2681,""en"",""ja"")"),"IgG 発現;免疫グロブリン G の発現")</f>
        <v>IgG 発現;免疫グロブリン G の発現</v>
      </c>
      <c r="H2681" s="3" t="str">
        <f ca="1">IFERROR(__xludf.DUMMYFUNCTION("googletranslate(E2681,""en"",""ja"")"),"生物学的標本における細胞 IgG 発現の測定。")</f>
        <v>生物学的標本における細胞 IgG 発現の測定。</v>
      </c>
      <c r="I2681" s="3" t="str">
        <f ca="1">IFERROR(__xludf.DUMMYFUNCTION("googletranslate(F2681,""en"",""ja"")"),"IgG発現測定")</f>
        <v>IgG発現測定</v>
      </c>
    </row>
    <row r="2682" spans="1:9" ht="30">
      <c r="A2682" s="3" t="s">
        <v>6</v>
      </c>
      <c r="B2682" s="3" t="s">
        <v>11155</v>
      </c>
      <c r="C2682" s="3" t="s">
        <v>11156</v>
      </c>
      <c r="D2682" s="3" t="s">
        <v>11156</v>
      </c>
      <c r="E2682" s="3" t="s">
        <v>11157</v>
      </c>
      <c r="F2682" s="3" t="s">
        <v>11158</v>
      </c>
      <c r="G2682" s="3" t="str">
        <f ca="1">IFERROR(__xludf.DUMMYFUNCTION("googletranslate(D2682,""en"",""ja"")"),"免疫グロブリン重定ガンマ 2")</f>
        <v>免疫グロブリン重定ガンマ 2</v>
      </c>
      <c r="H2682" s="3" t="str">
        <f ca="1">IFERROR(__xludf.DUMMYFUNCTION("googletranslate(E2682,""en"",""ja"")"),"生物学的標本中の免疫グロブリン重定数ガンマ 2 の測定。")</f>
        <v>生物学的標本中の免疫グロブリン重定数ガンマ 2 の測定。</v>
      </c>
      <c r="I2682" s="3" t="str">
        <f ca="1">IFERROR(__xludf.DUMMYFUNCTION("googletranslate(F2682,""en"",""ja"")"),"免疫グロブリン重定ガンマ 2 測定")</f>
        <v>免疫グロブリン重定ガンマ 2 測定</v>
      </c>
    </row>
    <row r="2683" spans="1:9" ht="30">
      <c r="A2683" s="3" t="s">
        <v>6</v>
      </c>
      <c r="B2683" s="3" t="s">
        <v>11159</v>
      </c>
      <c r="C2683" s="3" t="s">
        <v>11160</v>
      </c>
      <c r="D2683" s="3" t="s">
        <v>11160</v>
      </c>
      <c r="E2683" s="3" t="s">
        <v>11161</v>
      </c>
      <c r="F2683" s="3" t="s">
        <v>11162</v>
      </c>
      <c r="G2683" s="3" t="str">
        <f ca="1">IFERROR(__xludf.DUMMYFUNCTION("googletranslate(D2683,""en"",""ja"")"),"免疫グロブリン重定ガンマ 4")</f>
        <v>免疫グロブリン重定ガンマ 4</v>
      </c>
      <c r="H2683" s="3" t="str">
        <f ca="1">IFERROR(__xludf.DUMMYFUNCTION("googletranslate(E2683,""en"",""ja"")"),"生物学的標本中の免疫グロブリン重定数ガンマ 4 の測定。")</f>
        <v>生物学的標本中の免疫グロブリン重定数ガンマ 4 の測定。</v>
      </c>
      <c r="I2683" s="3" t="str">
        <f ca="1">IFERROR(__xludf.DUMMYFUNCTION("googletranslate(F2683,""en"",""ja"")"),"免疫グロブリン重定ガンマ 4 測定")</f>
        <v>免疫グロブリン重定ガンマ 4 測定</v>
      </c>
    </row>
    <row r="2684" spans="1:9" ht="30">
      <c r="A2684" s="3" t="s">
        <v>6</v>
      </c>
      <c r="B2684" s="3" t="s">
        <v>11163</v>
      </c>
      <c r="C2684" s="3" t="s">
        <v>11164</v>
      </c>
      <c r="D2684" s="3" t="s">
        <v>11164</v>
      </c>
      <c r="E2684" s="3" t="s">
        <v>11165</v>
      </c>
      <c r="F2684" s="3" t="s">
        <v>11166</v>
      </c>
      <c r="G2684" s="3" t="str">
        <f ca="1">IFERROR(__xludf.DUMMYFUNCTION("googletranslate(D2684,""en"",""ja"")"),"免疫グロブリンM")</f>
        <v>免疫グロブリンM</v>
      </c>
      <c r="H2684" s="3" t="str">
        <f ca="1">IFERROR(__xludf.DUMMYFUNCTION("googletranslate(E2684,""en"",""ja"")"),"生物学的検体中の総免疫グロブリン M の測定。")</f>
        <v>生物学的検体中の総免疫グロブリン M の測定。</v>
      </c>
      <c r="I2684" s="3" t="str">
        <f ca="1">IFERROR(__xludf.DUMMYFUNCTION("googletranslate(F2684,""en"",""ja"")"),"免疫グロブリンM測定")</f>
        <v>免疫グロブリンM測定</v>
      </c>
    </row>
    <row r="2685" spans="1:9" ht="30">
      <c r="A2685" s="3" t="s">
        <v>103</v>
      </c>
      <c r="B2685" s="3" t="s">
        <v>11167</v>
      </c>
      <c r="C2685" s="3" t="s">
        <v>11168</v>
      </c>
      <c r="D2685" s="3" t="s">
        <v>11169</v>
      </c>
      <c r="E2685" s="3" t="s">
        <v>11170</v>
      </c>
      <c r="F2685" s="3" t="s">
        <v>11171</v>
      </c>
      <c r="G2685" s="3" t="str">
        <f ca="1">IFERROR(__xludf.DUMMYFUNCTION("googletranslate(D2685,""en"",""ja"")"),"IgM 発現;免疫グロブリン M の発現")</f>
        <v>IgM 発現;免疫グロブリン M の発現</v>
      </c>
      <c r="H2685" s="3" t="str">
        <f ca="1">IFERROR(__xludf.DUMMYFUNCTION("googletranslate(E2685,""en"",""ja"")"),"生物学的標本における細胞 IgM 発現の測定。")</f>
        <v>生物学的標本における細胞 IgM 発現の測定。</v>
      </c>
      <c r="I2685" s="3" t="str">
        <f ca="1">IFERROR(__xludf.DUMMYFUNCTION("googletranslate(F2685,""en"",""ja"")"),"IgM発現測定")</f>
        <v>IgM発現測定</v>
      </c>
    </row>
    <row r="2686" spans="1:9" ht="30">
      <c r="A2686" s="3" t="s">
        <v>6</v>
      </c>
      <c r="B2686" s="3" t="s">
        <v>11172</v>
      </c>
      <c r="C2686" s="3" t="s">
        <v>11173</v>
      </c>
      <c r="D2686" s="3" t="s">
        <v>11173</v>
      </c>
      <c r="E2686" s="3" t="s">
        <v>11174</v>
      </c>
      <c r="F2686" s="3" t="s">
        <v>11175</v>
      </c>
      <c r="G2686" s="3" t="str">
        <f ca="1">IFERROR(__xludf.DUMMYFUNCTION("googletranslate(D2686,""en"",""ja"")"),"可溶性免疫グロブリン")</f>
        <v>可溶性免疫グロブリン</v>
      </c>
      <c r="H2686" s="3" t="str">
        <f ca="1">IFERROR(__xludf.DUMMYFUNCTION("googletranslate(E2686,""en"",""ja"")"),"生物学的検体中の可溶性総免疫グロブリンの測定。")</f>
        <v>生物学的検体中の可溶性総免疫グロブリンの測定。</v>
      </c>
      <c r="I2686" s="3" t="str">
        <f ca="1">IFERROR(__xludf.DUMMYFUNCTION("googletranslate(F2686,""en"",""ja"")"),"可溶性免疫グロブリン測定")</f>
        <v>可溶性免疫グロブリン測定</v>
      </c>
    </row>
    <row r="2687" spans="1:9" ht="30">
      <c r="A2687" s="3" t="s">
        <v>6</v>
      </c>
      <c r="B2687" s="3" t="s">
        <v>11176</v>
      </c>
      <c r="C2687" s="3" t="s">
        <v>11177</v>
      </c>
      <c r="D2687" s="3" t="s">
        <v>11177</v>
      </c>
      <c r="E2687" s="3" t="s">
        <v>11178</v>
      </c>
      <c r="F2687" s="3" t="s">
        <v>11179</v>
      </c>
      <c r="G2687" s="3" t="str">
        <f ca="1">IFERROR(__xludf.DUMMYFUNCTION("googletranslate(D2687,""en"",""ja"")"),"インターロイキン 12+23 p40")</f>
        <v>インターロイキン 12+23 p40</v>
      </c>
      <c r="H2687" s="3" t="str">
        <f ca="1">IFERROR(__xludf.DUMMYFUNCTION("googletranslate(E2687,""en"",""ja"")"),"生物学的標本中のインターロイキン 12 および 23 の p40 サブユニットの測定。")</f>
        <v>生物学的標本中のインターロイキン 12 および 23 の p40 サブユニットの測定。</v>
      </c>
      <c r="I2687" s="3" t="str">
        <f ca="1">IFERROR(__xludf.DUMMYFUNCTION("googletranslate(F2687,""en"",""ja"")"),"インターロイキン 12+23 p40 の測定")</f>
        <v>インターロイキン 12+23 p40 の測定</v>
      </c>
    </row>
    <row r="2688" spans="1:9" ht="30">
      <c r="A2688" s="3" t="s">
        <v>6</v>
      </c>
      <c r="B2688" s="3" t="s">
        <v>11180</v>
      </c>
      <c r="C2688" s="3" t="s">
        <v>11181</v>
      </c>
      <c r="D2688" s="3" t="s">
        <v>11181</v>
      </c>
      <c r="E2688" s="3" t="s">
        <v>11182</v>
      </c>
      <c r="F2688" s="3" t="s">
        <v>11183</v>
      </c>
      <c r="G2688" s="3" t="str">
        <f ca="1">IFERROR(__xludf.DUMMYFUNCTION("googletranslate(D2688,""en"",""ja"")"),"インターロイキン 18 結合タンパク質")</f>
        <v>インターロイキン 18 結合タンパク質</v>
      </c>
      <c r="H2688" s="3" t="str">
        <f ca="1">IFERROR(__xludf.DUMMYFUNCTION("googletranslate(E2688,""en"",""ja"")"),"生物学的標本中のインターロイキン 18 結合タンパク質の測定。")</f>
        <v>生物学的標本中のインターロイキン 18 結合タンパク質の測定。</v>
      </c>
      <c r="I2688" s="3" t="str">
        <f ca="1">IFERROR(__xludf.DUMMYFUNCTION("googletranslate(F2688,""en"",""ja"")"),"インターロイキン18結合タンパク質の測定")</f>
        <v>インターロイキン18結合タンパク質の測定</v>
      </c>
    </row>
    <row r="2689" spans="1:9" ht="45">
      <c r="A2689" s="3" t="s">
        <v>6</v>
      </c>
      <c r="B2689" s="3" t="s">
        <v>11184</v>
      </c>
      <c r="C2689" s="3" t="s">
        <v>11185</v>
      </c>
      <c r="D2689" s="3" t="s">
        <v>11185</v>
      </c>
      <c r="E2689" s="3" t="s">
        <v>11186</v>
      </c>
      <c r="F2689" s="3" t="s">
        <v>11185</v>
      </c>
      <c r="G2689" s="3" t="str">
        <f ca="1">IFERROR(__xludf.DUMMYFUNCTION("googletranslate(D2689,""en"",""ja"")"),"インターロイキン 18 排泄率")</f>
        <v>インターロイキン 18 排泄率</v>
      </c>
      <c r="H2689" s="3" t="str">
        <f ca="1">IFERROR(__xludf.DUMMYFUNCTION("googletranslate(E2689,""en"",""ja"")"),"規定の期間（たとえば、1 時間）にわたって生物学的標本中に排泄されるインターロイキン 18 の量の測定。")</f>
        <v>規定の期間（たとえば、1 時間）にわたって生物学的標本中に排泄されるインターロイキン 18 の量の測定。</v>
      </c>
      <c r="I2689" s="3" t="str">
        <f ca="1">IFERROR(__xludf.DUMMYFUNCTION("googletranslate(F2689,""en"",""ja"")"),"インターロイキン 18 排泄率")</f>
        <v>インターロイキン 18 排泄率</v>
      </c>
    </row>
    <row r="2690" spans="1:9" ht="45">
      <c r="A2690" s="3" t="s">
        <v>6</v>
      </c>
      <c r="B2690" s="3" t="s">
        <v>11187</v>
      </c>
      <c r="C2690" s="3" t="s">
        <v>11188</v>
      </c>
      <c r="D2690" s="3" t="s">
        <v>11188</v>
      </c>
      <c r="E2690" s="3" t="s">
        <v>11189</v>
      </c>
      <c r="F2690" s="3" t="s">
        <v>11188</v>
      </c>
      <c r="G2690" s="3" t="str">
        <f ca="1">IFERROR(__xludf.DUMMYFUNCTION("googletranslate(D2690,""en"",""ja"")"),"インターロイキン 1 排泄率")</f>
        <v>インターロイキン 1 排泄率</v>
      </c>
      <c r="H2690" s="3" t="str">
        <f ca="1">IFERROR(__xludf.DUMMYFUNCTION("googletranslate(E2690,""en"",""ja"")"),"定義された期間（たとえば、1 時間）にわたって生物学的標本中に排泄されるインターロイキン 1 の量の測定。")</f>
        <v>定義された期間（たとえば、1 時間）にわたって生物学的標本中に排泄されるインターロイキン 1 の量の測定。</v>
      </c>
      <c r="I2690" s="3" t="str">
        <f ca="1">IFERROR(__xludf.DUMMYFUNCTION("googletranslate(F2690,""en"",""ja"")"),"インターロイキン 1 排泄率")</f>
        <v>インターロイキン 1 排泄率</v>
      </c>
    </row>
    <row r="2691" spans="1:9" ht="45">
      <c r="A2691" s="3" t="s">
        <v>6</v>
      </c>
      <c r="B2691" s="3" t="s">
        <v>11190</v>
      </c>
      <c r="C2691" s="3" t="s">
        <v>11191</v>
      </c>
      <c r="D2691" s="3" t="s">
        <v>11192</v>
      </c>
      <c r="E2691" s="3" t="s">
        <v>11193</v>
      </c>
      <c r="F2691" s="3" t="s">
        <v>11194</v>
      </c>
      <c r="G2691" s="3" t="str">
        <f ca="1">IFERROR(__xludf.DUMMYFUNCTION("googletranslate(D2691,""en"",""ja"")"),"CDw121b; IL-1R-2; IL-1RT2; IL1R2c; IL1RB;インターロイキン 1 受容体タイプ 2;可溶性CD121b")</f>
        <v>CDw121b; IL-1R-2; IL-1RT2; IL1R2c; IL1RB;インターロイキン 1 受容体タイプ 2;可溶性CD121b</v>
      </c>
      <c r="H2691" s="3" t="str">
        <f ca="1">IFERROR(__xludf.DUMMYFUNCTION("googletranslate(E2691,""en"",""ja"")"),"生体試料中のインターロイキン 1 受容体タイプ 2 の測定。")</f>
        <v>生体試料中のインターロイキン 1 受容体タイプ 2 の測定。</v>
      </c>
      <c r="I2691" s="3" t="str">
        <f ca="1">IFERROR(__xludf.DUMMYFUNCTION("googletranslate(F2691,""en"",""ja"")"),"インターロイキン 1 受容体タイプ 2 の測定")</f>
        <v>インターロイキン 1 受容体タイプ 2 の測定</v>
      </c>
    </row>
    <row r="2692" spans="1:9" ht="30">
      <c r="A2692" s="3" t="s">
        <v>6</v>
      </c>
      <c r="B2692" s="3" t="s">
        <v>11195</v>
      </c>
      <c r="C2692" s="3" t="s">
        <v>11196</v>
      </c>
      <c r="D2692" s="3" t="s">
        <v>11197</v>
      </c>
      <c r="E2692" s="3" t="s">
        <v>11198</v>
      </c>
      <c r="F2692" s="3" t="s">
        <v>11199</v>
      </c>
      <c r="G2692" s="3" t="str">
        <f ca="1">IFERROR(__xludf.DUMMYFUNCTION("googletranslate(D2692,""en"",""ja"")"),"インターロイキン 1 受容体様 1;プロテインST2; sST2")</f>
        <v>インターロイキン 1 受容体様 1;プロテインST2; sST2</v>
      </c>
      <c r="H2692" s="3" t="str">
        <f ca="1">IFERROR(__xludf.DUMMYFUNCTION("googletranslate(E2692,""en"",""ja"")"),"生物学的標本中のインターロイキン 1 受容体様 1 の測定。")</f>
        <v>生物学的標本中のインターロイキン 1 受容体様 1 の測定。</v>
      </c>
      <c r="I2692" s="3" t="str">
        <f ca="1">IFERROR(__xludf.DUMMYFUNCTION("googletranslate(F2692,""en"",""ja"")"),"インターロイキン 1 受容体様 1 の測定")</f>
        <v>インターロイキン 1 受容体様 1 の測定</v>
      </c>
    </row>
    <row r="2693" spans="1:9" ht="30">
      <c r="A2693" s="3" t="s">
        <v>6</v>
      </c>
      <c r="B2693" s="3" t="s">
        <v>11200</v>
      </c>
      <c r="C2693" s="3" t="s">
        <v>11201</v>
      </c>
      <c r="D2693" s="3" t="s">
        <v>11201</v>
      </c>
      <c r="E2693" s="3" t="s">
        <v>11202</v>
      </c>
      <c r="F2693" s="3" t="s">
        <v>11203</v>
      </c>
      <c r="G2693" s="3" t="str">
        <f ca="1">IFERROR(__xludf.DUMMYFUNCTION("googletranslate(D2693,""en"",""ja"")"),"可溶性インターロイキン 1 受容体 I 型")</f>
        <v>可溶性インターロイキン 1 受容体 I 型</v>
      </c>
      <c r="H2693" s="3" t="str">
        <f ca="1">IFERROR(__xludf.DUMMYFUNCTION("googletranslate(E2693,""en"",""ja"")"),"生物学的標本中の可溶性インターロイキン 1 受容体 I 型の測定。")</f>
        <v>生物学的標本中の可溶性インターロイキン 1 受容体 I 型の測定。</v>
      </c>
      <c r="I2693" s="3" t="str">
        <f ca="1">IFERROR(__xludf.DUMMYFUNCTION("googletranslate(F2693,""en"",""ja"")"),"可溶性インターロイキン 1 受容体 I 型の測定")</f>
        <v>可溶性インターロイキン 1 受容体 I 型の測定</v>
      </c>
    </row>
    <row r="2694" spans="1:9" ht="30">
      <c r="A2694" s="3" t="s">
        <v>6</v>
      </c>
      <c r="B2694" s="3" t="s">
        <v>11204</v>
      </c>
      <c r="C2694" s="3" t="s">
        <v>11205</v>
      </c>
      <c r="D2694" s="3" t="s">
        <v>11206</v>
      </c>
      <c r="E2694" s="3" t="s">
        <v>11207</v>
      </c>
      <c r="F2694" s="3" t="s">
        <v>11208</v>
      </c>
      <c r="G2694" s="3" t="str">
        <f ca="1">IFERROR(__xludf.DUMMYFUNCTION("googletranslate(D2694,""en"",""ja"")"),"IFN-ラムダ 3;インターロイキン 28B")</f>
        <v>IFN-ラムダ 3;インターロイキン 28B</v>
      </c>
      <c r="H2694" s="3" t="str">
        <f ca="1">IFERROR(__xludf.DUMMYFUNCTION("googletranslate(E2694,""en"",""ja"")"),"生物学的標本中のインターロイキン 28B の測定。")</f>
        <v>生物学的標本中のインターロイキン 28B の測定。</v>
      </c>
      <c r="I2694" s="3" t="str">
        <f ca="1">IFERROR(__xludf.DUMMYFUNCTION("googletranslate(F2694,""en"",""ja"")"),"インターロイキン28Bの測定")</f>
        <v>インターロイキン28Bの測定</v>
      </c>
    </row>
    <row r="2695" spans="1:9" ht="30">
      <c r="A2695" s="3" t="s">
        <v>6</v>
      </c>
      <c r="B2695" s="3" t="s">
        <v>11209</v>
      </c>
      <c r="C2695" s="3" t="s">
        <v>11210</v>
      </c>
      <c r="D2695" s="3" t="s">
        <v>11210</v>
      </c>
      <c r="E2695" s="3" t="s">
        <v>11211</v>
      </c>
      <c r="F2695" s="3" t="s">
        <v>11212</v>
      </c>
      <c r="G2695" s="3" t="str">
        <f ca="1">IFERROR(__xludf.DUMMYFUNCTION("googletranslate(D2695,""en"",""ja"")"),"インターロイキン 2 受容体")</f>
        <v>インターロイキン 2 受容体</v>
      </c>
      <c r="H2695" s="3" t="str">
        <f ca="1">IFERROR(__xludf.DUMMYFUNCTION("googletranslate(E2695,""en"",""ja"")"),"生物学的標本中のインターロイキン 2 受容体の測定。")</f>
        <v>生物学的標本中のインターロイキン 2 受容体の測定。</v>
      </c>
      <c r="I2695" s="3" t="str">
        <f ca="1">IFERROR(__xludf.DUMMYFUNCTION("googletranslate(F2695,""en"",""ja"")"),"インターロイキン 2 受容体の測定")</f>
        <v>インターロイキン 2 受容体の測定</v>
      </c>
    </row>
    <row r="2696" spans="1:9" ht="45">
      <c r="A2696" s="3" t="s">
        <v>6</v>
      </c>
      <c r="B2696" s="3" t="s">
        <v>11213</v>
      </c>
      <c r="C2696" s="3" t="s">
        <v>11214</v>
      </c>
      <c r="D2696" s="3" t="s">
        <v>11215</v>
      </c>
      <c r="E2696" s="3" t="s">
        <v>11216</v>
      </c>
      <c r="F2696" s="3" t="s">
        <v>11217</v>
      </c>
      <c r="G2696" s="3" t="str">
        <f ca="1">IFERROR(__xludf.DUMMYFUNCTION("googletranslate(D2696,""en"",""ja"")"),"IL-2Ra;インターロイキン 2 受容体サブユニット アルファ;可溶性CD25")</f>
        <v>IL-2Ra;インターロイキン 2 受容体サブユニット アルファ;可溶性CD25</v>
      </c>
      <c r="H2696" s="3" t="str">
        <f ca="1">IFERROR(__xludf.DUMMYFUNCTION("googletranslate(E2696,""en"",""ja"")"),"生物学的標本中のインターロイキン 2 受容体サブユニット アルファの測定。")</f>
        <v>生物学的標本中のインターロイキン 2 受容体サブユニット アルファの測定。</v>
      </c>
      <c r="I2696" s="3" t="str">
        <f ca="1">IFERROR(__xludf.DUMMYFUNCTION("googletranslate(F2696,""en"",""ja"")"),"インターロイキン 2 受容体サブユニットのアルファ測定")</f>
        <v>インターロイキン 2 受容体サブユニットのアルファ測定</v>
      </c>
    </row>
    <row r="2697" spans="1:9" ht="30">
      <c r="A2697" s="3" t="s">
        <v>6</v>
      </c>
      <c r="B2697" s="3" t="s">
        <v>11218</v>
      </c>
      <c r="C2697" s="3" t="s">
        <v>11219</v>
      </c>
      <c r="D2697" s="3" t="s">
        <v>11220</v>
      </c>
      <c r="E2697" s="3" t="s">
        <v>11221</v>
      </c>
      <c r="F2697" s="3" t="s">
        <v>11222</v>
      </c>
      <c r="G2697" s="3" t="str">
        <f ca="1">IFERROR(__xludf.DUMMYFUNCTION("googletranslate(D2697,""en"",""ja"")"),"IL-2Rb;インターロイキン 2 受容体サブユニット ベータ")</f>
        <v>IL-2Rb;インターロイキン 2 受容体サブユニット ベータ</v>
      </c>
      <c r="H2697" s="3" t="str">
        <f ca="1">IFERROR(__xludf.DUMMYFUNCTION("googletranslate(E2697,""en"",""ja"")"),"生物学的標本中のインターロイキン 2 受容体サブユニット ベータの測定。")</f>
        <v>生物学的標本中のインターロイキン 2 受容体サブユニット ベータの測定。</v>
      </c>
      <c r="I2697" s="3" t="str">
        <f ca="1">IFERROR(__xludf.DUMMYFUNCTION("googletranslate(F2697,""en"",""ja"")"),"インターロイキン 2 受容体サブユニットのベータ測定")</f>
        <v>インターロイキン 2 受容体サブユニットのベータ測定</v>
      </c>
    </row>
    <row r="2698" spans="1:9" ht="60">
      <c r="A2698" s="3" t="s">
        <v>6</v>
      </c>
      <c r="B2698" s="3" t="s">
        <v>11223</v>
      </c>
      <c r="C2698" s="3" t="s">
        <v>11224</v>
      </c>
      <c r="D2698" s="3" t="s">
        <v>11225</v>
      </c>
      <c r="E2698" s="3" t="s">
        <v>11226</v>
      </c>
      <c r="F2698" s="3" t="s">
        <v>11227</v>
      </c>
      <c r="G2698" s="3" t="str">
        <f ca="1">IFERROR(__xludf.DUMMYFUNCTION("googletranslate(D2698,""en"",""ja"")"),"sCD25;可溶性CD25;可溶性IL-2Ra;可溶性インターロイキン 2 受容体。可溶性インターロイキン 2 受容体サブユニット アルファ")</f>
        <v>sCD25;可溶性CD25;可溶性IL-2Ra;可溶性インターロイキン 2 受容体。可溶性インターロイキン 2 受容体サブユニット アルファ</v>
      </c>
      <c r="H2698" s="3" t="str">
        <f ca="1">IFERROR(__xludf.DUMMYFUNCTION("googletranslate(E2698,""en"",""ja"")"),"生物学的標本中の可溶性インターロイキン 2 受容体の測定。")</f>
        <v>生物学的標本中の可溶性インターロイキン 2 受容体の測定。</v>
      </c>
      <c r="I2698" s="3" t="str">
        <f ca="1">IFERROR(__xludf.DUMMYFUNCTION("googletranslate(F2698,""en"",""ja"")"),"可溶性インターロイキン 2 受容体の測定")</f>
        <v>可溶性インターロイキン 2 受容体の測定</v>
      </c>
    </row>
    <row r="2699" spans="1:9" ht="30">
      <c r="A2699" s="3" t="s">
        <v>6</v>
      </c>
      <c r="B2699" s="3" t="s">
        <v>11228</v>
      </c>
      <c r="C2699" s="3" t="s">
        <v>11229</v>
      </c>
      <c r="D2699" s="3" t="s">
        <v>11229</v>
      </c>
      <c r="E2699" s="3" t="s">
        <v>11230</v>
      </c>
      <c r="F2699" s="3" t="s">
        <v>11231</v>
      </c>
      <c r="G2699" s="3" t="str">
        <f ca="1">IFERROR(__xludf.DUMMYFUNCTION("googletranslate(D2699,""en"",""ja"")"),"可溶性インターロイキン 6 受容体")</f>
        <v>可溶性インターロイキン 6 受容体</v>
      </c>
      <c r="H2699" s="3" t="str">
        <f ca="1">IFERROR(__xludf.DUMMYFUNCTION("googletranslate(E2699,""en"",""ja"")"),"生物学的標本中の可溶性インターロイキン 6 受容体の測定。")</f>
        <v>生物学的標本中の可溶性インターロイキン 6 受容体の測定。</v>
      </c>
      <c r="I2699" s="3" t="str">
        <f ca="1">IFERROR(__xludf.DUMMYFUNCTION("googletranslate(F2699,""en"",""ja"")"),"可溶性インターロイキン 6 受容体の測定")</f>
        <v>可溶性インターロイキン 6 受容体の測定</v>
      </c>
    </row>
    <row r="2700" spans="1:9" ht="30">
      <c r="A2700" s="3" t="s">
        <v>103</v>
      </c>
      <c r="B2700" s="3" t="s">
        <v>11232</v>
      </c>
      <c r="C2700" s="3" t="s">
        <v>11233</v>
      </c>
      <c r="D2700" s="3" t="s">
        <v>11234</v>
      </c>
      <c r="E2700" s="3" t="s">
        <v>11235</v>
      </c>
      <c r="F2700" s="3" t="s">
        <v>11236</v>
      </c>
      <c r="G2700" s="3" t="str">
        <f ca="1">IFERROR(__xludf.DUMMYFUNCTION("googletranslate(D2700,""en"",""ja"")"),"ILC;先天性LC。自然リンパ球細胞")</f>
        <v>ILC;先天性LC。自然リンパ球細胞</v>
      </c>
      <c r="H2700" s="3" t="str">
        <f ca="1">IFERROR(__xludf.DUMMYFUNCTION("googletranslate(E2700,""en"",""ja"")"),"生物学的標本中の自然リンパ球細胞の測定。")</f>
        <v>生物学的標本中の自然リンパ球細胞の測定。</v>
      </c>
      <c r="I2700" s="3" t="str">
        <f ca="1">IFERROR(__xludf.DUMMYFUNCTION("googletranslate(F2700,""en"",""ja"")"),"自然リンパ球数")</f>
        <v>自然リンパ球数</v>
      </c>
    </row>
    <row r="2701" spans="1:9" ht="30">
      <c r="A2701" s="3" t="s">
        <v>103</v>
      </c>
      <c r="B2701" s="3" t="s">
        <v>11237</v>
      </c>
      <c r="C2701" s="3" t="s">
        <v>11238</v>
      </c>
      <c r="D2701" s="3" t="s">
        <v>11239</v>
      </c>
      <c r="E2701" s="3" t="s">
        <v>11240</v>
      </c>
      <c r="F2701" s="3" t="s">
        <v>11241</v>
      </c>
      <c r="G2701" s="3" t="str">
        <f ca="1">IFERROR(__xludf.DUMMYFUNCTION("googletranslate(D2701,""en"",""ja"")"),"ILC1;先天性LC1。自然リンパ球細胞タイプ 1")</f>
        <v>ILC1;先天性LC1。自然リンパ球細胞タイプ 1</v>
      </c>
      <c r="H2701" s="3" t="str">
        <f ca="1">IFERROR(__xludf.DUMMYFUNCTION("googletranslate(E2701,""en"",""ja"")"),"生物学的標本中の 1 型自然リンパ球細胞の測定。")</f>
        <v>生物学的標本中の 1 型自然リンパ球細胞の測定。</v>
      </c>
      <c r="I2701" s="3" t="str">
        <f ca="1">IFERROR(__xludf.DUMMYFUNCTION("googletranslate(F2701,""en"",""ja"")"),"1 型自然リンパ球数")</f>
        <v>1 型自然リンパ球数</v>
      </c>
    </row>
    <row r="2702" spans="1:9" ht="45">
      <c r="A2702" s="3" t="s">
        <v>103</v>
      </c>
      <c r="B2702" s="3" t="s">
        <v>11242</v>
      </c>
      <c r="C2702" s="3" t="s">
        <v>11243</v>
      </c>
      <c r="D2702" s="3" t="s">
        <v>11244</v>
      </c>
      <c r="E2702" s="3" t="s">
        <v>11245</v>
      </c>
      <c r="F2702" s="3" t="s">
        <v>11246</v>
      </c>
      <c r="G2702" s="3" t="str">
        <f ca="1">IFERROR(__xludf.DUMMYFUNCTION("googletranslate(D2702,""en"",""ja"")"),"ILC1/ILC;先天性LC1/ILC;自然リンパ系細胞 1 型/自然リンパ系細胞")</f>
        <v>ILC1/ILC;先天性LC1/ILC;自然リンパ系細胞 1 型/自然リンパ系細胞</v>
      </c>
      <c r="H2702" s="3" t="str">
        <f ca="1">IFERROR(__xludf.DUMMYFUNCTION("googletranslate(E2702,""en"",""ja"")"),"生物学的標本中の総自然リンパ球に対する 1 型自然リンパ球の相対測定値 (比率またはパーセンテージ)。")</f>
        <v>生物学的標本中の総自然リンパ球に対する 1 型自然リンパ球の相対測定値 (比率またはパーセンテージ)。</v>
      </c>
      <c r="I2702" s="3" t="str">
        <f ca="1">IFERROR(__xludf.DUMMYFUNCTION("googletranslate(F2702,""en"",""ja"")"),"タイプ 1 自然リンパ系細胞と自然リンパ系細胞の比率の測定")</f>
        <v>タイプ 1 自然リンパ系細胞と自然リンパ系細胞の比率の測定</v>
      </c>
    </row>
    <row r="2703" spans="1:9" ht="45">
      <c r="A2703" s="3" t="s">
        <v>103</v>
      </c>
      <c r="B2703" s="3" t="s">
        <v>11247</v>
      </c>
      <c r="C2703" s="3" t="s">
        <v>11248</v>
      </c>
      <c r="D2703" s="3" t="s">
        <v>11249</v>
      </c>
      <c r="E2703" s="3" t="s">
        <v>11250</v>
      </c>
      <c r="F2703" s="3" t="s">
        <v>11251</v>
      </c>
      <c r="G2703" s="3" t="str">
        <f ca="1">IFERROR(__xludf.DUMMYFUNCTION("googletranslate(D2703,""en"",""ja"")"),"ILC1/白血球;先天性LC1/ロイク。自然リンパ系細胞 1 型/白血球")</f>
        <v>ILC1/白血球;先天性LC1/ロイク。自然リンパ系細胞 1 型/白血球</v>
      </c>
      <c r="H2703" s="3" t="str">
        <f ca="1">IFERROR(__xludf.DUMMYFUNCTION("googletranslate(E2703,""en"",""ja"")"),"生物学的標本中の総白血球に対する 1 型自然リンパ球の相対測定値 (比率またはパーセンテージ)。")</f>
        <v>生物学的標本中の総白血球に対する 1 型自然リンパ球の相対測定値 (比率またはパーセンテージ)。</v>
      </c>
      <c r="I2703" s="3" t="str">
        <f ca="1">IFERROR(__xludf.DUMMYFUNCTION("googletranslate(F2703,""en"",""ja"")"),"1 型自然リンパ球と白血球の比率の測定")</f>
        <v>1 型自然リンパ球と白血球の比率の測定</v>
      </c>
    </row>
    <row r="2704" spans="1:9" ht="45">
      <c r="A2704" s="3" t="s">
        <v>103</v>
      </c>
      <c r="B2704" s="3" t="s">
        <v>11252</v>
      </c>
      <c r="C2704" s="3" t="s">
        <v>11253</v>
      </c>
      <c r="D2704" s="3" t="s">
        <v>11254</v>
      </c>
      <c r="E2704" s="3" t="s">
        <v>11255</v>
      </c>
      <c r="F2704" s="3" t="s">
        <v>11256</v>
      </c>
      <c r="G2704" s="3" t="str">
        <f ca="1">IFERROR(__xludf.DUMMYFUNCTION("googletranslate(D2704,""en"",""ja"")"),"ILC1 亜集団;生来のLC1サブ。先天性リンパ球細胞タイプ 1 亜集団")</f>
        <v>ILC1 亜集団;生来のLC1サブ。先天性リンパ球細胞タイプ 1 亜集団</v>
      </c>
      <c r="H2704" s="3" t="str">
        <f ca="1">IFERROR(__xludf.DUMMYFUNCTION("googletranslate(E2704,""en"",""ja"")"),"生物学的標本中の 1 型自然リンパ球細胞の部分集団の測定。")</f>
        <v>生物学的標本中の 1 型自然リンパ球細胞の部分集団の測定。</v>
      </c>
      <c r="I2704" s="3" t="str">
        <f ca="1">IFERROR(__xludf.DUMMYFUNCTION("googletranslate(F2704,""en"",""ja"")"),"1 型先天性リンパ系細胞部分集団の数")</f>
        <v>1 型先天性リンパ系細胞部分集団の数</v>
      </c>
    </row>
    <row r="2705" spans="1:9" ht="60">
      <c r="A2705" s="3" t="s">
        <v>103</v>
      </c>
      <c r="B2705" s="3" t="s">
        <v>11257</v>
      </c>
      <c r="C2705" s="3" t="s">
        <v>11258</v>
      </c>
      <c r="D2705" s="3" t="s">
        <v>11259</v>
      </c>
      <c r="E2705" s="3" t="s">
        <v>11260</v>
      </c>
      <c r="F2705" s="3" t="s">
        <v>11261</v>
      </c>
      <c r="G2705" s="3" t="str">
        <f ca="1">IFERROR(__xludf.DUMMYFUNCTION("googletranslate(D2705,""en"",""ja"")"),"ILC1 部分母集団/ILC;先天的LC1サブ/ILC;自然リンパ球細胞タイプ 1 亜集団/自然リンパ球細胞")</f>
        <v>ILC1 部分母集団/ILC;先天的LC1サブ/ILC;自然リンパ球細胞タイプ 1 亜集団/自然リンパ球細胞</v>
      </c>
      <c r="H2705" s="3" t="str">
        <f ca="1">IFERROR(__xludf.DUMMYFUNCTION("googletranslate(E2705,""en"",""ja"")"),"生物学的標本中の総自然リンパ球に対する 1 型自然リンパ球の部分集団の相対測定値 (比率またはパーセンテージ)。")</f>
        <v>生物学的標本中の総自然リンパ球に対する 1 型自然リンパ球の部分集団の相対測定値 (比率またはパーセンテージ)。</v>
      </c>
      <c r="I2705" s="3" t="str">
        <f ca="1">IFERROR(__xludf.DUMMYFUNCTION("googletranslate(F2705,""en"",""ja"")"),"1 型自然リンパ球細胞亜集団と自然リンパ球細胞の比率の測定")</f>
        <v>1 型自然リンパ球細胞亜集団と自然リンパ球細胞の比率の測定</v>
      </c>
    </row>
    <row r="2706" spans="1:9" ht="60">
      <c r="A2706" s="3" t="s">
        <v>103</v>
      </c>
      <c r="B2706" s="3" t="s">
        <v>11262</v>
      </c>
      <c r="C2706" s="3" t="s">
        <v>11263</v>
      </c>
      <c r="D2706" s="3" t="s">
        <v>11264</v>
      </c>
      <c r="E2706" s="3" t="s">
        <v>11265</v>
      </c>
      <c r="F2706" s="3" t="s">
        <v>11266</v>
      </c>
      <c r="G2706" s="3" t="str">
        <f ca="1">IFERROR(__xludf.DUMMYFUNCTION("googletranslate(D2706,""en"",""ja"")"),"ILC1 亜集団/白血球;生まれつきのLC1サブ/ロイク。自然リンパ系細胞タイプ 1 亜集団/白血球")</f>
        <v>ILC1 亜集団/白血球;生まれつきのLC1サブ/ロイク。自然リンパ系細胞タイプ 1 亜集団/白血球</v>
      </c>
      <c r="H2706" s="3" t="str">
        <f ca="1">IFERROR(__xludf.DUMMYFUNCTION("googletranslate(E2706,""en"",""ja"")"),"生物学的標本中の総白血球に対する 1 型自然リンパ球の部分集団の相対的な測定値 (比率またはパーセンテージ)。")</f>
        <v>生物学的標本中の総白血球に対する 1 型自然リンパ球の部分集団の相対的な測定値 (比率またはパーセンテージ)。</v>
      </c>
      <c r="I2706" s="3" t="str">
        <f ca="1">IFERROR(__xludf.DUMMYFUNCTION("googletranslate(F2706,""en"",""ja"")"),"1 型自然リンパ球亜集団と白血球の比率の測定")</f>
        <v>1 型自然リンパ球亜集団と白血球の比率の測定</v>
      </c>
    </row>
    <row r="2707" spans="1:9" ht="60">
      <c r="A2707" s="3" t="s">
        <v>103</v>
      </c>
      <c r="B2707" s="3" t="s">
        <v>11267</v>
      </c>
      <c r="C2707" s="3" t="s">
        <v>11268</v>
      </c>
      <c r="D2707" s="3" t="s">
        <v>11269</v>
      </c>
      <c r="E2707" s="3" t="s">
        <v>11270</v>
      </c>
      <c r="F2707" s="3" t="s">
        <v>11271</v>
      </c>
      <c r="G2707" s="3" t="str">
        <f ca="1">IFERROR(__xludf.DUMMYFUNCTION("googletranslate(D2707,""en"",""ja"")"),"ILC1 部分母集団/ILC1;先天的LC1サブ/ILC1;先天性リンパ系細胞 1 型亜集団/先天性リンパ系細胞 1 型")</f>
        <v>ILC1 部分母集団/ILC1;先天的LC1サブ/ILC1;先天性リンパ系細胞 1 型亜集団/先天性リンパ系細胞 1 型</v>
      </c>
      <c r="H2707" s="3" t="str">
        <f ca="1">IFERROR(__xludf.DUMMYFUNCTION("googletranslate(E2707,""en"",""ja"")"),"生物学的標本中の 1 型自然リンパ球の総数に対する 1 型自然リンパ球の部分集団の相対測定値 (比率またはパーセンテージ)。")</f>
        <v>生物学的標本中の 1 型自然リンパ球の総数に対する 1 型自然リンパ球の部分集団の相対測定値 (比率またはパーセンテージ)。</v>
      </c>
      <c r="I2707" s="3" t="str">
        <f ca="1">IFERROR(__xludf.DUMMYFUNCTION("googletranslate(F2707,""en"",""ja"")"),"1 型自然リンパ球細胞サブ集団と 1 型自然リンパ球細胞の比率の測定")</f>
        <v>1 型自然リンパ球細胞サブ集団と 1 型自然リンパ球細胞の比率の測定</v>
      </c>
    </row>
    <row r="2708" spans="1:9" ht="30">
      <c r="A2708" s="3" t="s">
        <v>103</v>
      </c>
      <c r="B2708" s="3" t="s">
        <v>11272</v>
      </c>
      <c r="C2708" s="3" t="s">
        <v>11273</v>
      </c>
      <c r="D2708" s="3" t="s">
        <v>11274</v>
      </c>
      <c r="E2708" s="3" t="s">
        <v>11275</v>
      </c>
      <c r="F2708" s="3" t="s">
        <v>11276</v>
      </c>
      <c r="G2708" s="3" t="str">
        <f ca="1">IFERROR(__xludf.DUMMYFUNCTION("googletranslate(D2708,""en"",""ja"")"),"ILC2;先天的LC2;自然リンパ球細胞タイプ 2")</f>
        <v>ILC2;先天的LC2;自然リンパ球細胞タイプ 2</v>
      </c>
      <c r="H2708" s="3" t="str">
        <f ca="1">IFERROR(__xludf.DUMMYFUNCTION("googletranslate(E2708,""en"",""ja"")"),"生物学的標本中の 2 型自然リンパ球の測定。")</f>
        <v>生物学的標本中の 2 型自然リンパ球の測定。</v>
      </c>
      <c r="I2708" s="3" t="str">
        <f ca="1">IFERROR(__xludf.DUMMYFUNCTION("googletranslate(F2708,""en"",""ja"")"),"2 型自然リンパ球数")</f>
        <v>2 型自然リンパ球数</v>
      </c>
    </row>
    <row r="2709" spans="1:9" ht="45">
      <c r="A2709" s="3" t="s">
        <v>103</v>
      </c>
      <c r="B2709" s="3" t="s">
        <v>11277</v>
      </c>
      <c r="C2709" s="3" t="s">
        <v>11278</v>
      </c>
      <c r="D2709" s="3" t="s">
        <v>11279</v>
      </c>
      <c r="E2709" s="3" t="s">
        <v>11280</v>
      </c>
      <c r="F2709" s="3" t="s">
        <v>11281</v>
      </c>
      <c r="G2709" s="3" t="str">
        <f ca="1">IFERROR(__xludf.DUMMYFUNCTION("googletranslate(D2709,""en"",""ja"")"),"ILC2/ILC;先天性LC2/ILC;自然リンパ系細胞 2 型/自然リンパ系細胞")</f>
        <v>ILC2/ILC;先天性LC2/ILC;自然リンパ系細胞 2 型/自然リンパ系細胞</v>
      </c>
      <c r="H2709" s="3" t="str">
        <f ca="1">IFERROR(__xludf.DUMMYFUNCTION("googletranslate(E2709,""en"",""ja"")"),"生物学的標本中の総自然リンパ球に対する 2 型自然リンパ球の相対的な測定値 (比率またはパーセンテージ)。")</f>
        <v>生物学的標本中の総自然リンパ球に対する 2 型自然リンパ球の相対的な測定値 (比率またはパーセンテージ)。</v>
      </c>
      <c r="I2709" s="3" t="str">
        <f ca="1">IFERROR(__xludf.DUMMYFUNCTION("googletranslate(F2709,""en"",""ja"")"),"タイプ 2 自然リンパ球と自然リンパ球の比率の測定")</f>
        <v>タイプ 2 自然リンパ球と自然リンパ球の比率の測定</v>
      </c>
    </row>
    <row r="2710" spans="1:9" ht="45">
      <c r="A2710" s="3" t="s">
        <v>103</v>
      </c>
      <c r="B2710" s="3" t="s">
        <v>11282</v>
      </c>
      <c r="C2710" s="3" t="s">
        <v>11283</v>
      </c>
      <c r="D2710" s="3" t="s">
        <v>11284</v>
      </c>
      <c r="E2710" s="3" t="s">
        <v>11285</v>
      </c>
      <c r="F2710" s="3" t="s">
        <v>11286</v>
      </c>
      <c r="G2710" s="3" t="str">
        <f ca="1">IFERROR(__xludf.DUMMYFUNCTION("googletranslate(D2710,""en"",""ja"")"),"ILC2/白血球;先天性LC2/ロイク。自然リンパ系細胞 2 型/白血球")</f>
        <v>ILC2/白血球;先天性LC2/ロイク。自然リンパ系細胞 2 型/白血球</v>
      </c>
      <c r="H2710" s="3" t="str">
        <f ca="1">IFERROR(__xludf.DUMMYFUNCTION("googletranslate(E2710,""en"",""ja"")"),"生物学的標本中の総白血球に対する 2 型自然リンパ球の相対測定値 (比率またはパーセンテージ)。")</f>
        <v>生物学的標本中の総白血球に対する 2 型自然リンパ球の相対測定値 (比率またはパーセンテージ)。</v>
      </c>
      <c r="I2710" s="3" t="str">
        <f ca="1">IFERROR(__xludf.DUMMYFUNCTION("googletranslate(F2710,""en"",""ja"")"),"2 型自然リンパ球と白血球の比率の測定")</f>
        <v>2 型自然リンパ球と白血球の比率の測定</v>
      </c>
    </row>
    <row r="2711" spans="1:9" ht="45">
      <c r="A2711" s="3" t="s">
        <v>103</v>
      </c>
      <c r="B2711" s="3" t="s">
        <v>11287</v>
      </c>
      <c r="C2711" s="3" t="s">
        <v>11288</v>
      </c>
      <c r="D2711" s="3" t="s">
        <v>11289</v>
      </c>
      <c r="E2711" s="3" t="s">
        <v>11290</v>
      </c>
      <c r="F2711" s="3" t="s">
        <v>11291</v>
      </c>
      <c r="G2711" s="3" t="str">
        <f ca="1">IFERROR(__xludf.DUMMYFUNCTION("googletranslate(D2711,""en"",""ja"")"),"ILC2サブ;生まれつきのLC2サブ。先天性リンパ球細胞タイプ 2 サブ集団")</f>
        <v>ILC2サブ;生まれつきのLC2サブ。先天性リンパ球細胞タイプ 2 サブ集団</v>
      </c>
      <c r="H2711" s="3" t="str">
        <f ca="1">IFERROR(__xludf.DUMMYFUNCTION("googletranslate(E2711,""en"",""ja"")"),"生物学的標本中の 2 型自然リンパ球細胞の部分集団の測定。")</f>
        <v>生物学的標本中の 2 型自然リンパ球細胞の部分集団の測定。</v>
      </c>
      <c r="I2711" s="3" t="str">
        <f ca="1">IFERROR(__xludf.DUMMYFUNCTION("googletranslate(F2711,""en"",""ja"")"),"2 型先天性リンパ系細胞部分集団の数")</f>
        <v>2 型先天性リンパ系細胞部分集団の数</v>
      </c>
    </row>
    <row r="2712" spans="1:9" ht="60">
      <c r="A2712" s="3" t="s">
        <v>103</v>
      </c>
      <c r="B2712" s="3" t="s">
        <v>11292</v>
      </c>
      <c r="C2712" s="3" t="s">
        <v>11293</v>
      </c>
      <c r="D2712" s="3" t="s">
        <v>11294</v>
      </c>
      <c r="E2712" s="3" t="s">
        <v>11295</v>
      </c>
      <c r="F2712" s="3" t="s">
        <v>11296</v>
      </c>
      <c r="G2712" s="3" t="str">
        <f ca="1">IFERROR(__xludf.DUMMYFUNCTION("googletranslate(D2712,""en"",""ja"")"),"ILC2 部分母集団/ILC;先天的LC2サブ/ILC;自然リンパ系細胞 2 型亜集団/自然リンパ系細胞")</f>
        <v>ILC2 部分母集団/ILC;先天的LC2サブ/ILC;自然リンパ系細胞 2 型亜集団/自然リンパ系細胞</v>
      </c>
      <c r="H2712" s="3" t="str">
        <f ca="1">IFERROR(__xludf.DUMMYFUNCTION("googletranslate(E2712,""en"",""ja"")"),"生物学的標本中の総自然リンパ球に対する 2 型自然リンパ球の部分集団の相対測定値 (比率またはパーセンテージ)。")</f>
        <v>生物学的標本中の総自然リンパ球に対する 2 型自然リンパ球の部分集団の相対測定値 (比率またはパーセンテージ)。</v>
      </c>
      <c r="I2712" s="3" t="str">
        <f ca="1">IFERROR(__xludf.DUMMYFUNCTION("googletranslate(F2712,""en"",""ja"")"),"2 型自然リンパ球細胞サブ集団と自然リンパ球細胞の比率の測定")</f>
        <v>2 型自然リンパ球細胞サブ集団と自然リンパ球細胞の比率の測定</v>
      </c>
    </row>
    <row r="2713" spans="1:9" ht="60">
      <c r="A2713" s="3" t="s">
        <v>103</v>
      </c>
      <c r="B2713" s="3" t="s">
        <v>11297</v>
      </c>
      <c r="C2713" s="3" t="s">
        <v>11298</v>
      </c>
      <c r="D2713" s="3" t="s">
        <v>11299</v>
      </c>
      <c r="E2713" s="3" t="s">
        <v>11300</v>
      </c>
      <c r="F2713" s="3" t="s">
        <v>11301</v>
      </c>
      <c r="G2713" s="3" t="str">
        <f ca="1">IFERROR(__xludf.DUMMYFUNCTION("googletranslate(D2713,""en"",""ja"")"),"ILC2 部分集団/白血球;生来のLC2サブ/ロイク。自然リンパ系細胞 2 型亜集団/白血球")</f>
        <v>ILC2 部分集団/白血球;生来のLC2サブ/ロイク。自然リンパ系細胞 2 型亜集団/白血球</v>
      </c>
      <c r="H2713" s="3" t="str">
        <f ca="1">IFERROR(__xludf.DUMMYFUNCTION("googletranslate(E2713,""en"",""ja"")"),"生物学的標本中の総白血球に対する 2 型自然リンパ球の部分集団の相対測定値 (比率またはパーセンテージ)。")</f>
        <v>生物学的標本中の総白血球に対する 2 型自然リンパ球の部分集団の相対測定値 (比率またはパーセンテージ)。</v>
      </c>
      <c r="I2713" s="3" t="str">
        <f ca="1">IFERROR(__xludf.DUMMYFUNCTION("googletranslate(F2713,""en"",""ja"")"),"2 型自然リンパ球亜集団と白血球の比率の測定")</f>
        <v>2 型自然リンパ球亜集団と白血球の比率の測定</v>
      </c>
    </row>
    <row r="2714" spans="1:9" ht="60">
      <c r="A2714" s="3" t="s">
        <v>103</v>
      </c>
      <c r="B2714" s="3" t="s">
        <v>11302</v>
      </c>
      <c r="C2714" s="3" t="s">
        <v>11303</v>
      </c>
      <c r="D2714" s="3" t="s">
        <v>11304</v>
      </c>
      <c r="E2714" s="3" t="s">
        <v>11305</v>
      </c>
      <c r="F2714" s="3" t="s">
        <v>11306</v>
      </c>
      <c r="G2714" s="3" t="str">
        <f ca="1">IFERROR(__xludf.DUMMYFUNCTION("googletranslate(D2714,""en"",""ja"")"),"ILC2 部分母集団/ILC2;先天的LC2サブ/ILC2;先天性リンパ系細胞 2 型亜集団/先天性リンパ系細胞 2 型")</f>
        <v>ILC2 部分母集団/ILC2;先天的LC2サブ/ILC2;先天性リンパ系細胞 2 型亜集団/先天性リンパ系細胞 2 型</v>
      </c>
      <c r="H2714" s="3" t="str">
        <f ca="1">IFERROR(__xludf.DUMMYFUNCTION("googletranslate(E2714,""en"",""ja"")"),"生物学的標本中の 2 型自然リンパ球の総数に対する 2 型自然リンパ球の部分集団の相対測定値 (比率またはパーセンテージ)。")</f>
        <v>生物学的標本中の 2 型自然リンパ球の総数に対する 2 型自然リンパ球の部分集団の相対測定値 (比率またはパーセンテージ)。</v>
      </c>
      <c r="I2714" s="3" t="str">
        <f ca="1">IFERROR(__xludf.DUMMYFUNCTION("googletranslate(F2714,""en"",""ja"")"),"2 型自然リンパ球細胞サブ集団と 2 型自然リンパ球細胞の比率の測定")</f>
        <v>2 型自然リンパ球細胞サブ集団と 2 型自然リンパ球細胞の比率の測定</v>
      </c>
    </row>
    <row r="2715" spans="1:9" ht="30">
      <c r="A2715" s="3" t="s">
        <v>103</v>
      </c>
      <c r="B2715" s="3" t="s">
        <v>11307</v>
      </c>
      <c r="C2715" s="3" t="s">
        <v>11308</v>
      </c>
      <c r="D2715" s="3" t="s">
        <v>11309</v>
      </c>
      <c r="E2715" s="3" t="s">
        <v>11310</v>
      </c>
      <c r="F2715" s="3" t="s">
        <v>11311</v>
      </c>
      <c r="G2715" s="3" t="str">
        <f ca="1">IFERROR(__xludf.DUMMYFUNCTION("googletranslate(D2715,""en"",""ja"")"),"ILC3;先天的LC3;自然リンパ球細胞タイプ 3")</f>
        <v>ILC3;先天的LC3;自然リンパ球細胞タイプ 3</v>
      </c>
      <c r="H2715" s="3" t="str">
        <f ca="1">IFERROR(__xludf.DUMMYFUNCTION("googletranslate(E2715,""en"",""ja"")"),"生物学的標本中の 3 型自然リンパ球細胞の測定。")</f>
        <v>生物学的標本中の 3 型自然リンパ球細胞の測定。</v>
      </c>
      <c r="I2715" s="3" t="str">
        <f ca="1">IFERROR(__xludf.DUMMYFUNCTION("googletranslate(F2715,""en"",""ja"")"),"タイプ 3 自然リンパ球数")</f>
        <v>タイプ 3 自然リンパ球数</v>
      </c>
    </row>
    <row r="2716" spans="1:9" ht="45">
      <c r="A2716" s="3" t="s">
        <v>103</v>
      </c>
      <c r="B2716" s="3" t="s">
        <v>11312</v>
      </c>
      <c r="C2716" s="3" t="s">
        <v>11313</v>
      </c>
      <c r="D2716" s="3" t="s">
        <v>11314</v>
      </c>
      <c r="E2716" s="3" t="s">
        <v>11315</v>
      </c>
      <c r="F2716" s="3" t="s">
        <v>11316</v>
      </c>
      <c r="G2716" s="3" t="str">
        <f ca="1">IFERROR(__xludf.DUMMYFUNCTION("googletranslate(D2716,""en"",""ja"")"),"ILC3/ILC;先天性LC3/ILC;自然リンパ系細胞 3 型/自然リンパ系細胞")</f>
        <v>ILC3/ILC;先天性LC3/ILC;自然リンパ系細胞 3 型/自然リンパ系細胞</v>
      </c>
      <c r="H2716" s="3" t="str">
        <f ca="1">IFERROR(__xludf.DUMMYFUNCTION("googletranslate(E2716,""en"",""ja"")"),"生物学的標本中の総自然リンパ球に対する 3 型自然リンパ球の相対測定値 (比率またはパーセンテージ)。")</f>
        <v>生物学的標本中の総自然リンパ球に対する 3 型自然リンパ球の相対測定値 (比率またはパーセンテージ)。</v>
      </c>
      <c r="I2716" s="3" t="str">
        <f ca="1">IFERROR(__xludf.DUMMYFUNCTION("googletranslate(F2716,""en"",""ja"")"),"タイプ 3 自然リンパ系細胞と自然リンパ系細胞の比率の測定")</f>
        <v>タイプ 3 自然リンパ系細胞と自然リンパ系細胞の比率の測定</v>
      </c>
    </row>
    <row r="2717" spans="1:9" ht="45">
      <c r="A2717" s="3" t="s">
        <v>103</v>
      </c>
      <c r="B2717" s="3" t="s">
        <v>11317</v>
      </c>
      <c r="C2717" s="3" t="s">
        <v>11318</v>
      </c>
      <c r="D2717" s="3" t="s">
        <v>11319</v>
      </c>
      <c r="E2717" s="3" t="s">
        <v>11320</v>
      </c>
      <c r="F2717" s="3" t="s">
        <v>11321</v>
      </c>
      <c r="G2717" s="3" t="str">
        <f ca="1">IFERROR(__xludf.DUMMYFUNCTION("googletranslate(D2717,""en"",""ja"")"),"ILC3/白血球;先天性LC3/ロイク。自然リンパ系細胞 3 型/白血球")</f>
        <v>ILC3/白血球;先天性LC3/ロイク。自然リンパ系細胞 3 型/白血球</v>
      </c>
      <c r="H2717" s="3" t="str">
        <f ca="1">IFERROR(__xludf.DUMMYFUNCTION("googletranslate(E2717,""en"",""ja"")"),"生物学的標本中の総白血球に対する 3 型自然リンパ球の相対測定値 (比率またはパーセンテージ)。")</f>
        <v>生物学的標本中の総白血球に対する 3 型自然リンパ球の相対測定値 (比率またはパーセンテージ)。</v>
      </c>
      <c r="I2717" s="3" t="str">
        <f ca="1">IFERROR(__xludf.DUMMYFUNCTION("googletranslate(F2717,""en"",""ja"")"),"タイプ 3 自然リンパ球と白血球の比率の測定")</f>
        <v>タイプ 3 自然リンパ球と白血球の比率の測定</v>
      </c>
    </row>
    <row r="2718" spans="1:9" ht="45">
      <c r="A2718" s="3" t="s">
        <v>103</v>
      </c>
      <c r="B2718" s="3" t="s">
        <v>11322</v>
      </c>
      <c r="C2718" s="3" t="s">
        <v>11323</v>
      </c>
      <c r="D2718" s="3" t="s">
        <v>11324</v>
      </c>
      <c r="E2718" s="3" t="s">
        <v>11325</v>
      </c>
      <c r="F2718" s="3" t="s">
        <v>11326</v>
      </c>
      <c r="G2718" s="3" t="str">
        <f ca="1">IFERROR(__xludf.DUMMYFUNCTION("googletranslate(D2718,""en"",""ja"")"),"ILC3サブ;生まれつきのLC3サブ。先天性リンパ球細胞タイプ 3 亜集団")</f>
        <v>ILC3サブ;生まれつきのLC3サブ。先天性リンパ球細胞タイプ 3 亜集団</v>
      </c>
      <c r="H2718" s="3" t="str">
        <f ca="1">IFERROR(__xludf.DUMMYFUNCTION("googletranslate(E2718,""en"",""ja"")"),"生物学的標本中の 3 型自然リンパ球細胞の部分集団の測定。")</f>
        <v>生物学的標本中の 3 型自然リンパ球細胞の部分集団の測定。</v>
      </c>
      <c r="I2718" s="3" t="str">
        <f ca="1">IFERROR(__xludf.DUMMYFUNCTION("googletranslate(F2718,""en"",""ja"")"),"3 型先天性リンパ系細胞部分集団の数")</f>
        <v>3 型先天性リンパ系細胞部分集団の数</v>
      </c>
    </row>
    <row r="2719" spans="1:9" ht="60">
      <c r="A2719" s="3" t="s">
        <v>103</v>
      </c>
      <c r="B2719" s="3" t="s">
        <v>11327</v>
      </c>
      <c r="C2719" s="3" t="s">
        <v>11328</v>
      </c>
      <c r="D2719" s="3" t="s">
        <v>11329</v>
      </c>
      <c r="E2719" s="3" t="s">
        <v>11330</v>
      </c>
      <c r="F2719" s="3" t="s">
        <v>11331</v>
      </c>
      <c r="G2719" s="3" t="str">
        <f ca="1">IFERROR(__xludf.DUMMYFUNCTION("googletranslate(D2719,""en"",""ja"")"),"ILC3 部分母集団/ILC;先天的LC3サブ/ILC;自然リンパ系細胞 3 型亜集団/自然リンパ系細胞")</f>
        <v>ILC3 部分母集団/ILC;先天的LC3サブ/ILC;自然リンパ系細胞 3 型亜集団/自然リンパ系細胞</v>
      </c>
      <c r="H2719" s="3" t="str">
        <f ca="1">IFERROR(__xludf.DUMMYFUNCTION("googletranslate(E2719,""en"",""ja"")"),"生物学的標本中の総自然リンパ球に対する 3 型自然リンパ球の部分集団の相対測定値 (比率またはパーセンテージ)。")</f>
        <v>生物学的標本中の総自然リンパ球に対する 3 型自然リンパ球の部分集団の相対測定値 (比率またはパーセンテージ)。</v>
      </c>
      <c r="I2719" s="3" t="str">
        <f ca="1">IFERROR(__xludf.DUMMYFUNCTION("googletranslate(F2719,""en"",""ja"")"),"タイプ 3 自然リンパ球細胞サブ集団と自然リンパ球細胞の比率の測定")</f>
        <v>タイプ 3 自然リンパ球細胞サブ集団と自然リンパ球細胞の比率の測定</v>
      </c>
    </row>
    <row r="2720" spans="1:9" ht="60">
      <c r="A2720" s="3" t="s">
        <v>103</v>
      </c>
      <c r="B2720" s="3" t="s">
        <v>11332</v>
      </c>
      <c r="C2720" s="3" t="s">
        <v>11333</v>
      </c>
      <c r="D2720" s="3" t="s">
        <v>11334</v>
      </c>
      <c r="E2720" s="3" t="s">
        <v>11335</v>
      </c>
      <c r="F2720" s="3" t="s">
        <v>11336</v>
      </c>
      <c r="G2720" s="3" t="str">
        <f ca="1">IFERROR(__xludf.DUMMYFUNCTION("googletranslate(D2720,""en"",""ja"")"),"ILC3 部分集団/白血球;生来のLC3サブ/ロイク。自然リンパ球細胞タイプ 3 亜集団/白血球")</f>
        <v>ILC3 部分集団/白血球;生来のLC3サブ/ロイク。自然リンパ球細胞タイプ 3 亜集団/白血球</v>
      </c>
      <c r="H2720" s="3" t="str">
        <f ca="1">IFERROR(__xludf.DUMMYFUNCTION("googletranslate(E2720,""en"",""ja"")"),"生物学的標本中の総白血球に対する 3 型自然リンパ球の部分集団の相対測定値 (比率またはパーセンテージ)。")</f>
        <v>生物学的標本中の総白血球に対する 3 型自然リンパ球の部分集団の相対測定値 (比率またはパーセンテージ)。</v>
      </c>
      <c r="I2720" s="3" t="str">
        <f ca="1">IFERROR(__xludf.DUMMYFUNCTION("googletranslate(F2720,""en"",""ja"")"),"3 型自然リンパ球亜集団と白血球の比率の測定")</f>
        <v>3 型自然リンパ球亜集団と白血球の比率の測定</v>
      </c>
    </row>
    <row r="2721" spans="1:9" ht="60">
      <c r="A2721" s="3" t="s">
        <v>103</v>
      </c>
      <c r="B2721" s="3" t="s">
        <v>11337</v>
      </c>
      <c r="C2721" s="3" t="s">
        <v>11338</v>
      </c>
      <c r="D2721" s="3" t="s">
        <v>11339</v>
      </c>
      <c r="E2721" s="3" t="s">
        <v>11340</v>
      </c>
      <c r="F2721" s="3" t="s">
        <v>11341</v>
      </c>
      <c r="G2721" s="3" t="str">
        <f ca="1">IFERROR(__xludf.DUMMYFUNCTION("googletranslate(D2721,""en"",""ja"")"),"ILC3 部分母集団/ILC3;先天的LC3サブ/ILC3;先天性リンパ系細胞 3 型サブ集団/先天性リンパ系細胞 3 型")</f>
        <v>ILC3 部分母集団/ILC3;先天的LC3サブ/ILC3;先天性リンパ系細胞 3 型サブ集団/先天性リンパ系細胞 3 型</v>
      </c>
      <c r="H2721" s="3" t="str">
        <f ca="1">IFERROR(__xludf.DUMMYFUNCTION("googletranslate(E2721,""en"",""ja"")"),"生物学的標本中の 3 型自然リンパ球の合計に対する 3 型自然リンパ球の部分集団の相対測定値 (比率またはパーセンテージ)。")</f>
        <v>生物学的標本中の 3 型自然リンパ球の合計に対する 3 型自然リンパ球の部分集団の相対測定値 (比率またはパーセンテージ)。</v>
      </c>
      <c r="I2721" s="3" t="str">
        <f ca="1">IFERROR(__xludf.DUMMYFUNCTION("googletranslate(F2721,""en"",""ja"")"),"3 型自然リンパ球細胞サブ集団と 3 型自然リンパ球細胞の比率の測定")</f>
        <v>3 型自然リンパ球細胞サブ集団と 3 型自然リンパ球細胞の比率の測定</v>
      </c>
    </row>
    <row r="2722" spans="1:9" ht="45">
      <c r="A2722" s="3" t="s">
        <v>103</v>
      </c>
      <c r="B2722" s="3" t="s">
        <v>11342</v>
      </c>
      <c r="C2722" s="3" t="s">
        <v>11343</v>
      </c>
      <c r="D2722" s="3" t="s">
        <v>11344</v>
      </c>
      <c r="E2722" s="3" t="s">
        <v>11345</v>
      </c>
      <c r="F2722" s="3" t="s">
        <v>11346</v>
      </c>
      <c r="G2722" s="3" t="str">
        <f ca="1">IFERROR(__xludf.DUMMYFUNCTION("googletranslate(D2722,""en"",""ja"")"),"ILC 部分母集団。生来のLCサブ;先天性リンパ系細胞サブ;先天性リンパ系細胞の部分集団")</f>
        <v>ILC 部分母集団。生来のLCサブ;先天性リンパ系細胞サブ;先天性リンパ系細胞の部分集団</v>
      </c>
      <c r="H2722" s="3" t="str">
        <f ca="1">IFERROR(__xludf.DUMMYFUNCTION("googletranslate(E2722,""en"",""ja"")"),"生物学的標本中の自然リンパ球細胞の部分集団の測定。")</f>
        <v>生物学的標本中の自然リンパ球細胞の部分集団の測定。</v>
      </c>
      <c r="I2722" s="3" t="str">
        <f ca="1">IFERROR(__xludf.DUMMYFUNCTION("googletranslate(F2722,""en"",""ja"")"),"先天性リンパ系細胞部分集団の数")</f>
        <v>先天性リンパ系細胞部分集団の数</v>
      </c>
    </row>
    <row r="2723" spans="1:9" ht="75">
      <c r="A2723" s="3" t="s">
        <v>103</v>
      </c>
      <c r="B2723" s="3" t="s">
        <v>11347</v>
      </c>
      <c r="C2723" s="3" t="s">
        <v>11348</v>
      </c>
      <c r="D2723" s="3" t="s">
        <v>11349</v>
      </c>
      <c r="E2723" s="3" t="s">
        <v>11350</v>
      </c>
      <c r="F2723" s="3" t="s">
        <v>11351</v>
      </c>
      <c r="G2723" s="3" t="str">
        <f ca="1">IFERROR(__xludf.DUMMYFUNCTION("googletranslate(D2723,""en"",""ja"")"),"ILC 部分母集団/ILC 部分母集団;生来の LC サブ/ILC サブ。自然リンパ球細胞サブ集団/自然リンパ球細胞サブ集団")</f>
        <v>ILC 部分母集団/ILC 部分母集団;生来の LC サブ/ILC サブ。自然リンパ球細胞サブ集団/自然リンパ球細胞サブ集団</v>
      </c>
      <c r="H2723" s="3" t="str">
        <f ca="1">IFERROR(__xludf.DUMMYFUNCTION("googletranslate(E2723,""en"",""ja"")"),"生物学的標本における自然リンパ球の部分集団に対する自然リンパ球の部分集団の相対的な測定値 (比率またはパーセンテージ)。")</f>
        <v>生物学的標本における自然リンパ球の部分集団に対する自然リンパ球の部分集団の相対的な測定値 (比率またはパーセンテージ)。</v>
      </c>
      <c r="I2723" s="3" t="str">
        <f ca="1">IFERROR(__xludf.DUMMYFUNCTION("googletranslate(F2723,""en"",""ja"")"),"自然リンパ系細胞亜集団と自然リンパ系細胞亜集団の比率の測定")</f>
        <v>自然リンパ系細胞亜集団と自然リンパ系細胞亜集団の比率の測定</v>
      </c>
    </row>
    <row r="2724" spans="1:9" ht="45">
      <c r="A2724" s="3" t="s">
        <v>103</v>
      </c>
      <c r="B2724" s="3" t="s">
        <v>11352</v>
      </c>
      <c r="C2724" s="3" t="s">
        <v>11353</v>
      </c>
      <c r="D2724" s="3" t="s">
        <v>11354</v>
      </c>
      <c r="E2724" s="3" t="s">
        <v>11355</v>
      </c>
      <c r="F2724" s="3" t="s">
        <v>11356</v>
      </c>
      <c r="G2724" s="3" t="str">
        <f ca="1">IFERROR(__xludf.DUMMYFUNCTION("googletranslate(D2724,""en"",""ja"")"),"ILC亜細胞/白血球;生まれつきのLCサブ/ロイク。自然リンパ球細胞サブ集団/白血球")</f>
        <v>ILC亜細胞/白血球;生まれつきのLCサブ/ロイク。自然リンパ球細胞サブ集団/白血球</v>
      </c>
      <c r="H2724" s="3" t="str">
        <f ca="1">IFERROR(__xludf.DUMMYFUNCTION("googletranslate(E2724,""en"",""ja"")"),"生物学的標本における白血球に対する自然リンパ球の部分集団の相対的な測定値 (比率またはパーセンテージ)。")</f>
        <v>生物学的標本における白血球に対する自然リンパ球の部分集団の相対的な測定値 (比率またはパーセンテージ)。</v>
      </c>
      <c r="I2724" s="3" t="str">
        <f ca="1">IFERROR(__xludf.DUMMYFUNCTION("googletranslate(F2724,""en"",""ja"")"),"自然リンパ球亜集団と白血球の比率の測定")</f>
        <v>自然リンパ球亜集団と白血球の比率の測定</v>
      </c>
    </row>
    <row r="2725" spans="1:9" ht="60">
      <c r="A2725" s="3" t="s">
        <v>103</v>
      </c>
      <c r="B2725" s="3" t="s">
        <v>11357</v>
      </c>
      <c r="C2725" s="3" t="s">
        <v>11358</v>
      </c>
      <c r="D2725" s="3" t="s">
        <v>11359</v>
      </c>
      <c r="E2725" s="3" t="s">
        <v>11360</v>
      </c>
      <c r="F2725" s="3" t="s">
        <v>11361</v>
      </c>
      <c r="G2725" s="3" t="str">
        <f ca="1">IFERROR(__xludf.DUMMYFUNCTION("googletranslate(D2725,""en"",""ja"")"),"ILC 部分母集団/ILC;生来の LC Sub/ILC;先天性 LC サブ/先天性 LC;自然リンパ系細胞の部分集団/自然リンパ系細胞")</f>
        <v>ILC 部分母集団/ILC;生来の LC Sub/ILC;先天性 LC サブ/先天性 LC;自然リンパ系細胞の部分集団/自然リンパ系細胞</v>
      </c>
      <c r="H2725" s="3" t="str">
        <f ca="1">IFERROR(__xludf.DUMMYFUNCTION("googletranslate(E2725,""en"",""ja"")"),"生物学的標本中の自然リンパ球の総数に対する自然リンパ球の部分集団の相対的な測定値 (比率またはパーセンテージ)。")</f>
        <v>生物学的標本中の自然リンパ球の総数に対する自然リンパ球の部分集団の相対的な測定値 (比率またはパーセンテージ)。</v>
      </c>
      <c r="I2725" s="3" t="str">
        <f ca="1">IFERROR(__xludf.DUMMYFUNCTION("googletranslate(F2725,""en"",""ja"")"),"自然リンパ系細胞サブ集団と自然リンパ系細胞の比率の測定")</f>
        <v>自然リンパ系細胞サブ集団と自然リンパ系細胞の比率の測定</v>
      </c>
    </row>
    <row r="2726" spans="1:9">
      <c r="A2726" s="3" t="s">
        <v>6</v>
      </c>
      <c r="B2726" s="3" t="s">
        <v>11362</v>
      </c>
      <c r="C2726" s="3" t="s">
        <v>11363</v>
      </c>
      <c r="D2726" s="3" t="s">
        <v>11363</v>
      </c>
      <c r="E2726" s="3" t="s">
        <v>11364</v>
      </c>
      <c r="F2726" s="3" t="s">
        <v>11365</v>
      </c>
      <c r="G2726" s="3" t="str">
        <f ca="1">IFERROR(__xludf.DUMMYFUNCTION("googletranslate(D2726,""en"",""ja"")"),"イソロイシン")</f>
        <v>イソロイシン</v>
      </c>
      <c r="H2726" s="3" t="str">
        <f ca="1">IFERROR(__xludf.DUMMYFUNCTION("googletranslate(E2726,""en"",""ja"")"),"生物学的標本中のイソロイシンの測定。")</f>
        <v>生物学的標本中のイソロイシンの測定。</v>
      </c>
      <c r="I2726" s="3" t="str">
        <f ca="1">IFERROR(__xludf.DUMMYFUNCTION("googletranslate(F2726,""en"",""ja"")"),"イソロイシン測定")</f>
        <v>イソロイシン測定</v>
      </c>
    </row>
    <row r="2727" spans="1:9">
      <c r="A2727" s="3" t="s">
        <v>6</v>
      </c>
      <c r="B2727" s="3" t="s">
        <v>11366</v>
      </c>
      <c r="C2727" s="3" t="s">
        <v>11367</v>
      </c>
      <c r="D2727" s="3" t="s">
        <v>11367</v>
      </c>
      <c r="E2727" s="3" t="s">
        <v>11368</v>
      </c>
      <c r="F2727" s="3" t="s">
        <v>11369</v>
      </c>
      <c r="G2727" s="3" t="str">
        <f ca="1">IFERROR(__xludf.DUMMYFUNCTION("googletranslate(D2727,""en"",""ja"")"),"イロペリドン")</f>
        <v>イロペリドン</v>
      </c>
      <c r="H2727" s="3" t="str">
        <f ca="1">IFERROR(__xludf.DUMMYFUNCTION("googletranslate(E2727,""en"",""ja"")"),"生物学的標本中のイロペリドンの測定。")</f>
        <v>生物学的標本中のイロペリドンの測定。</v>
      </c>
      <c r="I2727" s="3" t="str">
        <f ca="1">IFERROR(__xludf.DUMMYFUNCTION("googletranslate(F2727,""en"",""ja"")"),"イロペリドンの測定")</f>
        <v>イロペリドンの測定</v>
      </c>
    </row>
    <row r="2728" spans="1:9" ht="30">
      <c r="A2728" s="3" t="s">
        <v>1255</v>
      </c>
      <c r="B2728" s="3" t="s">
        <v>11370</v>
      </c>
      <c r="C2728" s="3" t="s">
        <v>11371</v>
      </c>
      <c r="D2728" s="3" t="s">
        <v>11371</v>
      </c>
      <c r="E2728" s="3" t="s">
        <v>11372</v>
      </c>
      <c r="F2728" s="3" t="s">
        <v>11371</v>
      </c>
      <c r="G2728" s="3" t="str">
        <f ca="1">IFERROR(__xludf.DUMMYFUNCTION("googletranslate(D2728,""en"",""ja"")"),"画像取得の次元")</f>
        <v>画像取得の次元</v>
      </c>
      <c r="H2728" s="3" t="str">
        <f ca="1">IFERROR(__xludf.DUMMYFUNCTION("googletranslate(E2728,""en"",""ja"")"),"取得された画像が表示される次元の数。")</f>
        <v>取得された画像が表示される次元の数。</v>
      </c>
      <c r="I2728" s="3" t="str">
        <f ca="1">IFERROR(__xludf.DUMMYFUNCTION("googletranslate(F2728,""en"",""ja"")"),"画像取得の次元")</f>
        <v>画像取得の次元</v>
      </c>
    </row>
    <row r="2729" spans="1:9">
      <c r="A2729" s="3" t="s">
        <v>6</v>
      </c>
      <c r="B2729" s="3" t="s">
        <v>11373</v>
      </c>
      <c r="C2729" s="3" t="s">
        <v>11374</v>
      </c>
      <c r="D2729" s="3" t="s">
        <v>11374</v>
      </c>
      <c r="E2729" s="3" t="s">
        <v>11375</v>
      </c>
      <c r="F2729" s="3" t="s">
        <v>11376</v>
      </c>
      <c r="G2729" s="3" t="str">
        <f ca="1">IFERROR(__xludf.DUMMYFUNCTION("googletranslate(D2729,""en"",""ja"")"),"イミプラミン")</f>
        <v>イミプラミン</v>
      </c>
      <c r="H2729" s="3" t="str">
        <f ca="1">IFERROR(__xludf.DUMMYFUNCTION("googletranslate(E2729,""en"",""ja"")"),"生物学的標本中のイミプラミンの測定。")</f>
        <v>生物学的標本中のイミプラミンの測定。</v>
      </c>
      <c r="I2729" s="3" t="str">
        <f ca="1">IFERROR(__xludf.DUMMYFUNCTION("googletranslate(F2729,""en"",""ja"")"),"イミプラミンの測定")</f>
        <v>イミプラミンの測定</v>
      </c>
    </row>
    <row r="2730" spans="1:9" ht="30">
      <c r="A2730" s="3" t="s">
        <v>6</v>
      </c>
      <c r="B2730" s="3" t="s">
        <v>11377</v>
      </c>
      <c r="C2730" s="3" t="s">
        <v>11378</v>
      </c>
      <c r="D2730" s="3" t="s">
        <v>11378</v>
      </c>
      <c r="E2730" s="3" t="s">
        <v>11379</v>
      </c>
      <c r="F2730" s="3" t="s">
        <v>11380</v>
      </c>
      <c r="G2730" s="3" t="str">
        <f ca="1">IFERROR(__xludf.DUMMYFUNCTION("googletranslate(D2730,""en"",""ja"")"),"免疫グロブリン")</f>
        <v>免疫グロブリン</v>
      </c>
      <c r="H2730" s="3" t="str">
        <f ca="1">IFERROR(__xludf.DUMMYFUNCTION("googletranslate(E2730,""en"",""ja"")"),"生物学的標本中の総免疫グロブリンの測定。")</f>
        <v>生物学的標本中の総免疫グロブリンの測定。</v>
      </c>
      <c r="I2730" s="3" t="str">
        <f ca="1">IFERROR(__xludf.DUMMYFUNCTION("googletranslate(F2730,""en"",""ja"")"),"免疫グロブリン測定")</f>
        <v>免疫グロブリン測定</v>
      </c>
    </row>
    <row r="2731" spans="1:9" ht="30">
      <c r="A2731" s="3" t="s">
        <v>6</v>
      </c>
      <c r="B2731" s="3" t="s">
        <v>11381</v>
      </c>
      <c r="C2731" s="3" t="s">
        <v>11382</v>
      </c>
      <c r="D2731" s="3" t="s">
        <v>11382</v>
      </c>
      <c r="E2731" s="3" t="s">
        <v>11383</v>
      </c>
      <c r="F2731" s="3" t="s">
        <v>11384</v>
      </c>
      <c r="G2731" s="3" t="str">
        <f ca="1">IFERROR(__xludf.DUMMYFUNCTION("googletranslate(D2731,""en"",""ja"")"),"免疫グロブリン軽鎖")</f>
        <v>免疫グロブリン軽鎖</v>
      </c>
      <c r="H2731" s="3" t="str">
        <f ca="1">IFERROR(__xludf.DUMMYFUNCTION("googletranslate(E2731,""en"",""ja"")"),"生物学的標本中の総免疫グロブリン (カッパおよびラムダ) 軽鎖の測定。")</f>
        <v>生物学的標本中の総免疫グロブリン (カッパおよびラムダ) 軽鎖の測定。</v>
      </c>
      <c r="I2731" s="3" t="str">
        <f ca="1">IFERROR(__xludf.DUMMYFUNCTION("googletranslate(F2731,""en"",""ja"")"),"免疫グロブリン軽鎖測定")</f>
        <v>免疫グロブリン軽鎖測定</v>
      </c>
    </row>
    <row r="2732" spans="1:9" ht="30">
      <c r="A2732" s="3" t="s">
        <v>6</v>
      </c>
      <c r="B2732" s="3" t="s">
        <v>11385</v>
      </c>
      <c r="C2732" s="3" t="s">
        <v>11386</v>
      </c>
      <c r="D2732" s="3" t="s">
        <v>11386</v>
      </c>
      <c r="E2732" s="3" t="s">
        <v>11387</v>
      </c>
      <c r="F2732" s="3" t="s">
        <v>11388</v>
      </c>
      <c r="G2732" s="3" t="str">
        <f ca="1">IFERROR(__xludf.DUMMYFUNCTION("googletranslate(D2732,""en"",""ja"")"),"免疫グロブリン軽鎖、無料")</f>
        <v>免疫グロブリン軽鎖、無料</v>
      </c>
      <c r="H2732" s="3" t="str">
        <f ca="1">IFERROR(__xludf.DUMMYFUNCTION("googletranslate(E2732,""en"",""ja"")"),"生物学的標本中の遊離免疫グロブリン (カッパおよびラムダ) 軽鎖の合計の測定。")</f>
        <v>生物学的標本中の遊離免疫グロブリン (カッパおよびラムダ) 軽鎖の合計の測定。</v>
      </c>
      <c r="I2732" s="3" t="str">
        <f ca="1">IFERROR(__xludf.DUMMYFUNCTION("googletranslate(F2732,""en"",""ja"")"),"無料の免疫グロブリン軽鎖測定")</f>
        <v>無料の免疫グロブリン軽鎖測定</v>
      </c>
    </row>
    <row r="2733" spans="1:9" ht="75">
      <c r="A2733" s="3" t="s">
        <v>1255</v>
      </c>
      <c r="B2733" s="3" t="s">
        <v>11389</v>
      </c>
      <c r="C2733" s="3" t="s">
        <v>11390</v>
      </c>
      <c r="D2733" s="3" t="s">
        <v>11390</v>
      </c>
      <c r="E2733" s="3" t="s">
        <v>11391</v>
      </c>
      <c r="F2733" s="3" t="s">
        <v>11390</v>
      </c>
      <c r="G2733" s="3" t="str">
        <f ca="1">IFERROR(__xludf.DUMMYFUNCTION("googletranslate(D2733,""en"",""ja"")"),"画像重み付けタイプ")</f>
        <v>画像重み付けタイプ</v>
      </c>
      <c r="H2733" s="3" t="str">
        <f ca="1">IFERROR(__xludf.DUMMYFUNCTION("googletranslate(E2733,""en"",""ja"")"),"磁気共鳴組織特性の違いに基づいて画像のコントラストを強調するために使用される技術の分類。これは、組織が平衡状態に戻った後のエコー時間または繰り返し時間を変更することで実現できます。")</f>
        <v>磁気共鳴組織特性の違いに基づいて画像のコントラストを強調するために使用される技術の分類。これは、組織が平衡状態に戻った後のエコー時間または繰り返し時間を変更することで実現できます。</v>
      </c>
      <c r="I2733" s="3" t="str">
        <f ca="1">IFERROR(__xludf.DUMMYFUNCTION("googletranslate(F2733,""en"",""ja"")"),"画像重み付けタイプ")</f>
        <v>画像重み付けタイプ</v>
      </c>
    </row>
    <row r="2734" spans="1:9" ht="30">
      <c r="A2734" s="3" t="s">
        <v>142</v>
      </c>
      <c r="B2734" s="3" t="s">
        <v>11392</v>
      </c>
      <c r="C2734" s="3" t="s">
        <v>11393</v>
      </c>
      <c r="D2734" s="3" t="s">
        <v>11393</v>
      </c>
      <c r="E2734" s="3" t="s">
        <v>11394</v>
      </c>
      <c r="F2734" s="3" t="s">
        <v>11393</v>
      </c>
      <c r="G2734" s="3" t="str">
        <f ca="1">IFERROR(__xludf.DUMMYFUNCTION("googletranslate(D2734,""en"",""ja"")"),"人工中絶指標")</f>
        <v>人工中絶指標</v>
      </c>
      <c r="H2734" s="3" t="str">
        <f ca="1">IFERROR(__xludf.DUMMYFUNCTION("googletranslate(E2734,""en"",""ja"")"),"女性被験者がこれまでに人工中絶手術を受けたことがあるかどうかに関する指標。")</f>
        <v>女性被験者がこれまでに人工中絶手術を受けたことがあるかどうかに関する指標。</v>
      </c>
      <c r="I2734" s="3" t="str">
        <f ca="1">IFERROR(__xludf.DUMMYFUNCTION("googletranslate(F2734,""en"",""ja"")"),"人工中絶指標")</f>
        <v>人工中絶指標</v>
      </c>
    </row>
    <row r="2735" spans="1:9" ht="30">
      <c r="A2735" s="3" t="s">
        <v>142</v>
      </c>
      <c r="B2735" s="3" t="s">
        <v>11395</v>
      </c>
      <c r="C2735" s="3" t="s">
        <v>11396</v>
      </c>
      <c r="D2735" s="3" t="s">
        <v>11396</v>
      </c>
      <c r="E2735" s="3" t="s">
        <v>11397</v>
      </c>
      <c r="F2735" s="3" t="s">
        <v>11396</v>
      </c>
      <c r="G2735" s="3" t="str">
        <f ca="1">IFERROR(__xludf.DUMMYFUNCTION("googletranslate(D2735,""en"",""ja"")"),"人工中絶の数")</f>
        <v>人工中絶の数</v>
      </c>
      <c r="H2735" s="3" t="str">
        <f ca="1">IFERROR(__xludf.DUMMYFUNCTION("googletranslate(E2735,""en"",""ja"")"),"女性被験者が経験した人工中絶の総数の測定値。")</f>
        <v>女性被験者が経験した人工中絶の総数の測定値。</v>
      </c>
      <c r="I2735" s="3" t="str">
        <f ca="1">IFERROR(__xludf.DUMMYFUNCTION("googletranslate(F2735,""en"",""ja"")"),"人工中絶の数")</f>
        <v>人工中絶の数</v>
      </c>
    </row>
    <row r="2736" spans="1:9" ht="30">
      <c r="A2736" s="3" t="s">
        <v>6</v>
      </c>
      <c r="B2736" s="3" t="s">
        <v>11398</v>
      </c>
      <c r="C2736" s="3" t="s">
        <v>11399</v>
      </c>
      <c r="D2736" s="3" t="s">
        <v>11399</v>
      </c>
      <c r="E2736" s="3" t="s">
        <v>11400</v>
      </c>
      <c r="F2736" s="3" t="s">
        <v>11401</v>
      </c>
      <c r="G2736" s="3" t="str">
        <f ca="1">IFERROR(__xludf.DUMMYFUNCTION("googletranslate(D2736,""en"",""ja"")"),"封入体")</f>
        <v>封入体</v>
      </c>
      <c r="H2736" s="3" t="str">
        <f ca="1">IFERROR(__xludf.DUMMYFUNCTION("googletranslate(E2736,""en"",""ja"")"),"生物学的標本中の封入体の測定。")</f>
        <v>生物学的標本中の封入体の測定。</v>
      </c>
      <c r="I2736" s="3" t="str">
        <f ca="1">IFERROR(__xludf.DUMMYFUNCTION("googletranslate(F2736,""en"",""ja"")"),"封入体の測定")</f>
        <v>封入体の測定</v>
      </c>
    </row>
    <row r="2737" spans="1:9" ht="30">
      <c r="A2737" s="3" t="s">
        <v>6</v>
      </c>
      <c r="B2737" s="3" t="s">
        <v>11402</v>
      </c>
      <c r="C2737" s="3" t="s">
        <v>11403</v>
      </c>
      <c r="D2737" s="3" t="s">
        <v>11403</v>
      </c>
      <c r="E2737" s="3" t="s">
        <v>11404</v>
      </c>
      <c r="F2737" s="3" t="s">
        <v>11405</v>
      </c>
      <c r="G2737" s="3" t="str">
        <f ca="1">IFERROR(__xludf.DUMMYFUNCTION("googletranslate(D2737,""en"",""ja"")"),"赤血球封入体")</f>
        <v>赤血球封入体</v>
      </c>
      <c r="H2737" s="3" t="str">
        <f ca="1">IFERROR(__xludf.DUMMYFUNCTION("googletranslate(E2737,""en"",""ja"")"),"生物学的標本中の赤血球封入体の測定。")</f>
        <v>生物学的標本中の赤血球封入体の測定。</v>
      </c>
      <c r="I2737" s="3" t="str">
        <f ca="1">IFERROR(__xludf.DUMMYFUNCTION("googletranslate(F2737,""en"",""ja"")"),"赤血球封入体測定")</f>
        <v>赤血球封入体測定</v>
      </c>
    </row>
    <row r="2738" spans="1:9" ht="30">
      <c r="A2738" s="3" t="s">
        <v>503</v>
      </c>
      <c r="B2738" s="3" t="s">
        <v>11406</v>
      </c>
      <c r="C2738" s="3" t="s">
        <v>11407</v>
      </c>
      <c r="D2738" s="3" t="s">
        <v>11407</v>
      </c>
      <c r="E2738" s="3" t="s">
        <v>11408</v>
      </c>
      <c r="F2738" s="3" t="s">
        <v>11407</v>
      </c>
      <c r="G2738" s="3" t="str">
        <f ca="1">IFERROR(__xludf.DUMMYFUNCTION("googletranslate(D2738,""en"",""ja"")"),"所得水準")</f>
        <v>所得水準</v>
      </c>
      <c r="H2738" s="3" t="str">
        <f ca="1">IFERROR(__xludf.DUMMYFUNCTION("googletranslate(E2738,""en"",""ja"")"),"収益または金銭的支援を測定するスケール上の位置を示します。")</f>
        <v>収益または金銭的支援を測定するスケール上の位置を示します。</v>
      </c>
      <c r="I2738" s="3" t="str">
        <f ca="1">IFERROR(__xludf.DUMMYFUNCTION("googletranslate(F2738,""en"",""ja"")"),"所得水準")</f>
        <v>所得水準</v>
      </c>
    </row>
    <row r="2739" spans="1:9" ht="60">
      <c r="A2739" s="3" t="s">
        <v>2904</v>
      </c>
      <c r="B2739" s="3" t="s">
        <v>11409</v>
      </c>
      <c r="C2739" s="3" t="s">
        <v>11410</v>
      </c>
      <c r="D2739" s="3" t="s">
        <v>11411</v>
      </c>
      <c r="E2739" s="3" t="s">
        <v>11412</v>
      </c>
      <c r="F2739" s="3" t="s">
        <v>11413</v>
      </c>
      <c r="G2739" s="3" t="str">
        <f ca="1">IFERROR(__xludf.DUMMYFUNCTION("googletranslate(D2739,""en"",""ja"")"),"使用上の適応；治験の疾患/状態の適応;治験の疾患/症状の適応症の説明")</f>
        <v>使用上の適応；治験の疾患/状態の適応;治験の疾患/症状の適応症の説明</v>
      </c>
      <c r="H2739" s="3" t="str">
        <f ca="1">IFERROR(__xludf.DUMMYFUNCTION("googletranslate(E2739,""en"",""ja"")"),"臨床試験が調査または対処することを目的とした状態、疾患、障害を物語的に表現したもの。")</f>
        <v>臨床試験が調査または対処することを目的とした状態、疾患、障害を物語的に表現したもの。</v>
      </c>
      <c r="I2739" s="3" t="str">
        <f ca="1">IFERROR(__xludf.DUMMYFUNCTION("googletranslate(F2739,""en"",""ja"")"),"治験の適応")</f>
        <v>治験の適応</v>
      </c>
    </row>
    <row r="2740" spans="1:9" ht="30">
      <c r="A2740" s="3" t="s">
        <v>6</v>
      </c>
      <c r="B2740" s="3" t="s">
        <v>11414</v>
      </c>
      <c r="C2740" s="3" t="s">
        <v>11415</v>
      </c>
      <c r="D2740" s="3" t="s">
        <v>11415</v>
      </c>
      <c r="E2740" s="3" t="s">
        <v>11416</v>
      </c>
      <c r="F2740" s="3" t="s">
        <v>11417</v>
      </c>
      <c r="G2740" s="3" t="str">
        <f ca="1">IFERROR(__xludf.DUMMYFUNCTION("googletranslate(D2740,""en"",""ja"")"),"インディアン")</f>
        <v>インディアン</v>
      </c>
      <c r="H2740" s="3" t="str">
        <f ca="1">IFERROR(__xludf.DUMMYFUNCTION("googletranslate(E2740,""en"",""ja"")"),"生物学的標本中に存在するインジカンの測定。")</f>
        <v>生物学的標本中に存在するインジカンの測定。</v>
      </c>
      <c r="I2740" s="3" t="str">
        <f ca="1">IFERROR(__xludf.DUMMYFUNCTION("googletranslate(F2740,""en"",""ja"")"),"インディカン測定")</f>
        <v>インディカン測定</v>
      </c>
    </row>
    <row r="2741" spans="1:9" ht="45">
      <c r="A2741" s="3" t="s">
        <v>1255</v>
      </c>
      <c r="B2741" s="3" t="s">
        <v>11418</v>
      </c>
      <c r="C2741" s="3" t="s">
        <v>11419</v>
      </c>
      <c r="D2741" s="3" t="s">
        <v>11419</v>
      </c>
      <c r="E2741" s="3" t="s">
        <v>11420</v>
      </c>
      <c r="F2741" s="3" t="s">
        <v>11419</v>
      </c>
      <c r="G2741" s="3" t="str">
        <f ca="1">IFERROR(__xludf.DUMMYFUNCTION("googletranslate(D2741,""en"",""ja"")"),"インスリン投与自動化モード")</f>
        <v>インスリン投与自動化モード</v>
      </c>
      <c r="H2741" s="3" t="str">
        <f ca="1">IFERROR(__xludf.DUMMYFUNCTION("googletranslate(E2741,""en"",""ja"")"),"対象者の血糖値に応じて、自動的または手動で対象者にインスリンを投与できるようにするデバイスの設定。 (NCI)")</f>
        <v>対象者の血糖値に応じて、自動的または手動で対象者にインスリンを投与できるようにするデバイスの設定。 (NCI)</v>
      </c>
      <c r="I2741" s="3" t="str">
        <f ca="1">IFERROR(__xludf.DUMMYFUNCTION("googletranslate(F2741,""en"",""ja"")"),"インスリン投与自動化モード")</f>
        <v>インスリン投与自動化モード</v>
      </c>
    </row>
    <row r="2742" spans="1:9" ht="30">
      <c r="A2742" s="3" t="s">
        <v>490</v>
      </c>
      <c r="B2742" s="3" t="s">
        <v>11421</v>
      </c>
      <c r="C2742" s="3" t="s">
        <v>11422</v>
      </c>
      <c r="D2742" s="3" t="s">
        <v>11422</v>
      </c>
      <c r="E2742" s="3" t="s">
        <v>11423</v>
      </c>
      <c r="F2742" s="3" t="s">
        <v>11424</v>
      </c>
      <c r="G2742" s="3" t="str">
        <f ca="1">IFERROR(__xludf.DUMMYFUNCTION("googletranslate(D2742,""en"",""ja"")"),"イナータンス")</f>
        <v>イナータンス</v>
      </c>
      <c r="H2742" s="3" t="str">
        <f ca="1">IFERROR(__xludf.DUMMYFUNCTION("googletranslate(E2742,""en"",""ja"")"),"伝導気道内の空気柱の力の尺度。")</f>
        <v>伝導気道内の空気柱の力の尺度。</v>
      </c>
      <c r="I2742" s="3" t="str">
        <f ca="1">IFERROR(__xludf.DUMMYFUNCTION("googletranslate(F2742,""en"",""ja"")"),"肺慣性")</f>
        <v>肺慣性</v>
      </c>
    </row>
    <row r="2743" spans="1:9" ht="30">
      <c r="A2743" s="3" t="s">
        <v>67</v>
      </c>
      <c r="B2743" s="3" t="s">
        <v>11425</v>
      </c>
      <c r="C2743" s="3" t="s">
        <v>11426</v>
      </c>
      <c r="D2743" s="3" t="s">
        <v>11426</v>
      </c>
      <c r="E2743" s="3" t="s">
        <v>11427</v>
      </c>
      <c r="F2743" s="3" t="s">
        <v>11428</v>
      </c>
      <c r="G2743" s="3" t="str">
        <f ca="1">IFERROR(__xludf.DUMMYFUNCTION("googletranslate(D2743,""en"",""ja"")"),"インフルエンザAウイルス")</f>
        <v>インフルエンザAウイルス</v>
      </c>
      <c r="H2743" s="3" t="str">
        <f ca="1">IFERROR(__xludf.DUMMYFUNCTION("googletranslate(E2743,""en"",""ja"")"),"生物学的検体であるインフルエンザ A ウイルスの測定。")</f>
        <v>生物学的検体であるインフルエンザ A ウイルスの測定。</v>
      </c>
      <c r="I2743" s="3" t="str">
        <f ca="1">IFERROR(__xludf.DUMMYFUNCTION("googletranslate(F2743,""en"",""ja"")"),"インフルエンザA型ウイルスの測定")</f>
        <v>インフルエンザA型ウイルスの測定</v>
      </c>
    </row>
    <row r="2744" spans="1:9" ht="30">
      <c r="A2744" s="3" t="s">
        <v>67</v>
      </c>
      <c r="B2744" s="3" t="s">
        <v>11429</v>
      </c>
      <c r="C2744" s="3" t="s">
        <v>11430</v>
      </c>
      <c r="D2744" s="3" t="s">
        <v>11430</v>
      </c>
      <c r="E2744" s="3" t="s">
        <v>11431</v>
      </c>
      <c r="F2744" s="3" t="s">
        <v>11432</v>
      </c>
      <c r="G2744" s="3" t="str">
        <f ca="1">IFERROR(__xludf.DUMMYFUNCTION("googletranslate(D2744,""en"",""ja"")"),"インフルエンザA抗原")</f>
        <v>インフルエンザA抗原</v>
      </c>
      <c r="H2744" s="3" t="str">
        <f ca="1">IFERROR(__xludf.DUMMYFUNCTION("googletranslate(E2744,""en"",""ja"")"),"生物学的標本中のインフルエンザ A 抗原の測定。")</f>
        <v>生物学的標本中のインフルエンザ A 抗原の測定。</v>
      </c>
      <c r="I2744" s="3" t="str">
        <f ca="1">IFERROR(__xludf.DUMMYFUNCTION("googletranslate(F2744,""en"",""ja"")"),"インフルエンザA抗原測定")</f>
        <v>インフルエンザA抗原測定</v>
      </c>
    </row>
    <row r="2745" spans="1:9" ht="30">
      <c r="A2745" s="3" t="s">
        <v>67</v>
      </c>
      <c r="B2745" s="3" t="s">
        <v>11433</v>
      </c>
      <c r="C2745" s="3" t="s">
        <v>11434</v>
      </c>
      <c r="D2745" s="3" t="s">
        <v>11434</v>
      </c>
      <c r="E2745" s="3" t="s">
        <v>11435</v>
      </c>
      <c r="F2745" s="3" t="s">
        <v>11436</v>
      </c>
      <c r="G2745" s="3" t="str">
        <f ca="1">IFERROR(__xludf.DUMMYFUNCTION("googletranslate(D2745,""en"",""ja"")"),"インフルエンザA/Bウイルス")</f>
        <v>インフルエンザA/Bウイルス</v>
      </c>
      <c r="H2745" s="3" t="str">
        <f ca="1">IFERROR(__xludf.DUMMYFUNCTION("googletranslate(E2745,""en"",""ja"")"),"生物学的検体中のインフルエンザ A ウイルスおよび/または B ウイルスの測定。")</f>
        <v>生物学的検体中のインフルエンザ A ウイルスおよび/または B ウイルスの測定。</v>
      </c>
      <c r="I2745" s="3" t="str">
        <f ca="1">IFERROR(__xludf.DUMMYFUNCTION("googletranslate(F2745,""en"",""ja"")"),"インフルエンザA/Bウイルス測定")</f>
        <v>インフルエンザA/Bウイルス測定</v>
      </c>
    </row>
    <row r="2746" spans="1:9" ht="30">
      <c r="A2746" s="3" t="s">
        <v>67</v>
      </c>
      <c r="B2746" s="3" t="s">
        <v>11437</v>
      </c>
      <c r="C2746" s="3" t="s">
        <v>11438</v>
      </c>
      <c r="D2746" s="3" t="s">
        <v>11438</v>
      </c>
      <c r="E2746" s="3" t="s">
        <v>11439</v>
      </c>
      <c r="F2746" s="3" t="s">
        <v>11440</v>
      </c>
      <c r="G2746" s="3" t="str">
        <f ca="1">IFERROR(__xludf.DUMMYFUNCTION("googletranslate(D2746,""en"",""ja"")"),"インフルエンザA/B抗原")</f>
        <v>インフルエンザA/B抗原</v>
      </c>
      <c r="H2746" s="3" t="str">
        <f ca="1">IFERROR(__xludf.DUMMYFUNCTION("googletranslate(E2746,""en"",""ja"")"),"生物学的検体中のインフルエンザ A 抗原および/または B 抗原の測定。")</f>
        <v>生物学的検体中のインフルエンザ A 抗原および/または B 抗原の測定。</v>
      </c>
      <c r="I2746" s="3" t="str">
        <f ca="1">IFERROR(__xludf.DUMMYFUNCTION("googletranslate(F2746,""en"",""ja"")"),"インフルエンザA/B抗原測定")</f>
        <v>インフルエンザA/B抗原測定</v>
      </c>
    </row>
    <row r="2747" spans="1:9" ht="30">
      <c r="A2747" s="3" t="s">
        <v>67</v>
      </c>
      <c r="B2747" s="3" t="s">
        <v>11441</v>
      </c>
      <c r="C2747" s="3" t="s">
        <v>11442</v>
      </c>
      <c r="D2747" s="3" t="s">
        <v>11442</v>
      </c>
      <c r="E2747" s="3" t="s">
        <v>11443</v>
      </c>
      <c r="F2747" s="3" t="s">
        <v>11444</v>
      </c>
      <c r="G2747" s="3" t="str">
        <f ca="1">IFERROR(__xludf.DUMMYFUNCTION("googletranslate(D2747,""en"",""ja"")"),"インフルエンザA/B RNA")</f>
        <v>インフルエンザA/B RNA</v>
      </c>
      <c r="H2747" s="3" t="str">
        <f ca="1">IFERROR(__xludf.DUMMYFUNCTION("googletranslate(E2747,""en"",""ja"")"),"生物学的検体中のインフルエンザ A および/または B RNA の測定。")</f>
        <v>生物学的検体中のインフルエンザ A および/または B RNA の測定。</v>
      </c>
      <c r="I2747" s="3" t="str">
        <f ca="1">IFERROR(__xludf.DUMMYFUNCTION("googletranslate(F2747,""en"",""ja"")"),"インフルエンザ A および/または B の RNA 測定")</f>
        <v>インフルエンザ A および/または B の RNA 測定</v>
      </c>
    </row>
    <row r="2748" spans="1:9" ht="30">
      <c r="A2748" s="3" t="s">
        <v>67</v>
      </c>
      <c r="B2748" s="3" t="s">
        <v>11445</v>
      </c>
      <c r="C2748" s="3" t="s">
        <v>11446</v>
      </c>
      <c r="D2748" s="3" t="s">
        <v>11446</v>
      </c>
      <c r="E2748" s="3" t="s">
        <v>11447</v>
      </c>
      <c r="F2748" s="3" t="s">
        <v>11448</v>
      </c>
      <c r="G2748" s="3" t="str">
        <f ca="1">IFERROR(__xludf.DUMMYFUNCTION("googletranslate(D2748,""en"",""ja"")"),"インフルエンザ A H1 核酸")</f>
        <v>インフルエンザ A H1 核酸</v>
      </c>
      <c r="H2748" s="3" t="str">
        <f ca="1">IFERROR(__xludf.DUMMYFUNCTION("googletranslate(E2748,""en"",""ja"")"),"生物学的検体中の A 型インフルエンザ ウイルス サブタイプのヘマグルチニン (HA) 1 核酸の測定。")</f>
        <v>生物学的検体中の A 型インフルエンザ ウイルス サブタイプのヘマグルチニン (HA) 1 核酸の測定。</v>
      </c>
      <c r="I2748" s="3" t="str">
        <f ca="1">IFERROR(__xludf.DUMMYFUNCTION("googletranslate(F2748,""en"",""ja"")"),"インフルエンザ A H1 核酸測定")</f>
        <v>インフルエンザ A H1 核酸測定</v>
      </c>
    </row>
    <row r="2749" spans="1:9" ht="30">
      <c r="A2749" s="3" t="s">
        <v>67</v>
      </c>
      <c r="B2749" s="3" t="s">
        <v>11449</v>
      </c>
      <c r="C2749" s="3" t="s">
        <v>11450</v>
      </c>
      <c r="D2749" s="3" t="s">
        <v>11450</v>
      </c>
      <c r="E2749" s="3" t="s">
        <v>11451</v>
      </c>
      <c r="F2749" s="3" t="s">
        <v>11452</v>
      </c>
      <c r="G2749" s="3" t="str">
        <f ca="1">IFERROR(__xludf.DUMMYFUNCTION("googletranslate(D2749,""en"",""ja"")"),"インフルエンザ A H1 RNA")</f>
        <v>インフルエンザ A H1 RNA</v>
      </c>
      <c r="H2749" s="3" t="str">
        <f ca="1">IFERROR(__xludf.DUMMYFUNCTION("googletranslate(E2749,""en"",""ja"")"),"生物学的検体中の A 型インフルエンザウイルスのサブタイプヘマグルチニン (HA) 1 RNA の測定。")</f>
        <v>生物学的検体中の A 型インフルエンザウイルスのサブタイプヘマグルチニン (HA) 1 RNA の測定。</v>
      </c>
      <c r="I2749" s="3" t="str">
        <f ca="1">IFERROR(__xludf.DUMMYFUNCTION("googletranslate(F2749,""en"",""ja"")"),"インフルエンザ A H1 RNA 測定")</f>
        <v>インフルエンザ A H1 RNA 測定</v>
      </c>
    </row>
    <row r="2750" spans="1:9" ht="30">
      <c r="A2750" s="3" t="s">
        <v>67</v>
      </c>
      <c r="B2750" s="3" t="s">
        <v>11453</v>
      </c>
      <c r="C2750" s="3" t="s">
        <v>11454</v>
      </c>
      <c r="D2750" s="3" t="s">
        <v>11454</v>
      </c>
      <c r="E2750" s="3" t="s">
        <v>11455</v>
      </c>
      <c r="F2750" s="3" t="s">
        <v>11456</v>
      </c>
      <c r="G2750" s="3" t="str">
        <f ca="1">IFERROR(__xludf.DUMMYFUNCTION("googletranslate(D2750,""en"",""ja"")"),"インフルエンザ A H3 核酸")</f>
        <v>インフルエンザ A H3 核酸</v>
      </c>
      <c r="H2750" s="3" t="str">
        <f ca="1">IFERROR(__xludf.DUMMYFUNCTION("googletranslate(E2750,""en"",""ja"")"),"生物学的検体中の A 型インフルエンザ ウイルス サブタイプのヘマグルチニン (HA) 3 核酸の測定。")</f>
        <v>生物学的検体中の A 型インフルエンザ ウイルス サブタイプのヘマグルチニン (HA) 3 核酸の測定。</v>
      </c>
      <c r="I2750" s="3" t="str">
        <f ca="1">IFERROR(__xludf.DUMMYFUNCTION("googletranslate(F2750,""en"",""ja"")"),"インフルエンザA型H3核酸測定")</f>
        <v>インフルエンザA型H3核酸測定</v>
      </c>
    </row>
    <row r="2751" spans="1:9" ht="30">
      <c r="A2751" s="3" t="s">
        <v>67</v>
      </c>
      <c r="B2751" s="3" t="s">
        <v>11457</v>
      </c>
      <c r="C2751" s="3" t="s">
        <v>11458</v>
      </c>
      <c r="D2751" s="3" t="s">
        <v>11458</v>
      </c>
      <c r="E2751" s="3" t="s">
        <v>11459</v>
      </c>
      <c r="F2751" s="3" t="s">
        <v>11460</v>
      </c>
      <c r="G2751" s="3" t="str">
        <f ca="1">IFERROR(__xludf.DUMMYFUNCTION("googletranslate(D2751,""en"",""ja"")"),"インフルエンザ A H3 RNA")</f>
        <v>インフルエンザ A H3 RNA</v>
      </c>
      <c r="H2751" s="3" t="str">
        <f ca="1">IFERROR(__xludf.DUMMYFUNCTION("googletranslate(E2751,""en"",""ja"")"),"生物学的検体中の A 型インフルエンザウイルスのサブタイプヘマグルチニン (HA) 3 RNA の測定。")</f>
        <v>生物学的検体中の A 型インフルエンザウイルスのサブタイプヘマグルチニン (HA) 3 RNA の測定。</v>
      </c>
      <c r="I2751" s="3" t="str">
        <f ca="1">IFERROR(__xludf.DUMMYFUNCTION("googletranslate(F2751,""en"",""ja"")"),"インフルエンザA型H3 RNA測定")</f>
        <v>インフルエンザA型H3 RNA測定</v>
      </c>
    </row>
    <row r="2752" spans="1:9" ht="30">
      <c r="A2752" s="3" t="s">
        <v>67</v>
      </c>
      <c r="B2752" s="3" t="s">
        <v>11461</v>
      </c>
      <c r="C2752" s="3" t="s">
        <v>11462</v>
      </c>
      <c r="D2752" s="3" t="s">
        <v>11462</v>
      </c>
      <c r="E2752" s="3" t="s">
        <v>11463</v>
      </c>
      <c r="F2752" s="3" t="s">
        <v>11464</v>
      </c>
      <c r="G2752" s="3" t="str">
        <f ca="1">IFERROR(__xludf.DUMMYFUNCTION("googletranslate(D2752,""en"",""ja"")"),"インフルエンザA型核酸")</f>
        <v>インフルエンザA型核酸</v>
      </c>
      <c r="H2752" s="3" t="str">
        <f ca="1">IFERROR(__xludf.DUMMYFUNCTION("googletranslate(E2752,""en"",""ja"")"),"生物学的検体中の A 型インフルエンザウイルスの核酸の測定。")</f>
        <v>生物学的検体中の A 型インフルエンザウイルスの核酸の測定。</v>
      </c>
      <c r="I2752" s="3" t="str">
        <f ca="1">IFERROR(__xludf.DUMMYFUNCTION("googletranslate(F2752,""en"",""ja"")"),"インフルエンザA型核酸測定")</f>
        <v>インフルエンザA型核酸測定</v>
      </c>
    </row>
    <row r="2753" spans="1:9" ht="30">
      <c r="A2753" s="3" t="s">
        <v>67</v>
      </c>
      <c r="B2753" s="3" t="s">
        <v>11465</v>
      </c>
      <c r="C2753" s="3" t="s">
        <v>11466</v>
      </c>
      <c r="D2753" s="3" t="s">
        <v>11466</v>
      </c>
      <c r="E2753" s="3" t="s">
        <v>11467</v>
      </c>
      <c r="F2753" s="3" t="s">
        <v>11468</v>
      </c>
      <c r="G2753" s="3" t="str">
        <f ca="1">IFERROR(__xludf.DUMMYFUNCTION("googletranslate(D2753,""en"",""ja"")"),"インフルエンザA RNA")</f>
        <v>インフルエンザA RNA</v>
      </c>
      <c r="H2753" s="3" t="str">
        <f ca="1">IFERROR(__xludf.DUMMYFUNCTION("googletranslate(E2753,""en"",""ja"")"),"生物学的検体中の A 型インフルエンザウイルス RNA の測定。")</f>
        <v>生物学的検体中の A 型インフルエンザウイルス RNA の測定。</v>
      </c>
      <c r="I2753" s="3" t="str">
        <f ca="1">IFERROR(__xludf.DUMMYFUNCTION("googletranslate(F2753,""en"",""ja"")"),"インフルエンザA型RNA測定")</f>
        <v>インフルエンザA型RNA測定</v>
      </c>
    </row>
    <row r="2754" spans="1:9" ht="30">
      <c r="A2754" s="3" t="s">
        <v>67</v>
      </c>
      <c r="B2754" s="3" t="s">
        <v>11469</v>
      </c>
      <c r="C2754" s="3" t="s">
        <v>11470</v>
      </c>
      <c r="D2754" s="3" t="s">
        <v>11470</v>
      </c>
      <c r="E2754" s="3" t="s">
        <v>11471</v>
      </c>
      <c r="F2754" s="3" t="s">
        <v>11472</v>
      </c>
      <c r="G2754" s="3" t="str">
        <f ca="1">IFERROR(__xludf.DUMMYFUNCTION("googletranslate(D2754,""en"",""ja"")"),"インフルエンザ B ウイルス")</f>
        <v>インフルエンザ B ウイルス</v>
      </c>
      <c r="H2754" s="3" t="str">
        <f ca="1">IFERROR(__xludf.DUMMYFUNCTION("googletranslate(E2754,""en"",""ja"")"),"生物学的検体であるインフルエンザ B ウイルスの測定。")</f>
        <v>生物学的検体であるインフルエンザ B ウイルスの測定。</v>
      </c>
      <c r="I2754" s="3" t="str">
        <f ca="1">IFERROR(__xludf.DUMMYFUNCTION("googletranslate(F2754,""en"",""ja"")"),"B型インフルエンザウイルス測定")</f>
        <v>B型インフルエンザウイルス測定</v>
      </c>
    </row>
    <row r="2755" spans="1:9" ht="30">
      <c r="A2755" s="3" t="s">
        <v>67</v>
      </c>
      <c r="B2755" s="3" t="s">
        <v>11473</v>
      </c>
      <c r="C2755" s="3" t="s">
        <v>11474</v>
      </c>
      <c r="D2755" s="3" t="s">
        <v>11474</v>
      </c>
      <c r="E2755" s="3" t="s">
        <v>11475</v>
      </c>
      <c r="F2755" s="3" t="s">
        <v>11476</v>
      </c>
      <c r="G2755" s="3" t="str">
        <f ca="1">IFERROR(__xludf.DUMMYFUNCTION("googletranslate(D2755,""en"",""ja"")"),"インフルエンザ B 抗原")</f>
        <v>インフルエンザ B 抗原</v>
      </c>
      <c r="H2755" s="3" t="str">
        <f ca="1">IFERROR(__xludf.DUMMYFUNCTION("googletranslate(E2755,""en"",""ja"")"),"生物学的標本中のインフルエンザ B 抗原の測定。")</f>
        <v>生物学的標本中のインフルエンザ B 抗原の測定。</v>
      </c>
      <c r="I2755" s="3" t="str">
        <f ca="1">IFERROR(__xludf.DUMMYFUNCTION("googletranslate(F2755,""en"",""ja"")"),"B型インフルエンザ抗原測定")</f>
        <v>B型インフルエンザ抗原測定</v>
      </c>
    </row>
    <row r="2756" spans="1:9" ht="30">
      <c r="A2756" s="3" t="s">
        <v>67</v>
      </c>
      <c r="B2756" s="3" t="s">
        <v>11477</v>
      </c>
      <c r="C2756" s="3" t="s">
        <v>11478</v>
      </c>
      <c r="D2756" s="3" t="s">
        <v>11478</v>
      </c>
      <c r="E2756" s="3" t="s">
        <v>11479</v>
      </c>
      <c r="F2756" s="3" t="s">
        <v>11480</v>
      </c>
      <c r="G2756" s="3" t="str">
        <f ca="1">IFERROR(__xludf.DUMMYFUNCTION("googletranslate(D2756,""en"",""ja"")"),"インフルエンザ B 核酸")</f>
        <v>インフルエンザ B 核酸</v>
      </c>
      <c r="H2756" s="3" t="str">
        <f ca="1">IFERROR(__xludf.DUMMYFUNCTION("googletranslate(E2756,""en"",""ja"")"),"生物学的検体中の B 型インフルエンザウイルスの核酸の測定。")</f>
        <v>生物学的検体中の B 型インフルエンザウイルスの核酸の測定。</v>
      </c>
      <c r="I2756" s="3" t="str">
        <f ca="1">IFERROR(__xludf.DUMMYFUNCTION("googletranslate(F2756,""en"",""ja"")"),"インフルエンザB型核酸測定")</f>
        <v>インフルエンザB型核酸測定</v>
      </c>
    </row>
    <row r="2757" spans="1:9" ht="30">
      <c r="A2757" s="3" t="s">
        <v>67</v>
      </c>
      <c r="B2757" s="3" t="s">
        <v>11481</v>
      </c>
      <c r="C2757" s="3" t="s">
        <v>11482</v>
      </c>
      <c r="D2757" s="3" t="s">
        <v>11482</v>
      </c>
      <c r="E2757" s="3" t="s">
        <v>11483</v>
      </c>
      <c r="F2757" s="3" t="s">
        <v>11484</v>
      </c>
      <c r="G2757" s="3" t="str">
        <f ca="1">IFERROR(__xludf.DUMMYFUNCTION("googletranslate(D2757,""en"",""ja"")"),"インフルエンザB型RNA")</f>
        <v>インフルエンザB型RNA</v>
      </c>
      <c r="H2757" s="3" t="str">
        <f ca="1">IFERROR(__xludf.DUMMYFUNCTION("googletranslate(E2757,""en"",""ja"")"),"生物学的標本中のインフルエンザ B ウイルス RNA の測定。")</f>
        <v>生物学的標本中のインフルエンザ B ウイルス RNA の測定。</v>
      </c>
      <c r="I2757" s="3" t="str">
        <f ca="1">IFERROR(__xludf.DUMMYFUNCTION("googletranslate(F2757,""en"",""ja"")"),"インフルエンザB型RNA測定")</f>
        <v>インフルエンザB型RNA測定</v>
      </c>
    </row>
    <row r="2758" spans="1:9">
      <c r="A2758" s="3" t="s">
        <v>490</v>
      </c>
      <c r="B2758" s="3" t="s">
        <v>11485</v>
      </c>
      <c r="C2758" s="3" t="s">
        <v>11486</v>
      </c>
      <c r="D2758" s="3" t="s">
        <v>11486</v>
      </c>
      <c r="E2758" s="3" t="s">
        <v>11487</v>
      </c>
      <c r="F2758" s="3" t="s">
        <v>11486</v>
      </c>
      <c r="G2758" s="3" t="str">
        <f ca="1">IFERROR(__xludf.DUMMYFUNCTION("googletranslate(D2758,""en"",""ja"")"),"浸透インジケーター")</f>
        <v>浸透インジケーター</v>
      </c>
      <c r="H2758" s="3" t="str">
        <f ca="1">IFERROR(__xludf.DUMMYFUNCTION("googletranslate(E2758,""en"",""ja"")"),"浸潤が発生したかどうかを示す指標。")</f>
        <v>浸潤が発生したかどうかを示す指標。</v>
      </c>
      <c r="I2758" s="3" t="str">
        <f ca="1">IFERROR(__xludf.DUMMYFUNCTION("googletranslate(F2758,""en"",""ja"")"),"浸透インジケーター")</f>
        <v>浸透インジケーター</v>
      </c>
    </row>
    <row r="2759" spans="1:9" ht="30">
      <c r="A2759" s="3" t="s">
        <v>8558</v>
      </c>
      <c r="B2759" s="3" t="s">
        <v>11488</v>
      </c>
      <c r="C2759" s="3" t="s">
        <v>11489</v>
      </c>
      <c r="D2759" s="3" t="s">
        <v>11489</v>
      </c>
      <c r="E2759" s="3" t="s">
        <v>11490</v>
      </c>
      <c r="F2759" s="3" t="s">
        <v>11489</v>
      </c>
      <c r="G2759" s="3" t="str">
        <f ca="1">IFERROR(__xludf.DUMMYFUNCTION("googletranslate(D2759,""en"",""ja"")"),"生存状況の情報源")</f>
        <v>生存状況の情報源</v>
      </c>
      <c r="H2759" s="3" t="str">
        <f ca="1">IFERROR(__xludf.DUMMYFUNCTION("googletranslate(E2759,""en"",""ja"")"),"生存状況に関する情報を提供した人物または信頼できる情報源。")</f>
        <v>生存状況に関する情報を提供した人物または信頼できる情報源。</v>
      </c>
      <c r="I2759" s="3" t="str">
        <f ca="1">IFERROR(__xludf.DUMMYFUNCTION("googletranslate(F2759,""en"",""ja"")"),"生存状況の情報源")</f>
        <v>生存状況の情報源</v>
      </c>
    </row>
    <row r="2760" spans="1:9" ht="30">
      <c r="A2760" s="3" t="s">
        <v>142</v>
      </c>
      <c r="B2760" s="3" t="s">
        <v>11491</v>
      </c>
      <c r="C2760" s="3" t="s">
        <v>11492</v>
      </c>
      <c r="D2760" s="3" t="s">
        <v>11492</v>
      </c>
      <c r="E2760" s="3" t="s">
        <v>11493</v>
      </c>
      <c r="F2760" s="3" t="s">
        <v>11492</v>
      </c>
      <c r="G2760" s="3" t="str">
        <f ca="1">IFERROR(__xludf.DUMMYFUNCTION("googletranslate(D2760,""en"",""ja"")"),"不妊症指標")</f>
        <v>不妊症指標</v>
      </c>
      <c r="H2760" s="3" t="str">
        <f ca="1">IFERROR(__xludf.DUMMYFUNCTION("googletranslate(E2760,""en"",""ja"")"),"個人が不妊症を経験したかどうかを示す指標。")</f>
        <v>個人が不妊症を経験したかどうかを示す指標。</v>
      </c>
      <c r="I2760" s="3" t="str">
        <f ca="1">IFERROR(__xludf.DUMMYFUNCTION("googletranslate(F2760,""en"",""ja"")"),"不妊症指標")</f>
        <v>不妊症指標</v>
      </c>
    </row>
    <row r="2761" spans="1:9" ht="30">
      <c r="A2761" s="3" t="s">
        <v>51</v>
      </c>
      <c r="B2761" s="3" t="s">
        <v>11494</v>
      </c>
      <c r="C2761" s="3" t="s">
        <v>11495</v>
      </c>
      <c r="D2761" s="3" t="s">
        <v>11495</v>
      </c>
      <c r="E2761" s="3" t="s">
        <v>11496</v>
      </c>
      <c r="F2761" s="3" t="s">
        <v>11495</v>
      </c>
      <c r="G2761" s="3" t="str">
        <f ca="1">IFERROR(__xludf.DUMMYFUNCTION("googletranslate(D2761,""en"",""ja"")"),"吸入エアロゾル温度")</f>
        <v>吸入エアロゾル温度</v>
      </c>
      <c r="H2761" s="3" t="str">
        <f ca="1">IFERROR(__xludf.DUMMYFUNCTION("googletranslate(E2761,""en"",""ja"")"),"呼吸によって体内に引き込まれるガス中に分散した、吸入された固体または液体の粒子の温度。")</f>
        <v>呼吸によって体内に引き込まれるガス中に分散した、吸入された固体または液体の粒子の温度。</v>
      </c>
      <c r="I2761" s="3" t="str">
        <f ca="1">IFERROR(__xludf.DUMMYFUNCTION("googletranslate(F2761,""en"",""ja"")"),"吸入エアロゾル温度")</f>
        <v>吸入エアロゾル温度</v>
      </c>
    </row>
    <row r="2762" spans="1:9" ht="45">
      <c r="A2762" s="3" t="s">
        <v>6</v>
      </c>
      <c r="B2762" s="3" t="s">
        <v>11497</v>
      </c>
      <c r="C2762" s="3" t="s">
        <v>11498</v>
      </c>
      <c r="D2762" s="3" t="s">
        <v>11498</v>
      </c>
      <c r="E2762" s="3" t="s">
        <v>11499</v>
      </c>
      <c r="F2762" s="3" t="s">
        <v>11500</v>
      </c>
      <c r="G2762" s="3" t="str">
        <f ca="1">IFERROR(__xludf.DUMMYFUNCTION("googletranslate(D2762,""en"",""ja"")"),"インヒビンA")</f>
        <v>インヒビンA</v>
      </c>
      <c r="H2762" s="3" t="str">
        <f ca="1">IFERROR(__xludf.DUMMYFUNCTION("googletranslate(E2762,""en"",""ja"")"),"生物学的標本中のインヒビン A (インヒビン サブユニット アルファとインヒビン サブユニット ベータ A のヘテロ二量体) の測定。")</f>
        <v>生物学的標本中のインヒビン A (インヒビン サブユニット アルファとインヒビン サブユニット ベータ A のヘテロ二量体) の測定。</v>
      </c>
      <c r="I2762" s="3" t="str">
        <f ca="1">IFERROR(__xludf.DUMMYFUNCTION("googletranslate(F2762,""en"",""ja"")"),"インヒビンAの測定")</f>
        <v>インヒビンAの測定</v>
      </c>
    </row>
    <row r="2763" spans="1:9" ht="45">
      <c r="A2763" s="3" t="s">
        <v>6</v>
      </c>
      <c r="B2763" s="3" t="s">
        <v>11501</v>
      </c>
      <c r="C2763" s="3" t="s">
        <v>11502</v>
      </c>
      <c r="D2763" s="3" t="s">
        <v>11502</v>
      </c>
      <c r="E2763" s="3" t="s">
        <v>11503</v>
      </c>
      <c r="F2763" s="3" t="s">
        <v>11504</v>
      </c>
      <c r="G2763" s="3" t="str">
        <f ca="1">IFERROR(__xludf.DUMMYFUNCTION("googletranslate(D2763,""en"",""ja"")"),"インヒビンB")</f>
        <v>インヒビンB</v>
      </c>
      <c r="H2763" s="3" t="str">
        <f ca="1">IFERROR(__xludf.DUMMYFUNCTION("googletranslate(E2763,""en"",""ja"")"),"生物学的標本中のインヒビン B (インヒビン サブユニット アルファとインヒビン サブユニット ベータ B のヘテロ二量体) の測定。")</f>
        <v>生物学的標本中のインヒビン B (インヒビン サブユニット アルファとインヒビン サブユニット ベータ B のヘテロ二量体) の測定。</v>
      </c>
      <c r="I2763" s="3" t="str">
        <f ca="1">IFERROR(__xludf.DUMMYFUNCTION("googletranslate(F2763,""en"",""ja"")"),"インヒビンBの測定")</f>
        <v>インヒビンBの測定</v>
      </c>
    </row>
    <row r="2764" spans="1:9" ht="30">
      <c r="A2764" s="3" t="s">
        <v>503</v>
      </c>
      <c r="B2764" s="3" t="s">
        <v>11505</v>
      </c>
      <c r="C2764" s="3" t="s">
        <v>11506</v>
      </c>
      <c r="D2764" s="3" t="s">
        <v>11506</v>
      </c>
      <c r="E2764" s="3" t="s">
        <v>11507</v>
      </c>
      <c r="F2764" s="3" t="s">
        <v>11506</v>
      </c>
      <c r="G2764" s="3" t="str">
        <f ca="1">IFERROR(__xludf.DUMMYFUNCTION("googletranslate(D2764,""en"",""ja"")"),"1 歳未満の乳児インジケーター")</f>
        <v>1 歳未満の乳児インジケーター</v>
      </c>
      <c r="H2764" s="3" t="str">
        <f ca="1">IFERROR(__xludf.DUMMYFUNCTION("googletranslate(E2764,""en"",""ja"")"),"対象者が 1 歳未満であるかどうかを示す指標。")</f>
        <v>対象者が 1 歳未満であるかどうかを示す指標。</v>
      </c>
      <c r="I2764" s="3" t="str">
        <f ca="1">IFERROR(__xludf.DUMMYFUNCTION("googletranslate(F2764,""en"",""ja"")"),"1 歳未満の乳児インジケーター")</f>
        <v>1 歳未満の乳児インジケーター</v>
      </c>
    </row>
    <row r="2765" spans="1:9" ht="45">
      <c r="A2765" s="3" t="s">
        <v>6</v>
      </c>
      <c r="B2765" s="3" t="s">
        <v>11508</v>
      </c>
      <c r="C2765" s="3" t="s">
        <v>11509</v>
      </c>
      <c r="D2765" s="3" t="s">
        <v>11509</v>
      </c>
      <c r="E2765" s="3" t="s">
        <v>11510</v>
      </c>
      <c r="F2765" s="3" t="s">
        <v>11509</v>
      </c>
      <c r="G2765" s="3" t="str">
        <f ca="1">IFERROR(__xludf.DUMMYFUNCTION("googletranslate(D2765,""en"",""ja"")"),"イヌリンクリアランス")</f>
        <v>イヌリンクリアランス</v>
      </c>
      <c r="H2765" s="3" t="str">
        <f ca="1">IFERROR(__xludf.DUMMYFUNCTION("googletranslate(E2765,""en"",""ja"")"),"指定された時間単位 (例: 1 分) の尿の排泄によってイヌリンが除去される血清または血漿の量の測定値。")</f>
        <v>指定された時間単位 (例: 1 分) の尿の排泄によってイヌリンが除去される血清または血漿の量の測定値。</v>
      </c>
      <c r="I2765" s="3" t="str">
        <f ca="1">IFERROR(__xludf.DUMMYFUNCTION("googletranslate(F2765,""en"",""ja"")"),"イヌリンクリアランス")</f>
        <v>イヌリンクリアランス</v>
      </c>
    </row>
    <row r="2766" spans="1:9">
      <c r="A2766" s="3" t="s">
        <v>159</v>
      </c>
      <c r="B2766" s="3" t="s">
        <v>11511</v>
      </c>
      <c r="C2766" s="3" t="s">
        <v>11512</v>
      </c>
      <c r="D2766" s="3" t="s">
        <v>11513</v>
      </c>
      <c r="E2766" s="3" t="s">
        <v>11514</v>
      </c>
      <c r="F2766" s="3" t="s">
        <v>11515</v>
      </c>
      <c r="G2766" s="3" t="str">
        <f ca="1">IFERROR(__xludf.DUMMYFUNCTION("googletranslate(D2766,""en"",""ja"")"),"私;ミオイノシトール")</f>
        <v>私;ミオイノシトール</v>
      </c>
      <c r="H2766" s="3" t="str">
        <f ca="1">IFERROR(__xludf.DUMMYFUNCTION("googletranslate(E2766,""en"",""ja"")"),"生物学的標本中のミオイノシトールの測定。")</f>
        <v>生物学的標本中のミオイノシトールの測定。</v>
      </c>
      <c r="I2766" s="3" t="str">
        <f ca="1">IFERROR(__xludf.DUMMYFUNCTION("googletranslate(F2766,""en"",""ja"")"),"ミオイノシトールの測定")</f>
        <v>ミオイノシトールの測定</v>
      </c>
    </row>
    <row r="2767" spans="1:9" ht="45">
      <c r="A2767" s="3" t="s">
        <v>159</v>
      </c>
      <c r="B2767" s="3" t="s">
        <v>11516</v>
      </c>
      <c r="C2767" s="3" t="s">
        <v>11517</v>
      </c>
      <c r="D2767" s="3" t="s">
        <v>11517</v>
      </c>
      <c r="E2767" s="3" t="s">
        <v>11518</v>
      </c>
      <c r="F2767" s="3" t="s">
        <v>11519</v>
      </c>
      <c r="G2767" s="3" t="str">
        <f ca="1">IFERROR(__xludf.DUMMYFUNCTION("googletranslate(D2767,""en"",""ja"")"),"ミオイノシトール/クレアチン")</f>
        <v>ミオイノシトール/クレアチン</v>
      </c>
      <c r="H2767" s="3" t="str">
        <f ca="1">IFERROR(__xludf.DUMMYFUNCTION("googletranslate(E2767,""en"",""ja"")"),"生物学的標本中のクレアチンに対するミオイノシトールの相対測定値 (比率またはパーセンテージ)。")</f>
        <v>生物学的標本中のクレアチンに対するミオイノシトールの相対測定値 (比率またはパーセンテージ)。</v>
      </c>
      <c r="I2767" s="3" t="str">
        <f ca="1">IFERROR(__xludf.DUMMYFUNCTION("googletranslate(F2767,""en"",""ja"")"),"ミオイノシトール/クレアチン比")</f>
        <v>ミオイノシトール/クレアチン比</v>
      </c>
    </row>
    <row r="2768" spans="1:9" ht="75">
      <c r="A2768" s="3" t="s">
        <v>6</v>
      </c>
      <c r="B2768" s="3" t="s">
        <v>11520</v>
      </c>
      <c r="C2768" s="3" t="s">
        <v>11521</v>
      </c>
      <c r="D2768" s="3" t="s">
        <v>11521</v>
      </c>
      <c r="E2768" s="3" t="s">
        <v>11522</v>
      </c>
      <c r="F2768" s="3" t="s">
        <v>11523</v>
      </c>
      <c r="G2768" s="3" t="str">
        <f ca="1">IFERROR(__xludf.DUMMYFUNCTION("googletranslate(D2768,""en"",""ja"")"),"プロトロンビン国際空港正規化された比率")</f>
        <v>プロトロンビン国際空港正規化された比率</v>
      </c>
      <c r="H2768" s="3" t="str">
        <f ca="1">IFERROR(__xludf.DUMMYFUNCTION("googletranslate(E2768,""en"",""ja"")"),"血漿検体のプロトロンビン時間を表す比率を対照血漿検体の結果で割ったもので、検査で使用される組織因子（トロンボプラスチン）の国際感度指数に対してさらに標準化されています。")</f>
        <v>血漿検体のプロトロンビン時間を表す比率を対照血漿検体の結果で割ったもので、検査で使用される組織因子（トロンボプラスチン）の国際感度指数に対してさらに標準化されています。</v>
      </c>
      <c r="I2768" s="3" t="str">
        <f ca="1">IFERROR(__xludf.DUMMYFUNCTION("googletranslate(F2768,""en"",""ja"")"),"プロトロンビン時間の国際標準化比率")</f>
        <v>プロトロンビン時間の国際標準化比率</v>
      </c>
    </row>
    <row r="2769" spans="1:9" ht="45">
      <c r="A2769" s="3" t="s">
        <v>81</v>
      </c>
      <c r="B2769" s="3" t="s">
        <v>11524</v>
      </c>
      <c r="C2769" s="3" t="s">
        <v>11525</v>
      </c>
      <c r="D2769" s="3" t="s">
        <v>11525</v>
      </c>
      <c r="E2769" s="3" t="s">
        <v>11526</v>
      </c>
      <c r="F2769" s="3" t="s">
        <v>11525</v>
      </c>
      <c r="G2769" s="3" t="str">
        <f ca="1">IFERROR(__xludf.DUMMYFUNCTION("googletranslate(D2769,""en"",""ja"")"),"ステント内再狭窄インジケーター")</f>
        <v>ステント内再狭窄インジケーター</v>
      </c>
      <c r="H2769" s="3" t="str">
        <f ca="1">IFERROR(__xludf.DUMMYFUNCTION("googletranslate(E2769,""en"",""ja"")"),"以前の狭窄を治療するために病変部位に移植されたステントが、ステント内の直径が 50% を超える狭窄まで再狭窄しているかどうかに関する指標。")</f>
        <v>以前の狭窄を治療するために病変部位に移植されたステントが、ステント内の直径が 50% を超える狭窄まで再狭窄しているかどうかに関する指標。</v>
      </c>
      <c r="I2769" s="3" t="str">
        <f ca="1">IFERROR(__xludf.DUMMYFUNCTION("googletranslate(F2769,""en"",""ja"")"),"ステント内再狭窄インジケーター")</f>
        <v>ステント内再狭窄インジケーター</v>
      </c>
    </row>
    <row r="2770" spans="1:9">
      <c r="A2770" s="3" t="s">
        <v>6</v>
      </c>
      <c r="B2770" s="3" t="s">
        <v>11527</v>
      </c>
      <c r="C2770" s="3" t="s">
        <v>11528</v>
      </c>
      <c r="D2770" s="3" t="s">
        <v>11528</v>
      </c>
      <c r="E2770" s="3" t="s">
        <v>11529</v>
      </c>
      <c r="F2770" s="3" t="s">
        <v>11530</v>
      </c>
      <c r="G2770" s="3" t="str">
        <f ca="1">IFERROR(__xludf.DUMMYFUNCTION("googletranslate(D2770,""en"",""ja"")"),"インスリン、無料")</f>
        <v>インスリン、無料</v>
      </c>
      <c r="H2770" s="3" t="str">
        <f ca="1">IFERROR(__xludf.DUMMYFUNCTION("googletranslate(E2770,""en"",""ja"")"),"生物学的標本中の遊離インスリンの測定。")</f>
        <v>生物学的標本中の遊離インスリンの測定。</v>
      </c>
      <c r="I2770" s="3" t="str">
        <f ca="1">IFERROR(__xludf.DUMMYFUNCTION("googletranslate(F2770,""en"",""ja"")"),"無料のインスリン測定")</f>
        <v>無料のインスリン測定</v>
      </c>
    </row>
    <row r="2771" spans="1:9">
      <c r="A2771" s="3" t="s">
        <v>6</v>
      </c>
      <c r="B2771" s="3" t="s">
        <v>11531</v>
      </c>
      <c r="C2771" s="3" t="s">
        <v>11532</v>
      </c>
      <c r="D2771" s="3" t="s">
        <v>11532</v>
      </c>
      <c r="E2771" s="3" t="s">
        <v>11533</v>
      </c>
      <c r="F2771" s="3" t="s">
        <v>11534</v>
      </c>
      <c r="G2771" s="3" t="str">
        <f ca="1">IFERROR(__xludf.DUMMYFUNCTION("googletranslate(D2771,""en"",""ja"")"),"インスリン")</f>
        <v>インスリン</v>
      </c>
      <c r="H2771" s="3" t="str">
        <f ca="1">IFERROR(__xludf.DUMMYFUNCTION("googletranslate(E2771,""en"",""ja"")"),"生物学的標本中のインスリンの測定。")</f>
        <v>生物学的標本中のインスリンの測定。</v>
      </c>
      <c r="I2771" s="3" t="str">
        <f ca="1">IFERROR(__xludf.DUMMYFUNCTION("googletranslate(F2771,""en"",""ja"")"),"インスリン測定")</f>
        <v>インスリン測定</v>
      </c>
    </row>
    <row r="2772" spans="1:9">
      <c r="A2772" s="3" t="s">
        <v>6</v>
      </c>
      <c r="B2772" s="3" t="s">
        <v>11535</v>
      </c>
      <c r="C2772" s="3" t="s">
        <v>11536</v>
      </c>
      <c r="D2772" s="3" t="s">
        <v>11536</v>
      </c>
      <c r="E2772" s="3" t="s">
        <v>11537</v>
      </c>
      <c r="F2772" s="3" t="s">
        <v>11538</v>
      </c>
      <c r="G2772" s="3" t="str">
        <f ca="1">IFERROR(__xludf.DUMMYFUNCTION("googletranslate(D2772,""en"",""ja"")"),"インシュリン、無傷")</f>
        <v>インシュリン、無傷</v>
      </c>
      <c r="H2772" s="3" t="str">
        <f ca="1">IFERROR(__xludf.DUMMYFUNCTION("googletranslate(E2772,""en"",""ja"")"),"生物学的標本中の無傷のインスリンの測定。")</f>
        <v>生物学的標本中の無傷のインスリンの測定。</v>
      </c>
      <c r="I2772" s="3" t="str">
        <f ca="1">IFERROR(__xludf.DUMMYFUNCTION("googletranslate(F2772,""en"",""ja"")"),"インタクトインスリンの測定")</f>
        <v>インタクトインスリンの測定</v>
      </c>
    </row>
    <row r="2773" spans="1:9" ht="30">
      <c r="A2773" s="3" t="s">
        <v>6</v>
      </c>
      <c r="B2773" s="3" t="s">
        <v>11539</v>
      </c>
      <c r="C2773" s="3" t="s">
        <v>11540</v>
      </c>
      <c r="D2773" s="3" t="s">
        <v>11540</v>
      </c>
      <c r="E2773" s="3" t="s">
        <v>11541</v>
      </c>
      <c r="F2773" s="3" t="s">
        <v>11542</v>
      </c>
      <c r="G2773" s="3" t="str">
        <f ca="1">IFERROR(__xludf.DUMMYFUNCTION("googletranslate(D2773,""en"",""ja"")"),"インスリン抵抗性")</f>
        <v>インスリン抵抗性</v>
      </c>
      <c r="H2773" s="3" t="str">
        <f ca="1">IFERROR(__xludf.DUMMYFUNCTION("googletranslate(E2773,""en"",""ja"")"),"生物学的標本におけるインスリン抵抗性 (細胞がインスリンに応答できないこと) の測定。")</f>
        <v>生物学的標本におけるインスリン抵抗性 (細胞がインスリンに応答できないこと) の測定。</v>
      </c>
      <c r="I2773" s="3" t="str">
        <f ca="1">IFERROR(__xludf.DUMMYFUNCTION("googletranslate(F2773,""en"",""ja"")"),"インスリン抵抗性測定")</f>
        <v>インスリン抵抗性測定</v>
      </c>
    </row>
    <row r="2774" spans="1:9" ht="45">
      <c r="A2774" s="3" t="s">
        <v>6</v>
      </c>
      <c r="B2774" s="3" t="s">
        <v>11543</v>
      </c>
      <c r="C2774" s="3" t="s">
        <v>11544</v>
      </c>
      <c r="D2774" s="3" t="s">
        <v>11544</v>
      </c>
      <c r="E2774" s="3" t="s">
        <v>11545</v>
      </c>
      <c r="F2774" s="3" t="s">
        <v>11546</v>
      </c>
      <c r="G2774" s="3" t="str">
        <f ca="1">IFERROR(__xludf.DUMMYFUNCTION("googletranslate(D2774,""en"",""ja"")"),"インスリン感受性")</f>
        <v>インスリン感受性</v>
      </c>
      <c r="H2774" s="3" t="str">
        <f ca="1">IFERROR(__xludf.DUMMYFUNCTION("googletranslate(E2774,""en"",""ja"")"),"生物学的標本におけるインスリン感受性（細胞は通常よりも低いインスリンレベルによって刺激される）の測定。")</f>
        <v>生物学的標本におけるインスリン感受性（細胞は通常よりも低いインスリンレベルによって刺激される）の測定。</v>
      </c>
      <c r="I2774" s="3" t="str">
        <f ca="1">IFERROR(__xludf.DUMMYFUNCTION("googletranslate(F2774,""en"",""ja"")"),"インスリン感受性測定")</f>
        <v>インスリン感受性測定</v>
      </c>
    </row>
    <row r="2775" spans="1:9" ht="45">
      <c r="A2775" s="3" t="s">
        <v>1255</v>
      </c>
      <c r="B2775" s="3" t="s">
        <v>11547</v>
      </c>
      <c r="C2775" s="3" t="s">
        <v>11548</v>
      </c>
      <c r="D2775" s="3" t="s">
        <v>11548</v>
      </c>
      <c r="E2775" s="3" t="s">
        <v>11549</v>
      </c>
      <c r="F2775" s="3" t="s">
        <v>11550</v>
      </c>
      <c r="G2775" s="3" t="str">
        <f ca="1">IFERROR(__xludf.DUMMYFUNCTION("googletranslate(D2775,""en"",""ja"")"),"スライス間の距離")</f>
        <v>スライス間の距離</v>
      </c>
      <c r="H2775" s="3" t="str">
        <f ca="1">IFERROR(__xludf.DUMMYFUNCTION("googletranslate(E2775,""en"",""ja"")"),"画像シーケンス内のスライス間の距離の測定値。カウチ増分から公称スライス厚を差し引くことによって計算されます。")</f>
        <v>画像シーケンス内のスライス間の距離の測定値。カウチ増分から公称スライス厚を差し引くことによって計算されます。</v>
      </c>
      <c r="I2775" s="3" t="str">
        <f ca="1">IFERROR(__xludf.DUMMYFUNCTION("googletranslate(F2775,""en"",""ja"")"),"スライス間距離測定")</f>
        <v>スライス間距離測定</v>
      </c>
    </row>
    <row r="2776" spans="1:9">
      <c r="A2776" s="3" t="s">
        <v>6</v>
      </c>
      <c r="B2776" s="3" t="s">
        <v>11551</v>
      </c>
      <c r="C2776" s="3" t="s">
        <v>11552</v>
      </c>
      <c r="D2776" s="3" t="s">
        <v>11552</v>
      </c>
      <c r="E2776" s="3" t="s">
        <v>11553</v>
      </c>
      <c r="F2776" s="3" t="s">
        <v>11554</v>
      </c>
      <c r="G2776" s="3" t="str">
        <f ca="1">IFERROR(__xludf.DUMMYFUNCTION("googletranslate(D2776,""en"",""ja"")"),"インターロイキン 1")</f>
        <v>インターロイキン 1</v>
      </c>
      <c r="H2776" s="3" t="str">
        <f ca="1">IFERROR(__xludf.DUMMYFUNCTION("googletranslate(E2776,""en"",""ja"")"),"生物学的標本中のインターロイキン 1 の測定。")</f>
        <v>生物学的標本中のインターロイキン 1 の測定。</v>
      </c>
      <c r="I2776" s="3" t="str">
        <f ca="1">IFERROR(__xludf.DUMMYFUNCTION("googletranslate(F2776,""en"",""ja"")"),"インターロイキン 1 の測定")</f>
        <v>インターロイキン 1 の測定</v>
      </c>
    </row>
    <row r="2777" spans="1:9">
      <c r="A2777" s="3" t="s">
        <v>6</v>
      </c>
      <c r="B2777" s="3" t="s">
        <v>11555</v>
      </c>
      <c r="C2777" s="3" t="s">
        <v>11556</v>
      </c>
      <c r="D2777" s="3" t="s">
        <v>11556</v>
      </c>
      <c r="E2777" s="3" t="s">
        <v>11557</v>
      </c>
      <c r="F2777" s="3" t="s">
        <v>11558</v>
      </c>
      <c r="G2777" s="3" t="str">
        <f ca="1">IFERROR(__xludf.DUMMYFUNCTION("googletranslate(D2777,""en"",""ja"")"),"インターロイキン10")</f>
        <v>インターロイキン10</v>
      </c>
      <c r="H2777" s="3" t="str">
        <f ca="1">IFERROR(__xludf.DUMMYFUNCTION("googletranslate(E2777,""en"",""ja"")"),"生物学的標本中のインターロイキン 10 の測定。")</f>
        <v>生物学的標本中のインターロイキン 10 の測定。</v>
      </c>
      <c r="I2777" s="3" t="str">
        <f ca="1">IFERROR(__xludf.DUMMYFUNCTION("googletranslate(F2777,""en"",""ja"")"),"インターロイキン10の測定")</f>
        <v>インターロイキン10の測定</v>
      </c>
    </row>
    <row r="2778" spans="1:9">
      <c r="A2778" s="3" t="s">
        <v>6</v>
      </c>
      <c r="B2778" s="3" t="s">
        <v>11559</v>
      </c>
      <c r="C2778" s="3" t="s">
        <v>11560</v>
      </c>
      <c r="D2778" s="3" t="s">
        <v>11560</v>
      </c>
      <c r="E2778" s="3" t="s">
        <v>11561</v>
      </c>
      <c r="F2778" s="3" t="s">
        <v>11562</v>
      </c>
      <c r="G2778" s="3" t="str">
        <f ca="1">IFERROR(__xludf.DUMMYFUNCTION("googletranslate(D2778,""en"",""ja"")"),"インターロイキン11")</f>
        <v>インターロイキン11</v>
      </c>
      <c r="H2778" s="3" t="str">
        <f ca="1">IFERROR(__xludf.DUMMYFUNCTION("googletranslate(E2778,""en"",""ja"")"),"生物学的標本中のインターロイキン 11 の測定。")</f>
        <v>生物学的標本中のインターロイキン 11 の測定。</v>
      </c>
      <c r="I2778" s="3" t="str">
        <f ca="1">IFERROR(__xludf.DUMMYFUNCTION("googletranslate(F2778,""en"",""ja"")"),"インターロイキン11の測定")</f>
        <v>インターロイキン11の測定</v>
      </c>
    </row>
    <row r="2779" spans="1:9" ht="30">
      <c r="A2779" s="3" t="s">
        <v>6</v>
      </c>
      <c r="B2779" s="3" t="s">
        <v>11563</v>
      </c>
      <c r="C2779" s="3" t="s">
        <v>11564</v>
      </c>
      <c r="D2779" s="3" t="s">
        <v>11565</v>
      </c>
      <c r="E2779" s="3" t="s">
        <v>11566</v>
      </c>
      <c r="F2779" s="3" t="s">
        <v>11567</v>
      </c>
      <c r="G2779" s="3" t="str">
        <f ca="1">IFERROR(__xludf.DUMMYFUNCTION("googletranslate(D2779,""en"",""ja"")"),"インターロイキン 12;インターロイキン 12 p70")</f>
        <v>インターロイキン 12;インターロイキン 12 p70</v>
      </c>
      <c r="H2779" s="3" t="str">
        <f ca="1">IFERROR(__xludf.DUMMYFUNCTION("googletranslate(E2779,""en"",""ja"")"),"生物学的標本中のインターロイキン 12 の測定。")</f>
        <v>生物学的標本中のインターロイキン 12 の測定。</v>
      </c>
      <c r="I2779" s="3" t="str">
        <f ca="1">IFERROR(__xludf.DUMMYFUNCTION("googletranslate(F2779,""en"",""ja"")"),"インターロイキン12の測定")</f>
        <v>インターロイキン12の測定</v>
      </c>
    </row>
    <row r="2780" spans="1:9" ht="75">
      <c r="A2780" s="3" t="s">
        <v>6</v>
      </c>
      <c r="B2780" s="3" t="s">
        <v>11568</v>
      </c>
      <c r="C2780" s="3" t="s">
        <v>11569</v>
      </c>
      <c r="D2780" s="3" t="s">
        <v>11570</v>
      </c>
      <c r="E2780" s="3" t="s">
        <v>11571</v>
      </c>
      <c r="F2780" s="3" t="s">
        <v>11572</v>
      </c>
      <c r="G2780" s="3" t="str">
        <f ca="1">IFERROR(__xludf.DUMMYFUNCTION("googletranslate(D2780,""en"",""ja"")"),"インターロイキン 12 ベータ版。インターロイキン 12 ベータ サブユニット。インターロイキン 12 p40;インターロイキン 12 p40 サブユニット")</f>
        <v>インターロイキン 12 ベータ版。インターロイキン 12 ベータ サブユニット。インターロイキン 12 p40;インターロイキン 12 p40 サブユニット</v>
      </c>
      <c r="H2780" s="3" t="str">
        <f ca="1">IFERROR(__xludf.DUMMYFUNCTION("googletranslate(E2780,""en"",""ja"")"),"生物学的標本中のインターロイキン 12 の p40 サブユニットの測定。")</f>
        <v>生物学的標本中のインターロイキン 12 の p40 サブユニットの測定。</v>
      </c>
      <c r="I2780" s="3" t="str">
        <f ca="1">IFERROR(__xludf.DUMMYFUNCTION("googletranslate(F2780,""en"",""ja"")"),"インターロイキン 12 ベータの測定")</f>
        <v>インターロイキン 12 ベータの測定</v>
      </c>
    </row>
    <row r="2781" spans="1:9">
      <c r="A2781" s="3" t="s">
        <v>6</v>
      </c>
      <c r="B2781" s="3" t="s">
        <v>11573</v>
      </c>
      <c r="C2781" s="3" t="s">
        <v>11574</v>
      </c>
      <c r="D2781" s="3" t="s">
        <v>11574</v>
      </c>
      <c r="E2781" s="3" t="s">
        <v>11575</v>
      </c>
      <c r="F2781" s="3" t="s">
        <v>11576</v>
      </c>
      <c r="G2781" s="3" t="str">
        <f ca="1">IFERROR(__xludf.DUMMYFUNCTION("googletranslate(D2781,""en"",""ja"")"),"インターロイキン13")</f>
        <v>インターロイキン13</v>
      </c>
      <c r="H2781" s="3" t="str">
        <f ca="1">IFERROR(__xludf.DUMMYFUNCTION("googletranslate(E2781,""en"",""ja"")"),"生物学的標本中のインターロイキン 13 の測定。")</f>
        <v>生物学的標本中のインターロイキン 13 の測定。</v>
      </c>
      <c r="I2781" s="3" t="str">
        <f ca="1">IFERROR(__xludf.DUMMYFUNCTION("googletranslate(F2781,""en"",""ja"")"),"インターロイキン13の測定")</f>
        <v>インターロイキン13の測定</v>
      </c>
    </row>
    <row r="2782" spans="1:9">
      <c r="A2782" s="3" t="s">
        <v>6</v>
      </c>
      <c r="B2782" s="3" t="s">
        <v>11577</v>
      </c>
      <c r="C2782" s="3" t="s">
        <v>11578</v>
      </c>
      <c r="D2782" s="3" t="s">
        <v>11578</v>
      </c>
      <c r="E2782" s="3" t="s">
        <v>11579</v>
      </c>
      <c r="F2782" s="3" t="s">
        <v>11580</v>
      </c>
      <c r="G2782" s="3" t="str">
        <f ca="1">IFERROR(__xludf.DUMMYFUNCTION("googletranslate(D2782,""en"",""ja"")"),"インターロイキン14")</f>
        <v>インターロイキン14</v>
      </c>
      <c r="H2782" s="3" t="str">
        <f ca="1">IFERROR(__xludf.DUMMYFUNCTION("googletranslate(E2782,""en"",""ja"")"),"生物学的標本中のインターロイキン 14 の測定。")</f>
        <v>生物学的標本中のインターロイキン 14 の測定。</v>
      </c>
      <c r="I2782" s="3" t="str">
        <f ca="1">IFERROR(__xludf.DUMMYFUNCTION("googletranslate(F2782,""en"",""ja"")"),"インターロイキン14の測定")</f>
        <v>インターロイキン14の測定</v>
      </c>
    </row>
    <row r="2783" spans="1:9">
      <c r="A2783" s="3" t="s">
        <v>6</v>
      </c>
      <c r="B2783" s="3" t="s">
        <v>11581</v>
      </c>
      <c r="C2783" s="3" t="s">
        <v>11582</v>
      </c>
      <c r="D2783" s="3" t="s">
        <v>11582</v>
      </c>
      <c r="E2783" s="3" t="s">
        <v>11583</v>
      </c>
      <c r="F2783" s="3" t="s">
        <v>11584</v>
      </c>
      <c r="G2783" s="3" t="str">
        <f ca="1">IFERROR(__xludf.DUMMYFUNCTION("googletranslate(D2783,""en"",""ja"")"),"インターロイキン15")</f>
        <v>インターロイキン15</v>
      </c>
      <c r="H2783" s="3" t="str">
        <f ca="1">IFERROR(__xludf.DUMMYFUNCTION("googletranslate(E2783,""en"",""ja"")"),"生物学的標本中のインターロイキン 15 の測定。")</f>
        <v>生物学的標本中のインターロイキン 15 の測定。</v>
      </c>
      <c r="I2783" s="3" t="str">
        <f ca="1">IFERROR(__xludf.DUMMYFUNCTION("googletranslate(F2783,""en"",""ja"")"),"インターロイキン15の測定")</f>
        <v>インターロイキン15の測定</v>
      </c>
    </row>
    <row r="2784" spans="1:9">
      <c r="A2784" s="3" t="s">
        <v>6</v>
      </c>
      <c r="B2784" s="3" t="s">
        <v>11585</v>
      </c>
      <c r="C2784" s="3" t="s">
        <v>11586</v>
      </c>
      <c r="D2784" s="3" t="s">
        <v>11586</v>
      </c>
      <c r="E2784" s="3" t="s">
        <v>11587</v>
      </c>
      <c r="F2784" s="3" t="s">
        <v>11588</v>
      </c>
      <c r="G2784" s="3" t="str">
        <f ca="1">IFERROR(__xludf.DUMMYFUNCTION("googletranslate(D2784,""en"",""ja"")"),"インターロイキン16")</f>
        <v>インターロイキン16</v>
      </c>
      <c r="H2784" s="3" t="str">
        <f ca="1">IFERROR(__xludf.DUMMYFUNCTION("googletranslate(E2784,""en"",""ja"")"),"生物学的標本中のインターロイキン 16 の測定。")</f>
        <v>生物学的標本中のインターロイキン 16 の測定。</v>
      </c>
      <c r="I2784" s="3" t="str">
        <f ca="1">IFERROR(__xludf.DUMMYFUNCTION("googletranslate(F2784,""en"",""ja"")"),"インターロイキン16の測定")</f>
        <v>インターロイキン16の測定</v>
      </c>
    </row>
    <row r="2785" spans="1:9" ht="30">
      <c r="A2785" s="3" t="s">
        <v>6</v>
      </c>
      <c r="B2785" s="3" t="s">
        <v>11589</v>
      </c>
      <c r="C2785" s="3" t="s">
        <v>11590</v>
      </c>
      <c r="D2785" s="3" t="s">
        <v>11591</v>
      </c>
      <c r="E2785" s="3" t="s">
        <v>11592</v>
      </c>
      <c r="F2785" s="3" t="s">
        <v>11593</v>
      </c>
      <c r="G2785" s="3" t="str">
        <f ca="1">IFERROR(__xludf.DUMMYFUNCTION("googletranslate(D2785,""en"",""ja"")"),"IL-17A;インターロイキン17;インターロイキン 17A")</f>
        <v>IL-17A;インターロイキン17;インターロイキン 17A</v>
      </c>
      <c r="H2785" s="3" t="str">
        <f ca="1">IFERROR(__xludf.DUMMYFUNCTION("googletranslate(E2785,""en"",""ja"")"),"生物学的標本中のインターロイキン 17 の測定。")</f>
        <v>生物学的標本中のインターロイキン 17 の測定。</v>
      </c>
      <c r="I2785" s="3" t="str">
        <f ca="1">IFERROR(__xludf.DUMMYFUNCTION("googletranslate(F2785,""en"",""ja"")"),"インターロイキン17の測定")</f>
        <v>インターロイキン17の測定</v>
      </c>
    </row>
    <row r="2786" spans="1:9" ht="30">
      <c r="A2786" s="3" t="s">
        <v>6</v>
      </c>
      <c r="B2786" s="3" t="s">
        <v>11594</v>
      </c>
      <c r="C2786" s="3" t="s">
        <v>11595</v>
      </c>
      <c r="D2786" s="3" t="s">
        <v>11596</v>
      </c>
      <c r="E2786" s="3" t="s">
        <v>11597</v>
      </c>
      <c r="F2786" s="3" t="s">
        <v>11598</v>
      </c>
      <c r="G2786" s="3" t="str">
        <f ca="1">IFERROR(__xludf.DUMMYFUNCTION("googletranslate(D2786,""en"",""ja"")"),"CX2;サイトカインCX2; IL-17C;インターロイキン 17C")</f>
        <v>CX2;サイトカインCX2; IL-17C;インターロイキン 17C</v>
      </c>
      <c r="H2786" s="3" t="str">
        <f ca="1">IFERROR(__xludf.DUMMYFUNCTION("googletranslate(E2786,""en"",""ja"")"),"生物学的標本中のインターロイキン 17C の測定。")</f>
        <v>生物学的標本中のインターロイキン 17C の測定。</v>
      </c>
      <c r="I2786" s="3" t="str">
        <f ca="1">IFERROR(__xludf.DUMMYFUNCTION("googletranslate(F2786,""en"",""ja"")"),"インターロイキン17Cの測定")</f>
        <v>インターロイキン17Cの測定</v>
      </c>
    </row>
    <row r="2787" spans="1:9">
      <c r="A2787" s="3" t="s">
        <v>6</v>
      </c>
      <c r="B2787" s="3" t="s">
        <v>11599</v>
      </c>
      <c r="C2787" s="3" t="s">
        <v>11600</v>
      </c>
      <c r="D2787" s="3" t="s">
        <v>11600</v>
      </c>
      <c r="E2787" s="3" t="s">
        <v>11601</v>
      </c>
      <c r="F2787" s="3" t="s">
        <v>11602</v>
      </c>
      <c r="G2787" s="3" t="str">
        <f ca="1">IFERROR(__xludf.DUMMYFUNCTION("googletranslate(D2787,""en"",""ja"")"),"インターロイキン18")</f>
        <v>インターロイキン18</v>
      </c>
      <c r="H2787" s="3" t="str">
        <f ca="1">IFERROR(__xludf.DUMMYFUNCTION("googletranslate(E2787,""en"",""ja"")"),"生物学的標本中のインターロイキン 18 の測定。")</f>
        <v>生物学的標本中のインターロイキン 18 の測定。</v>
      </c>
      <c r="I2787" s="3" t="str">
        <f ca="1">IFERROR(__xludf.DUMMYFUNCTION("googletranslate(F2787,""en"",""ja"")"),"インターロイキン18の測定")</f>
        <v>インターロイキン18の測定</v>
      </c>
    </row>
    <row r="2788" spans="1:9">
      <c r="A2788" s="3" t="s">
        <v>6</v>
      </c>
      <c r="B2788" s="3" t="s">
        <v>11603</v>
      </c>
      <c r="C2788" s="3" t="s">
        <v>11604</v>
      </c>
      <c r="D2788" s="3" t="s">
        <v>11604</v>
      </c>
      <c r="E2788" s="3" t="s">
        <v>11605</v>
      </c>
      <c r="F2788" s="3" t="s">
        <v>11606</v>
      </c>
      <c r="G2788" s="3" t="str">
        <f ca="1">IFERROR(__xludf.DUMMYFUNCTION("googletranslate(D2788,""en"",""ja"")"),"インターロイキン19")</f>
        <v>インターロイキン19</v>
      </c>
      <c r="H2788" s="3" t="str">
        <f ca="1">IFERROR(__xludf.DUMMYFUNCTION("googletranslate(E2788,""en"",""ja"")"),"生物学的標本中のインターロイキン 19 の測定。")</f>
        <v>生物学的標本中のインターロイキン 19 の測定。</v>
      </c>
      <c r="I2788" s="3" t="str">
        <f ca="1">IFERROR(__xludf.DUMMYFUNCTION("googletranslate(F2788,""en"",""ja"")"),"インターロイキン19の測定")</f>
        <v>インターロイキン19の測定</v>
      </c>
    </row>
    <row r="2789" spans="1:9" ht="30">
      <c r="A2789" s="3" t="s">
        <v>6</v>
      </c>
      <c r="B2789" s="3" t="s">
        <v>11607</v>
      </c>
      <c r="C2789" s="3" t="s">
        <v>11608</v>
      </c>
      <c r="D2789" s="3" t="s">
        <v>11608</v>
      </c>
      <c r="E2789" s="3" t="s">
        <v>11609</v>
      </c>
      <c r="F2789" s="3" t="s">
        <v>11610</v>
      </c>
      <c r="G2789" s="3" t="str">
        <f ca="1">IFERROR(__xludf.DUMMYFUNCTION("googletranslate(D2789,""en"",""ja"")"),"インターロイキン 1 アルファ")</f>
        <v>インターロイキン 1 アルファ</v>
      </c>
      <c r="H2789" s="3" t="str">
        <f ca="1">IFERROR(__xludf.DUMMYFUNCTION("googletranslate(E2789,""en"",""ja"")"),"生物学的標本中のインターロイキン 1 アルファの測定。")</f>
        <v>生物学的標本中のインターロイキン 1 アルファの測定。</v>
      </c>
      <c r="I2789" s="3" t="str">
        <f ca="1">IFERROR(__xludf.DUMMYFUNCTION("googletranslate(F2789,""en"",""ja"")"),"インターロイキン 1 アルファの測定")</f>
        <v>インターロイキン 1 アルファの測定</v>
      </c>
    </row>
    <row r="2790" spans="1:9" ht="45">
      <c r="A2790" s="3" t="s">
        <v>6</v>
      </c>
      <c r="B2790" s="3" t="s">
        <v>11611</v>
      </c>
      <c r="C2790" s="3" t="s">
        <v>11612</v>
      </c>
      <c r="D2790" s="3" t="s">
        <v>11613</v>
      </c>
      <c r="E2790" s="3" t="s">
        <v>11614</v>
      </c>
      <c r="F2790" s="3" t="s">
        <v>11615</v>
      </c>
      <c r="G2790" s="3" t="str">
        <f ca="1">IFERROR(__xludf.DUMMYFUNCTION("googletranslate(D2790,""en"",""ja"")"),"IL-1B; IL1ベータ;インターロイキン 1 ベータ。インターロイキン 1B")</f>
        <v>IL-1B; IL1ベータ;インターロイキン 1 ベータ。インターロイキン 1B</v>
      </c>
      <c r="H2790" s="3" t="str">
        <f ca="1">IFERROR(__xludf.DUMMYFUNCTION("googletranslate(E2790,""en"",""ja"")"),"生物学的標本中のインターロイキン 1 ベータの測定。")</f>
        <v>生物学的標本中のインターロイキン 1 ベータの測定。</v>
      </c>
      <c r="I2790" s="3" t="str">
        <f ca="1">IFERROR(__xludf.DUMMYFUNCTION("googletranslate(F2790,""en"",""ja"")"),"インターロイキン 1 ベータの測定")</f>
        <v>インターロイキン 1 ベータの測定</v>
      </c>
    </row>
    <row r="2791" spans="1:9" ht="30">
      <c r="A2791" s="3" t="s">
        <v>6</v>
      </c>
      <c r="B2791" s="3" t="s">
        <v>11616</v>
      </c>
      <c r="C2791" s="3" t="s">
        <v>11617</v>
      </c>
      <c r="D2791" s="3" t="s">
        <v>11618</v>
      </c>
      <c r="E2791" s="3" t="s">
        <v>11619</v>
      </c>
      <c r="F2791" s="3" t="s">
        <v>11620</v>
      </c>
      <c r="G2791" s="3" t="str">
        <f ca="1">IFERROR(__xludf.DUMMYFUNCTION("googletranslate(D2791,""en"",""ja"")"),"IL-1RA;インターロイキン 1 受容体拮抗薬")</f>
        <v>IL-1RA;インターロイキン 1 受容体拮抗薬</v>
      </c>
      <c r="H2791" s="3" t="str">
        <f ca="1">IFERROR(__xludf.DUMMYFUNCTION("googletranslate(E2791,""en"",""ja"")"),"生物学的標本中のインターロイキン 1 受容体アンタゴニストの測定。")</f>
        <v>生物学的標本中のインターロイキン 1 受容体アンタゴニストの測定。</v>
      </c>
      <c r="I2791" s="3" t="str">
        <f ca="1">IFERROR(__xludf.DUMMYFUNCTION("googletranslate(F2791,""en"",""ja"")"),"インターロイキン 1 受容体拮抗薬の測定")</f>
        <v>インターロイキン 1 受容体拮抗薬の測定</v>
      </c>
    </row>
    <row r="2792" spans="1:9">
      <c r="A2792" s="3" t="s">
        <v>6</v>
      </c>
      <c r="B2792" s="3" t="s">
        <v>11621</v>
      </c>
      <c r="C2792" s="3" t="s">
        <v>11622</v>
      </c>
      <c r="D2792" s="3" t="s">
        <v>11622</v>
      </c>
      <c r="E2792" s="3" t="s">
        <v>11623</v>
      </c>
      <c r="F2792" s="3" t="s">
        <v>11624</v>
      </c>
      <c r="G2792" s="3" t="str">
        <f ca="1">IFERROR(__xludf.DUMMYFUNCTION("googletranslate(D2792,""en"",""ja"")"),"インターロイキン 2")</f>
        <v>インターロイキン 2</v>
      </c>
      <c r="H2792" s="3" t="str">
        <f ca="1">IFERROR(__xludf.DUMMYFUNCTION("googletranslate(E2792,""en"",""ja"")"),"生物学的標本中のインターロイキン 2 の測定。")</f>
        <v>生物学的標本中のインターロイキン 2 の測定。</v>
      </c>
      <c r="I2792" s="3" t="str">
        <f ca="1">IFERROR(__xludf.DUMMYFUNCTION("googletranslate(F2792,""en"",""ja"")"),"インターロイキン2の測定")</f>
        <v>インターロイキン2の測定</v>
      </c>
    </row>
    <row r="2793" spans="1:9">
      <c r="A2793" s="3" t="s">
        <v>6</v>
      </c>
      <c r="B2793" s="3" t="s">
        <v>11625</v>
      </c>
      <c r="C2793" s="3" t="s">
        <v>11626</v>
      </c>
      <c r="D2793" s="3" t="s">
        <v>11626</v>
      </c>
      <c r="E2793" s="3" t="s">
        <v>11627</v>
      </c>
      <c r="F2793" s="3" t="s">
        <v>11628</v>
      </c>
      <c r="G2793" s="3" t="str">
        <f ca="1">IFERROR(__xludf.DUMMYFUNCTION("googletranslate(D2793,""en"",""ja"")"),"インターロイキン20")</f>
        <v>インターロイキン20</v>
      </c>
      <c r="H2793" s="3" t="str">
        <f ca="1">IFERROR(__xludf.DUMMYFUNCTION("googletranslate(E2793,""en"",""ja"")"),"生物学的標本中のインターロイキン 20 の測定。")</f>
        <v>生物学的標本中のインターロイキン 20 の測定。</v>
      </c>
      <c r="I2793" s="3" t="str">
        <f ca="1">IFERROR(__xludf.DUMMYFUNCTION("googletranslate(F2793,""en"",""ja"")"),"インターロイキン20の測定")</f>
        <v>インターロイキン20の測定</v>
      </c>
    </row>
    <row r="2794" spans="1:9">
      <c r="A2794" s="3" t="s">
        <v>6</v>
      </c>
      <c r="B2794" s="3" t="s">
        <v>11629</v>
      </c>
      <c r="C2794" s="3" t="s">
        <v>11630</v>
      </c>
      <c r="D2794" s="3" t="s">
        <v>11630</v>
      </c>
      <c r="E2794" s="3" t="s">
        <v>11631</v>
      </c>
      <c r="F2794" s="3" t="s">
        <v>11632</v>
      </c>
      <c r="G2794" s="3" t="str">
        <f ca="1">IFERROR(__xludf.DUMMYFUNCTION("googletranslate(D2794,""en"",""ja"")"),"インターロイキン 21")</f>
        <v>インターロイキン 21</v>
      </c>
      <c r="H2794" s="3" t="str">
        <f ca="1">IFERROR(__xludf.DUMMYFUNCTION("googletranslate(E2794,""en"",""ja"")"),"生物学的標本中のインターロイキン 21 の測定。")</f>
        <v>生物学的標本中のインターロイキン 21 の測定。</v>
      </c>
      <c r="I2794" s="3" t="str">
        <f ca="1">IFERROR(__xludf.DUMMYFUNCTION("googletranslate(F2794,""en"",""ja"")"),"インターロイキン21の測定")</f>
        <v>インターロイキン21の測定</v>
      </c>
    </row>
    <row r="2795" spans="1:9">
      <c r="A2795" s="3" t="s">
        <v>6</v>
      </c>
      <c r="B2795" s="3" t="s">
        <v>11633</v>
      </c>
      <c r="C2795" s="3" t="s">
        <v>11634</v>
      </c>
      <c r="D2795" s="3" t="s">
        <v>11634</v>
      </c>
      <c r="E2795" s="3" t="s">
        <v>11635</v>
      </c>
      <c r="F2795" s="3" t="s">
        <v>11636</v>
      </c>
      <c r="G2795" s="3" t="str">
        <f ca="1">IFERROR(__xludf.DUMMYFUNCTION("googletranslate(D2795,""en"",""ja"")"),"インターロイキン22")</f>
        <v>インターロイキン22</v>
      </c>
      <c r="H2795" s="3" t="str">
        <f ca="1">IFERROR(__xludf.DUMMYFUNCTION("googletranslate(E2795,""en"",""ja"")"),"生物学的標本中のインターロイキン 22 の測定。")</f>
        <v>生物学的標本中のインターロイキン 22 の測定。</v>
      </c>
      <c r="I2795" s="3" t="str">
        <f ca="1">IFERROR(__xludf.DUMMYFUNCTION("googletranslate(F2795,""en"",""ja"")"),"インターロイキン22の測定")</f>
        <v>インターロイキン22の測定</v>
      </c>
    </row>
    <row r="2796" spans="1:9" ht="30">
      <c r="A2796" s="3" t="s">
        <v>6</v>
      </c>
      <c r="B2796" s="3" t="s">
        <v>11637</v>
      </c>
      <c r="C2796" s="3" t="s">
        <v>11638</v>
      </c>
      <c r="D2796" s="3" t="s">
        <v>11639</v>
      </c>
      <c r="E2796" s="3" t="s">
        <v>11640</v>
      </c>
      <c r="F2796" s="3" t="s">
        <v>11641</v>
      </c>
      <c r="G2796" s="3" t="str">
        <f ca="1">IFERROR(__xludf.DUMMYFUNCTION("googletranslate(D2796,""en"",""ja"")"),"インターロイキン 23;インターロイキン 23 p59")</f>
        <v>インターロイキン 23;インターロイキン 23 p59</v>
      </c>
      <c r="H2796" s="3" t="str">
        <f ca="1">IFERROR(__xludf.DUMMYFUNCTION("googletranslate(E2796,""en"",""ja"")"),"生物学的標本中のインターロイキン 23 の測定。")</f>
        <v>生物学的標本中のインターロイキン 23 の測定。</v>
      </c>
      <c r="I2796" s="3" t="str">
        <f ca="1">IFERROR(__xludf.DUMMYFUNCTION("googletranslate(F2796,""en"",""ja"")"),"インターロイキン23の測定")</f>
        <v>インターロイキン23の測定</v>
      </c>
    </row>
    <row r="2797" spans="1:9">
      <c r="A2797" s="3" t="s">
        <v>6</v>
      </c>
      <c r="B2797" s="3" t="s">
        <v>11642</v>
      </c>
      <c r="C2797" s="3" t="s">
        <v>11643</v>
      </c>
      <c r="D2797" s="3" t="s">
        <v>11643</v>
      </c>
      <c r="E2797" s="3" t="s">
        <v>11644</v>
      </c>
      <c r="F2797" s="3" t="s">
        <v>11645</v>
      </c>
      <c r="G2797" s="3" t="str">
        <f ca="1">IFERROR(__xludf.DUMMYFUNCTION("googletranslate(D2797,""en"",""ja"")"),"インターロイキン24")</f>
        <v>インターロイキン24</v>
      </c>
      <c r="H2797" s="3" t="str">
        <f ca="1">IFERROR(__xludf.DUMMYFUNCTION("googletranslate(E2797,""en"",""ja"")"),"生物学的標本中のインターロイキン 24 の測定。")</f>
        <v>生物学的標本中のインターロイキン 24 の測定。</v>
      </c>
      <c r="I2797" s="3" t="str">
        <f ca="1">IFERROR(__xludf.DUMMYFUNCTION("googletranslate(F2797,""en"",""ja"")"),"インターロイキン24の測定")</f>
        <v>インターロイキン24の測定</v>
      </c>
    </row>
    <row r="2798" spans="1:9">
      <c r="A2798" s="3" t="s">
        <v>6</v>
      </c>
      <c r="B2798" s="3" t="s">
        <v>11646</v>
      </c>
      <c r="C2798" s="3" t="s">
        <v>11647</v>
      </c>
      <c r="D2798" s="3" t="s">
        <v>11647</v>
      </c>
      <c r="E2798" s="3" t="s">
        <v>11648</v>
      </c>
      <c r="F2798" s="3" t="s">
        <v>11649</v>
      </c>
      <c r="G2798" s="3" t="str">
        <f ca="1">IFERROR(__xludf.DUMMYFUNCTION("googletranslate(D2798,""en"",""ja"")"),"インターロイキン25")</f>
        <v>インターロイキン25</v>
      </c>
      <c r="H2798" s="3" t="str">
        <f ca="1">IFERROR(__xludf.DUMMYFUNCTION("googletranslate(E2798,""en"",""ja"")"),"生物学的標本中のインターロイキン 25 の測定。")</f>
        <v>生物学的標本中のインターロイキン 25 の測定。</v>
      </c>
      <c r="I2798" s="3" t="str">
        <f ca="1">IFERROR(__xludf.DUMMYFUNCTION("googletranslate(F2798,""en"",""ja"")"),"インターロイキン25の測定")</f>
        <v>インターロイキン25の測定</v>
      </c>
    </row>
    <row r="2799" spans="1:9">
      <c r="A2799" s="3" t="s">
        <v>6</v>
      </c>
      <c r="B2799" s="3" t="s">
        <v>11650</v>
      </c>
      <c r="C2799" s="3" t="s">
        <v>11651</v>
      </c>
      <c r="D2799" s="3" t="s">
        <v>11651</v>
      </c>
      <c r="E2799" s="3" t="s">
        <v>11652</v>
      </c>
      <c r="F2799" s="3" t="s">
        <v>11653</v>
      </c>
      <c r="G2799" s="3" t="str">
        <f ca="1">IFERROR(__xludf.DUMMYFUNCTION("googletranslate(D2799,""en"",""ja"")"),"インターロイキン26")</f>
        <v>インターロイキン26</v>
      </c>
      <c r="H2799" s="3" t="str">
        <f ca="1">IFERROR(__xludf.DUMMYFUNCTION("googletranslate(E2799,""en"",""ja"")"),"生物学的標本中のインターロイキン 26 の測定。")</f>
        <v>生物学的標本中のインターロイキン 26 の測定。</v>
      </c>
      <c r="I2799" s="3" t="str">
        <f ca="1">IFERROR(__xludf.DUMMYFUNCTION("googletranslate(F2799,""en"",""ja"")"),"インターロイキン26の測定")</f>
        <v>インターロイキン26の測定</v>
      </c>
    </row>
    <row r="2800" spans="1:9">
      <c r="A2800" s="3" t="s">
        <v>6</v>
      </c>
      <c r="B2800" s="3" t="s">
        <v>11654</v>
      </c>
      <c r="C2800" s="3" t="s">
        <v>11655</v>
      </c>
      <c r="D2800" s="3" t="s">
        <v>11655</v>
      </c>
      <c r="E2800" s="3" t="s">
        <v>11656</v>
      </c>
      <c r="F2800" s="3" t="s">
        <v>11657</v>
      </c>
      <c r="G2800" s="3" t="str">
        <f ca="1">IFERROR(__xludf.DUMMYFUNCTION("googletranslate(D2800,""en"",""ja"")"),"インターロイキン27")</f>
        <v>インターロイキン27</v>
      </c>
      <c r="H2800" s="3" t="str">
        <f ca="1">IFERROR(__xludf.DUMMYFUNCTION("googletranslate(E2800,""en"",""ja"")"),"生物学的標本中のインターロイキン 27 の測定。")</f>
        <v>生物学的標本中のインターロイキン 27 の測定。</v>
      </c>
      <c r="I2800" s="3" t="str">
        <f ca="1">IFERROR(__xludf.DUMMYFUNCTION("googletranslate(F2800,""en"",""ja"")"),"インターロイキン27の測定")</f>
        <v>インターロイキン27の測定</v>
      </c>
    </row>
    <row r="2801" spans="1:9" ht="30">
      <c r="A2801" s="3" t="s">
        <v>6</v>
      </c>
      <c r="B2801" s="3" t="s">
        <v>11658</v>
      </c>
      <c r="C2801" s="3" t="s">
        <v>11659</v>
      </c>
      <c r="D2801" s="3" t="s">
        <v>11659</v>
      </c>
      <c r="E2801" s="3" t="s">
        <v>11660</v>
      </c>
      <c r="F2801" s="3" t="s">
        <v>11661</v>
      </c>
      <c r="G2801" s="3" t="str">
        <f ca="1">IFERROR(__xludf.DUMMYFUNCTION("googletranslate(D2801,""en"",""ja"")"),"インターロイキン 28")</f>
        <v>インターロイキン 28</v>
      </c>
      <c r="H2801" s="3" t="str">
        <f ca="1">IFERROR(__xludf.DUMMYFUNCTION("googletranslate(E2801,""en"",""ja"")"),"生物学的標本中の総インターロイキン 28 の測定。")</f>
        <v>生物学的標本中の総インターロイキン 28 の測定。</v>
      </c>
      <c r="I2801" s="3" t="str">
        <f ca="1">IFERROR(__xludf.DUMMYFUNCTION("googletranslate(F2801,""en"",""ja"")"),"インターロイキン28の測定")</f>
        <v>インターロイキン28の測定</v>
      </c>
    </row>
    <row r="2802" spans="1:9">
      <c r="A2802" s="3" t="s">
        <v>6</v>
      </c>
      <c r="B2802" s="3" t="s">
        <v>11662</v>
      </c>
      <c r="C2802" s="3" t="s">
        <v>11663</v>
      </c>
      <c r="D2802" s="3" t="s">
        <v>11663</v>
      </c>
      <c r="E2802" s="3" t="s">
        <v>11664</v>
      </c>
      <c r="F2802" s="3" t="s">
        <v>11665</v>
      </c>
      <c r="G2802" s="3" t="str">
        <f ca="1">IFERROR(__xludf.DUMMYFUNCTION("googletranslate(D2802,""en"",""ja"")"),"インターロイキン 29")</f>
        <v>インターロイキン 29</v>
      </c>
      <c r="H2802" s="3" t="str">
        <f ca="1">IFERROR(__xludf.DUMMYFUNCTION("googletranslate(E2802,""en"",""ja"")"),"生物学的標本中のインターロイキン 29 の測定。")</f>
        <v>生物学的標本中のインターロイキン 29 の測定。</v>
      </c>
      <c r="I2802" s="3" t="str">
        <f ca="1">IFERROR(__xludf.DUMMYFUNCTION("googletranslate(F2802,""en"",""ja"")"),"インターロイキン29の測定")</f>
        <v>インターロイキン29の測定</v>
      </c>
    </row>
    <row r="2803" spans="1:9">
      <c r="A2803" s="3" t="s">
        <v>6</v>
      </c>
      <c r="B2803" s="3" t="s">
        <v>11666</v>
      </c>
      <c r="C2803" s="3" t="s">
        <v>11667</v>
      </c>
      <c r="D2803" s="3" t="s">
        <v>11667</v>
      </c>
      <c r="E2803" s="3" t="s">
        <v>11668</v>
      </c>
      <c r="F2803" s="3" t="s">
        <v>11669</v>
      </c>
      <c r="G2803" s="3" t="str">
        <f ca="1">IFERROR(__xludf.DUMMYFUNCTION("googletranslate(D2803,""en"",""ja"")"),"インターロイキン 3")</f>
        <v>インターロイキン 3</v>
      </c>
      <c r="H2803" s="3" t="str">
        <f ca="1">IFERROR(__xludf.DUMMYFUNCTION("googletranslate(E2803,""en"",""ja"")"),"生物学的標本中のインターロイキン 3 の測定。")</f>
        <v>生物学的標本中のインターロイキン 3 の測定。</v>
      </c>
      <c r="I2803" s="3" t="str">
        <f ca="1">IFERROR(__xludf.DUMMYFUNCTION("googletranslate(F2803,""en"",""ja"")"),"インターロイキン3の測定")</f>
        <v>インターロイキン3の測定</v>
      </c>
    </row>
    <row r="2804" spans="1:9">
      <c r="A2804" s="3" t="s">
        <v>6</v>
      </c>
      <c r="B2804" s="3" t="s">
        <v>11670</v>
      </c>
      <c r="C2804" s="3" t="s">
        <v>11671</v>
      </c>
      <c r="D2804" s="3" t="s">
        <v>11671</v>
      </c>
      <c r="E2804" s="3" t="s">
        <v>11672</v>
      </c>
      <c r="F2804" s="3" t="s">
        <v>11673</v>
      </c>
      <c r="G2804" s="3" t="str">
        <f ca="1">IFERROR(__xludf.DUMMYFUNCTION("googletranslate(D2804,""en"",""ja"")"),"インターロイキン30")</f>
        <v>インターロイキン30</v>
      </c>
      <c r="H2804" s="3" t="str">
        <f ca="1">IFERROR(__xludf.DUMMYFUNCTION("googletranslate(E2804,""en"",""ja"")"),"生物学的標本中のインターロイキン 30 の測定。")</f>
        <v>生物学的標本中のインターロイキン 30 の測定。</v>
      </c>
      <c r="I2804" s="3" t="str">
        <f ca="1">IFERROR(__xludf.DUMMYFUNCTION("googletranslate(F2804,""en"",""ja"")"),"インターロイキン30の測定")</f>
        <v>インターロイキン30の測定</v>
      </c>
    </row>
    <row r="2805" spans="1:9">
      <c r="A2805" s="3" t="s">
        <v>6</v>
      </c>
      <c r="B2805" s="3" t="s">
        <v>11674</v>
      </c>
      <c r="C2805" s="3" t="s">
        <v>11675</v>
      </c>
      <c r="D2805" s="3" t="s">
        <v>11675</v>
      </c>
      <c r="E2805" s="3" t="s">
        <v>11676</v>
      </c>
      <c r="F2805" s="3" t="s">
        <v>11677</v>
      </c>
      <c r="G2805" s="3" t="str">
        <f ca="1">IFERROR(__xludf.DUMMYFUNCTION("googletranslate(D2805,""en"",""ja"")"),"インターロイキン 31")</f>
        <v>インターロイキン 31</v>
      </c>
      <c r="H2805" s="3" t="str">
        <f ca="1">IFERROR(__xludf.DUMMYFUNCTION("googletranslate(E2805,""en"",""ja"")"),"生物学的標本中のインターロイキン 31 の測定。")</f>
        <v>生物学的標本中のインターロイキン 31 の測定。</v>
      </c>
      <c r="I2805" s="3" t="str">
        <f ca="1">IFERROR(__xludf.DUMMYFUNCTION("googletranslate(F2805,""en"",""ja"")"),"インターロイキン31の測定")</f>
        <v>インターロイキン31の測定</v>
      </c>
    </row>
    <row r="2806" spans="1:9">
      <c r="A2806" s="3" t="s">
        <v>6</v>
      </c>
      <c r="B2806" s="3" t="s">
        <v>11678</v>
      </c>
      <c r="C2806" s="3" t="s">
        <v>11679</v>
      </c>
      <c r="D2806" s="3" t="s">
        <v>11679</v>
      </c>
      <c r="E2806" s="3" t="s">
        <v>11680</v>
      </c>
      <c r="F2806" s="3" t="s">
        <v>11681</v>
      </c>
      <c r="G2806" s="3" t="str">
        <f ca="1">IFERROR(__xludf.DUMMYFUNCTION("googletranslate(D2806,""en"",""ja"")"),"インターロイキン 32")</f>
        <v>インターロイキン 32</v>
      </c>
      <c r="H2806" s="3" t="str">
        <f ca="1">IFERROR(__xludf.DUMMYFUNCTION("googletranslate(E2806,""en"",""ja"")"),"生物学的標本中のインターロイキン 32 の測定。")</f>
        <v>生物学的標本中のインターロイキン 32 の測定。</v>
      </c>
      <c r="I2806" s="3" t="str">
        <f ca="1">IFERROR(__xludf.DUMMYFUNCTION("googletranslate(F2806,""en"",""ja"")"),"インターロイキン32の測定")</f>
        <v>インターロイキン32の測定</v>
      </c>
    </row>
    <row r="2807" spans="1:9">
      <c r="A2807" s="3" t="s">
        <v>6</v>
      </c>
      <c r="B2807" s="3" t="s">
        <v>11682</v>
      </c>
      <c r="C2807" s="3" t="s">
        <v>11683</v>
      </c>
      <c r="D2807" s="3" t="s">
        <v>11683</v>
      </c>
      <c r="E2807" s="3" t="s">
        <v>11684</v>
      </c>
      <c r="F2807" s="3" t="s">
        <v>11685</v>
      </c>
      <c r="G2807" s="3" t="str">
        <f ca="1">IFERROR(__xludf.DUMMYFUNCTION("googletranslate(D2807,""en"",""ja"")"),"インターロイキン 33")</f>
        <v>インターロイキン 33</v>
      </c>
      <c r="H2807" s="3" t="str">
        <f ca="1">IFERROR(__xludf.DUMMYFUNCTION("googletranslate(E2807,""en"",""ja"")"),"生物学的標本中のインターロイキン 33 の測定。")</f>
        <v>生物学的標本中のインターロイキン 33 の測定。</v>
      </c>
      <c r="I2807" s="3" t="str">
        <f ca="1">IFERROR(__xludf.DUMMYFUNCTION("googletranslate(F2807,""en"",""ja"")"),"インターロイキン33の測定")</f>
        <v>インターロイキン33の測定</v>
      </c>
    </row>
    <row r="2808" spans="1:9">
      <c r="A2808" s="3" t="s">
        <v>6</v>
      </c>
      <c r="B2808" s="3" t="s">
        <v>11686</v>
      </c>
      <c r="C2808" s="3" t="s">
        <v>11687</v>
      </c>
      <c r="D2808" s="3" t="s">
        <v>11687</v>
      </c>
      <c r="E2808" s="3" t="s">
        <v>11688</v>
      </c>
      <c r="F2808" s="3" t="s">
        <v>11689</v>
      </c>
      <c r="G2808" s="3" t="str">
        <f ca="1">IFERROR(__xludf.DUMMYFUNCTION("googletranslate(D2808,""en"",""ja"")"),"インターロイキン 4")</f>
        <v>インターロイキン 4</v>
      </c>
      <c r="H2808" s="3" t="str">
        <f ca="1">IFERROR(__xludf.DUMMYFUNCTION("googletranslate(E2808,""en"",""ja"")"),"生物学的標本中のインターロイキン 4 の測定。")</f>
        <v>生物学的標本中のインターロイキン 4 の測定。</v>
      </c>
      <c r="I2808" s="3" t="str">
        <f ca="1">IFERROR(__xludf.DUMMYFUNCTION("googletranslate(F2808,""en"",""ja"")"),"インターロイキン4の測定")</f>
        <v>インターロイキン4の測定</v>
      </c>
    </row>
    <row r="2809" spans="1:9">
      <c r="A2809" s="3" t="s">
        <v>6</v>
      </c>
      <c r="B2809" s="3" t="s">
        <v>11690</v>
      </c>
      <c r="C2809" s="3" t="s">
        <v>11691</v>
      </c>
      <c r="D2809" s="3" t="s">
        <v>11691</v>
      </c>
      <c r="E2809" s="3" t="s">
        <v>11692</v>
      </c>
      <c r="F2809" s="3" t="s">
        <v>11693</v>
      </c>
      <c r="G2809" s="3" t="str">
        <f ca="1">IFERROR(__xludf.DUMMYFUNCTION("googletranslate(D2809,""en"",""ja"")"),"インターロイキン5")</f>
        <v>インターロイキン5</v>
      </c>
      <c r="H2809" s="3" t="str">
        <f ca="1">IFERROR(__xludf.DUMMYFUNCTION("googletranslate(E2809,""en"",""ja"")"),"生物学的標本中のインターロイキン 5 の測定。")</f>
        <v>生物学的標本中のインターロイキン 5 の測定。</v>
      </c>
      <c r="I2809" s="3" t="str">
        <f ca="1">IFERROR(__xludf.DUMMYFUNCTION("googletranslate(F2809,""en"",""ja"")"),"インターロイキン5の測定")</f>
        <v>インターロイキン5の測定</v>
      </c>
    </row>
    <row r="2810" spans="1:9">
      <c r="A2810" s="3" t="s">
        <v>6</v>
      </c>
      <c r="B2810" s="3" t="s">
        <v>11694</v>
      </c>
      <c r="C2810" s="3" t="s">
        <v>11695</v>
      </c>
      <c r="D2810" s="3" t="s">
        <v>11695</v>
      </c>
      <c r="E2810" s="3" t="s">
        <v>11696</v>
      </c>
      <c r="F2810" s="3" t="s">
        <v>11697</v>
      </c>
      <c r="G2810" s="3" t="str">
        <f ca="1">IFERROR(__xludf.DUMMYFUNCTION("googletranslate(D2810,""en"",""ja"")"),"インターロイキン6")</f>
        <v>インターロイキン6</v>
      </c>
      <c r="H2810" s="3" t="str">
        <f ca="1">IFERROR(__xludf.DUMMYFUNCTION("googletranslate(E2810,""en"",""ja"")"),"生物学的標本中のインターロイキン 6 の測定。")</f>
        <v>生物学的標本中のインターロイキン 6 の測定。</v>
      </c>
      <c r="I2810" s="3" t="str">
        <f ca="1">IFERROR(__xludf.DUMMYFUNCTION("googletranslate(F2810,""en"",""ja"")"),"インターロイキン6の測定")</f>
        <v>インターロイキン6の測定</v>
      </c>
    </row>
    <row r="2811" spans="1:9">
      <c r="A2811" s="3" t="s">
        <v>6</v>
      </c>
      <c r="B2811" s="3" t="s">
        <v>11698</v>
      </c>
      <c r="C2811" s="3" t="s">
        <v>11699</v>
      </c>
      <c r="D2811" s="3" t="s">
        <v>11699</v>
      </c>
      <c r="E2811" s="3" t="s">
        <v>11700</v>
      </c>
      <c r="F2811" s="3" t="s">
        <v>11701</v>
      </c>
      <c r="G2811" s="3" t="str">
        <f ca="1">IFERROR(__xludf.DUMMYFUNCTION("googletranslate(D2811,""en"",""ja"")"),"インターロイキン 7")</f>
        <v>インターロイキン 7</v>
      </c>
      <c r="H2811" s="3" t="str">
        <f ca="1">IFERROR(__xludf.DUMMYFUNCTION("googletranslate(E2811,""en"",""ja"")"),"生物学的標本中のインターロイキン 7 の測定。")</f>
        <v>生物学的標本中のインターロイキン 7 の測定。</v>
      </c>
      <c r="I2811" s="3" t="str">
        <f ca="1">IFERROR(__xludf.DUMMYFUNCTION("googletranslate(F2811,""en"",""ja"")"),"インターロイキン7の測定")</f>
        <v>インターロイキン7の測定</v>
      </c>
    </row>
    <row r="2812" spans="1:9">
      <c r="A2812" s="3" t="s">
        <v>6</v>
      </c>
      <c r="B2812" s="3" t="s">
        <v>11702</v>
      </c>
      <c r="C2812" s="3" t="s">
        <v>11703</v>
      </c>
      <c r="D2812" s="3" t="s">
        <v>11703</v>
      </c>
      <c r="E2812" s="3" t="s">
        <v>11704</v>
      </c>
      <c r="F2812" s="3" t="s">
        <v>11705</v>
      </c>
      <c r="G2812" s="3" t="str">
        <f ca="1">IFERROR(__xludf.DUMMYFUNCTION("googletranslate(D2812,""en"",""ja"")"),"インターロイキン 8")</f>
        <v>インターロイキン 8</v>
      </c>
      <c r="H2812" s="3" t="str">
        <f ca="1">IFERROR(__xludf.DUMMYFUNCTION("googletranslate(E2812,""en"",""ja"")"),"生物学的標本中のインターロイキン 8 の測定。")</f>
        <v>生物学的標本中のインターロイキン 8 の測定。</v>
      </c>
      <c r="I2812" s="3" t="str">
        <f ca="1">IFERROR(__xludf.DUMMYFUNCTION("googletranslate(F2812,""en"",""ja"")"),"インターロイキン8の測定")</f>
        <v>インターロイキン8の測定</v>
      </c>
    </row>
    <row r="2813" spans="1:9">
      <c r="A2813" s="3" t="s">
        <v>6</v>
      </c>
      <c r="B2813" s="3" t="s">
        <v>11706</v>
      </c>
      <c r="C2813" s="3" t="s">
        <v>11707</v>
      </c>
      <c r="D2813" s="3" t="s">
        <v>11707</v>
      </c>
      <c r="E2813" s="3" t="s">
        <v>11708</v>
      </c>
      <c r="F2813" s="3" t="s">
        <v>11709</v>
      </c>
      <c r="G2813" s="3" t="str">
        <f ca="1">IFERROR(__xludf.DUMMYFUNCTION("googletranslate(D2813,""en"",""ja"")"),"インターロイキン9")</f>
        <v>インターロイキン9</v>
      </c>
      <c r="H2813" s="3" t="str">
        <f ca="1">IFERROR(__xludf.DUMMYFUNCTION("googletranslate(E2813,""en"",""ja"")"),"生物学的標本中のインターロイキン 9 の測定。")</f>
        <v>生物学的標本中のインターロイキン 9 の測定。</v>
      </c>
      <c r="I2813" s="3" t="str">
        <f ca="1">IFERROR(__xludf.DUMMYFUNCTION("googletranslate(F2813,""en"",""ja"")"),"インターロイキン9の測定")</f>
        <v>インターロイキン9の測定</v>
      </c>
    </row>
    <row r="2814" spans="1:9" ht="75">
      <c r="A2814" s="3" t="s">
        <v>81</v>
      </c>
      <c r="B2814" s="3" t="s">
        <v>11710</v>
      </c>
      <c r="C2814" s="3" t="s">
        <v>11711</v>
      </c>
      <c r="D2814" s="3" t="s">
        <v>11711</v>
      </c>
      <c r="E2814" s="3" t="s">
        <v>11712</v>
      </c>
      <c r="F2814" s="3" t="s">
        <v>11711</v>
      </c>
      <c r="G2814" s="3" t="str">
        <f ca="1">IFERROR(__xludf.DUMMYFUNCTION("googletranslate(D2814,""en"",""ja"")"),"解釈")</f>
        <v>解釈</v>
      </c>
      <c r="H2814" s="3" t="str">
        <f ca="1">IFERROR(__xludf.DUMMYFUNCTION("googletranslate(E2814,""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4" s="3" t="str">
        <f ca="1">IFERROR(__xludf.DUMMYFUNCTION("googletranslate(F2814,""en"",""ja"")"),"解釈")</f>
        <v>解釈</v>
      </c>
    </row>
    <row r="2815" spans="1:9" ht="75">
      <c r="A2815" s="3" t="s">
        <v>985</v>
      </c>
      <c r="B2815" s="3" t="s">
        <v>11710</v>
      </c>
      <c r="C2815" s="3" t="s">
        <v>11711</v>
      </c>
      <c r="D2815" s="3" t="s">
        <v>11711</v>
      </c>
      <c r="E2815" s="3" t="s">
        <v>11712</v>
      </c>
      <c r="F2815" s="3" t="s">
        <v>11711</v>
      </c>
      <c r="G2815" s="3" t="str">
        <f ca="1">IFERROR(__xludf.DUMMYFUNCTION("googletranslate(D2815,""en"",""ja"")"),"解釈")</f>
        <v>解釈</v>
      </c>
      <c r="H2815" s="3" t="str">
        <f ca="1">IFERROR(__xludf.DUMMYFUNCTION("googletranslate(E2815,""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5" s="3" t="str">
        <f ca="1">IFERROR(__xludf.DUMMYFUNCTION("googletranslate(F2815,""en"",""ja"")"),"解釈")</f>
        <v>解釈</v>
      </c>
    </row>
    <row r="2816" spans="1:9" ht="75">
      <c r="A2816" s="3" t="s">
        <v>103</v>
      </c>
      <c r="B2816" s="3" t="s">
        <v>11710</v>
      </c>
      <c r="C2816" s="3" t="s">
        <v>11711</v>
      </c>
      <c r="D2816" s="3" t="s">
        <v>11711</v>
      </c>
      <c r="E2816" s="3" t="s">
        <v>11712</v>
      </c>
      <c r="F2816" s="3" t="s">
        <v>11711</v>
      </c>
      <c r="G2816" s="3" t="str">
        <f ca="1">IFERROR(__xludf.DUMMYFUNCTION("googletranslate(D2816,""en"",""ja"")"),"解釈")</f>
        <v>解釈</v>
      </c>
      <c r="H2816" s="3" t="str">
        <f ca="1">IFERROR(__xludf.DUMMYFUNCTION("googletranslate(E2816,""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6" s="3" t="str">
        <f ca="1">IFERROR(__xludf.DUMMYFUNCTION("googletranslate(F2816,""en"",""ja"")"),"解釈")</f>
        <v>解釈</v>
      </c>
    </row>
    <row r="2817" spans="1:9" ht="75">
      <c r="A2817" s="3" t="s">
        <v>1664</v>
      </c>
      <c r="B2817" s="3" t="s">
        <v>11710</v>
      </c>
      <c r="C2817" s="3" t="s">
        <v>11711</v>
      </c>
      <c r="D2817" s="3" t="s">
        <v>11711</v>
      </c>
      <c r="E2817" s="3" t="s">
        <v>11712</v>
      </c>
      <c r="F2817" s="3" t="s">
        <v>11711</v>
      </c>
      <c r="G2817" s="3" t="str">
        <f ca="1">IFERROR(__xludf.DUMMYFUNCTION("googletranslate(D2817,""en"",""ja"")"),"解釈")</f>
        <v>解釈</v>
      </c>
      <c r="H2817" s="3" t="str">
        <f ca="1">IFERROR(__xludf.DUMMYFUNCTION("googletranslate(E2817,""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7" s="3" t="str">
        <f ca="1">IFERROR(__xludf.DUMMYFUNCTION("googletranslate(F2817,""en"",""ja"")"),"解釈")</f>
        <v>解釈</v>
      </c>
    </row>
    <row r="2818" spans="1:9" ht="75">
      <c r="A2818" s="3" t="s">
        <v>1557</v>
      </c>
      <c r="B2818" s="3" t="s">
        <v>11710</v>
      </c>
      <c r="C2818" s="3" t="s">
        <v>11711</v>
      </c>
      <c r="D2818" s="3" t="s">
        <v>11711</v>
      </c>
      <c r="E2818" s="3" t="s">
        <v>11712</v>
      </c>
      <c r="F2818" s="3" t="s">
        <v>11711</v>
      </c>
      <c r="G2818" s="3" t="str">
        <f ca="1">IFERROR(__xludf.DUMMYFUNCTION("googletranslate(D2818,""en"",""ja"")"),"解釈")</f>
        <v>解釈</v>
      </c>
      <c r="H2818" s="3" t="str">
        <f ca="1">IFERROR(__xludf.DUMMYFUNCTION("googletranslate(E2818,""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8" s="3" t="str">
        <f ca="1">IFERROR(__xludf.DUMMYFUNCTION("googletranslate(F2818,""en"",""ja"")"),"解釈")</f>
        <v>解釈</v>
      </c>
    </row>
    <row r="2819" spans="1:9" ht="75">
      <c r="A2819" s="3" t="s">
        <v>118</v>
      </c>
      <c r="B2819" s="3" t="s">
        <v>11710</v>
      </c>
      <c r="C2819" s="3" t="s">
        <v>11711</v>
      </c>
      <c r="D2819" s="3" t="s">
        <v>11711</v>
      </c>
      <c r="E2819" s="3" t="s">
        <v>11712</v>
      </c>
      <c r="F2819" s="3" t="s">
        <v>11711</v>
      </c>
      <c r="G2819" s="3" t="str">
        <f ca="1">IFERROR(__xludf.DUMMYFUNCTION("googletranslate(D2819,""en"",""ja"")"),"解釈")</f>
        <v>解釈</v>
      </c>
      <c r="H2819" s="3" t="str">
        <f ca="1">IFERROR(__xludf.DUMMYFUNCTION("googletranslate(E2819,""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9" s="3" t="str">
        <f ca="1">IFERROR(__xludf.DUMMYFUNCTION("googletranslate(F2819,""en"",""ja"")"),"解釈")</f>
        <v>解釈</v>
      </c>
    </row>
    <row r="2820" spans="1:9" ht="75">
      <c r="A2820" s="3" t="s">
        <v>1535</v>
      </c>
      <c r="B2820" s="3" t="s">
        <v>11710</v>
      </c>
      <c r="C2820" s="3" t="s">
        <v>11711</v>
      </c>
      <c r="D2820" s="3" t="s">
        <v>11711</v>
      </c>
      <c r="E2820" s="3" t="s">
        <v>11712</v>
      </c>
      <c r="F2820" s="3" t="s">
        <v>11711</v>
      </c>
      <c r="G2820" s="3" t="str">
        <f ca="1">IFERROR(__xludf.DUMMYFUNCTION("googletranslate(D2820,""en"",""ja"")"),"解釈")</f>
        <v>解釈</v>
      </c>
      <c r="H2820" s="3" t="str">
        <f ca="1">IFERROR(__xludf.DUMMYFUNCTION("googletranslate(E2820,""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0" s="3" t="str">
        <f ca="1">IFERROR(__xludf.DUMMYFUNCTION("googletranslate(F2820,""en"",""ja"")"),"解釈")</f>
        <v>解釈</v>
      </c>
    </row>
    <row r="2821" spans="1:9" ht="75">
      <c r="A2821" s="3" t="s">
        <v>185</v>
      </c>
      <c r="B2821" s="3" t="s">
        <v>11710</v>
      </c>
      <c r="C2821" s="3" t="s">
        <v>11711</v>
      </c>
      <c r="D2821" s="3" t="s">
        <v>11711</v>
      </c>
      <c r="E2821" s="3" t="s">
        <v>11712</v>
      </c>
      <c r="F2821" s="3" t="s">
        <v>11711</v>
      </c>
      <c r="G2821" s="3" t="str">
        <f ca="1">IFERROR(__xludf.DUMMYFUNCTION("googletranslate(D2821,""en"",""ja"")"),"解釈")</f>
        <v>解釈</v>
      </c>
      <c r="H2821" s="3" t="str">
        <f ca="1">IFERROR(__xludf.DUMMYFUNCTION("googletranslate(E2821,""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1" s="3" t="str">
        <f ca="1">IFERROR(__xludf.DUMMYFUNCTION("googletranslate(F2821,""en"",""ja"")"),"解釈")</f>
        <v>解釈</v>
      </c>
    </row>
    <row r="2822" spans="1:9" ht="75">
      <c r="A2822" s="3" t="s">
        <v>490</v>
      </c>
      <c r="B2822" s="3" t="s">
        <v>11710</v>
      </c>
      <c r="C2822" s="3" t="s">
        <v>11711</v>
      </c>
      <c r="D2822" s="3" t="s">
        <v>11711</v>
      </c>
      <c r="E2822" s="3" t="s">
        <v>11712</v>
      </c>
      <c r="F2822" s="3" t="s">
        <v>11711</v>
      </c>
      <c r="G2822" s="3" t="str">
        <f ca="1">IFERROR(__xludf.DUMMYFUNCTION("googletranslate(D2822,""en"",""ja"")"),"解釈")</f>
        <v>解釈</v>
      </c>
      <c r="H2822" s="3" t="str">
        <f ca="1">IFERROR(__xludf.DUMMYFUNCTION("googletranslate(E2822,""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2" s="3" t="str">
        <f ca="1">IFERROR(__xludf.DUMMYFUNCTION("googletranslate(F2822,""en"",""ja"")"),"解釈")</f>
        <v>解釈</v>
      </c>
    </row>
    <row r="2823" spans="1:9" ht="75">
      <c r="A2823" s="3" t="s">
        <v>142</v>
      </c>
      <c r="B2823" s="3" t="s">
        <v>11710</v>
      </c>
      <c r="C2823" s="3" t="s">
        <v>11711</v>
      </c>
      <c r="D2823" s="3" t="s">
        <v>11711</v>
      </c>
      <c r="E2823" s="3" t="s">
        <v>11712</v>
      </c>
      <c r="F2823" s="3" t="s">
        <v>11711</v>
      </c>
      <c r="G2823" s="3" t="str">
        <f ca="1">IFERROR(__xludf.DUMMYFUNCTION("googletranslate(D2823,""en"",""ja"")"),"解釈")</f>
        <v>解釈</v>
      </c>
      <c r="H2823" s="3" t="str">
        <f ca="1">IFERROR(__xludf.DUMMYFUNCTION("googletranslate(E2823,""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3" s="3" t="str">
        <f ca="1">IFERROR(__xludf.DUMMYFUNCTION("googletranslate(F2823,""en"",""ja"")"),"解釈")</f>
        <v>解釈</v>
      </c>
    </row>
    <row r="2824" spans="1:9">
      <c r="A2824" s="3" t="s">
        <v>6</v>
      </c>
      <c r="B2824" s="3" t="s">
        <v>11713</v>
      </c>
      <c r="C2824" s="3" t="s">
        <v>11714</v>
      </c>
      <c r="D2824" s="3" t="s">
        <v>11714</v>
      </c>
      <c r="E2824" s="3" t="s">
        <v>11715</v>
      </c>
      <c r="F2824" s="3" t="s">
        <v>11716</v>
      </c>
      <c r="G2824" s="3" t="str">
        <f ca="1">IFERROR(__xludf.DUMMYFUNCTION("googletranslate(D2824,""en"",""ja"")"),"イヌリン")</f>
        <v>イヌリン</v>
      </c>
      <c r="H2824" s="3" t="str">
        <f ca="1">IFERROR(__xludf.DUMMYFUNCTION("googletranslate(E2824,""en"",""ja"")"),"生物学的標本中のイヌリンの測定。")</f>
        <v>生物学的標本中のイヌリンの測定。</v>
      </c>
      <c r="I2824" s="3" t="str">
        <f ca="1">IFERROR(__xludf.DUMMYFUNCTION("googletranslate(F2824,""en"",""ja"")"),"イヌリン測定")</f>
        <v>イヌリン測定</v>
      </c>
    </row>
    <row r="2825" spans="1:9" ht="30">
      <c r="A2825" s="3" t="s">
        <v>1255</v>
      </c>
      <c r="B2825" s="3" t="s">
        <v>11717</v>
      </c>
      <c r="C2825" s="3" t="s">
        <v>11718</v>
      </c>
      <c r="D2825" s="3" t="s">
        <v>11718</v>
      </c>
      <c r="E2825" s="3" t="s">
        <v>11719</v>
      </c>
      <c r="F2825" s="3" t="s">
        <v>11718</v>
      </c>
      <c r="G2825" s="3" t="str">
        <f ca="1">IFERROR(__xludf.DUMMYFUNCTION("googletranslate(D2825,""en"",""ja"")"),"反転時間")</f>
        <v>反転時間</v>
      </c>
      <c r="H2825" s="3" t="str">
        <f ca="1">IFERROR(__xludf.DUMMYFUNCTION("googletranslate(E2825,""en"",""ja"")"),"反転回復パルスシーケンスにおける反転パルスと励起パルスの間の時間。")</f>
        <v>反転回復パルスシーケンスにおける反転パルスと励起パルスの間の時間。</v>
      </c>
      <c r="I2825" s="3" t="str">
        <f ca="1">IFERROR(__xludf.DUMMYFUNCTION("googletranslate(F2825,""en"",""ja"")"),"反転時間")</f>
        <v>反転時間</v>
      </c>
    </row>
    <row r="2826" spans="1:9">
      <c r="A2826" s="3" t="s">
        <v>6</v>
      </c>
      <c r="B2826" s="3" t="s">
        <v>11720</v>
      </c>
      <c r="C2826" s="3" t="s">
        <v>11721</v>
      </c>
      <c r="D2826" s="3" t="s">
        <v>11721</v>
      </c>
      <c r="E2826" s="3" t="s">
        <v>11722</v>
      </c>
      <c r="F2826" s="3" t="s">
        <v>11723</v>
      </c>
      <c r="G2826" s="3" t="str">
        <f ca="1">IFERROR(__xludf.DUMMYFUNCTION("googletranslate(D2826,""en"",""ja"")"),"ヨウ素")</f>
        <v>ヨウ素</v>
      </c>
      <c r="H2826" s="3" t="str">
        <f ca="1">IFERROR(__xludf.DUMMYFUNCTION("googletranslate(E2826,""en"",""ja"")"),"生物学的標本中の総ヨウ素の測定。")</f>
        <v>生物学的標本中の総ヨウ素の測定。</v>
      </c>
      <c r="I2826" s="3" t="str">
        <f ca="1">IFERROR(__xludf.DUMMYFUNCTION("googletranslate(F2826,""en"",""ja"")"),"ヨウ素測定")</f>
        <v>ヨウ素測定</v>
      </c>
    </row>
    <row r="2827" spans="1:9" ht="30">
      <c r="A2827" s="3" t="s">
        <v>6</v>
      </c>
      <c r="B2827" s="3" t="s">
        <v>11724</v>
      </c>
      <c r="C2827" s="3" t="s">
        <v>11725</v>
      </c>
      <c r="D2827" s="3" t="s">
        <v>11725</v>
      </c>
      <c r="E2827" s="3" t="s">
        <v>11726</v>
      </c>
      <c r="F2827" s="3" t="s">
        <v>11727</v>
      </c>
      <c r="G2827" s="3" t="str">
        <f ca="1">IFERROR(__xludf.DUMMYFUNCTION("googletranslate(D2827,""en"",""ja"")"),"ヨウ素、遊離")</f>
        <v>ヨウ素、遊離</v>
      </c>
      <c r="H2827" s="3" t="str">
        <f ca="1">IFERROR(__xludf.DUMMYFUNCTION("googletranslate(E2827,""en"",""ja"")"),"生物学的標本中の遊離（結合していない）ヨウ素の測定。")</f>
        <v>生物学的標本中の遊離（結合していない）ヨウ素の測定。</v>
      </c>
      <c r="I2827" s="3" t="str">
        <f ca="1">IFERROR(__xludf.DUMMYFUNCTION("googletranslate(F2827,""en"",""ja"")"),"遊離ヨウ素の測定")</f>
        <v>遊離ヨウ素の測定</v>
      </c>
    </row>
    <row r="2828" spans="1:9" ht="45">
      <c r="A2828" s="3" t="s">
        <v>6</v>
      </c>
      <c r="B2828" s="3" t="s">
        <v>11728</v>
      </c>
      <c r="C2828" s="3" t="s">
        <v>11729</v>
      </c>
      <c r="D2828" s="3" t="s">
        <v>11729</v>
      </c>
      <c r="E2828" s="3" t="s">
        <v>11730</v>
      </c>
      <c r="F2828" s="3" t="s">
        <v>11729</v>
      </c>
      <c r="G2828" s="3" t="str">
        <f ca="1">IFERROR(__xludf.DUMMYFUNCTION("googletranslate(D2828,""en"",""ja"")"),"イオヘキソール クリアランス")</f>
        <v>イオヘキソール クリアランス</v>
      </c>
      <c r="H2828" s="3" t="str">
        <f ca="1">IFERROR(__xludf.DUMMYFUNCTION("googletranslate(E2828,""en"",""ja"")"),"指定された時間単位 (例: 1 分) の尿の排泄によってイオヘキソールが除去される血清または血漿の量の測定値。")</f>
        <v>指定された時間単位 (例: 1 分) の尿の排泄によってイオヘキソールが除去される血清または血漿の量の測定値。</v>
      </c>
      <c r="I2828" s="3" t="str">
        <f ca="1">IFERROR(__xludf.DUMMYFUNCTION("googletranslate(F2828,""en"",""ja"")"),"イオヘキソール クリアランス")</f>
        <v>イオヘキソール クリアランス</v>
      </c>
    </row>
    <row r="2829" spans="1:9">
      <c r="A2829" s="3" t="s">
        <v>6</v>
      </c>
      <c r="B2829" s="3" t="s">
        <v>11731</v>
      </c>
      <c r="C2829" s="3" t="s">
        <v>11732</v>
      </c>
      <c r="D2829" s="3" t="s">
        <v>11732</v>
      </c>
      <c r="E2829" s="3" t="s">
        <v>11733</v>
      </c>
      <c r="F2829" s="3" t="s">
        <v>11734</v>
      </c>
      <c r="G2829" s="3" t="str">
        <f ca="1">IFERROR(__xludf.DUMMYFUNCTION("googletranslate(D2829,""en"",""ja"")"),"イオヘキソール")</f>
        <v>イオヘキソール</v>
      </c>
      <c r="H2829" s="3" t="str">
        <f ca="1">IFERROR(__xludf.DUMMYFUNCTION("googletranslate(E2829,""en"",""ja"")"),"生体試料中のイオヘキソールの測定。")</f>
        <v>生体試料中のイオヘキソールの測定。</v>
      </c>
      <c r="I2829" s="3" t="str">
        <f ca="1">IFERROR(__xludf.DUMMYFUNCTION("googletranslate(F2829,""en"",""ja"")"),"イオヘキソールの測定")</f>
        <v>イオヘキソールの測定</v>
      </c>
    </row>
    <row r="2830" spans="1:9">
      <c r="A2830" s="3" t="s">
        <v>1557</v>
      </c>
      <c r="B2830" s="3" t="s">
        <v>11735</v>
      </c>
      <c r="C2830" s="3" t="s">
        <v>11736</v>
      </c>
      <c r="D2830" s="3" t="s">
        <v>11736</v>
      </c>
      <c r="E2830" s="3" t="s">
        <v>11737</v>
      </c>
      <c r="F2830" s="3" t="s">
        <v>11736</v>
      </c>
      <c r="G2830" s="3" t="str">
        <f ca="1">IFERROR(__xludf.DUMMYFUNCTION("googletranslate(D2830,""en"",""ja"")"),"眼圧")</f>
        <v>眼圧</v>
      </c>
      <c r="H2830" s="3" t="str">
        <f ca="1">IFERROR(__xludf.DUMMYFUNCTION("googletranslate(E2830,""en"",""ja"")"),"眼内の液体の圧力。")</f>
        <v>眼内の液体の圧力。</v>
      </c>
      <c r="I2830" s="3" t="str">
        <f ca="1">IFERROR(__xludf.DUMMYFUNCTION("googletranslate(F2830,""en"",""ja"")"),"眼圧")</f>
        <v>眼圧</v>
      </c>
    </row>
    <row r="2831" spans="1:9" ht="30">
      <c r="A2831" s="3" t="s">
        <v>2904</v>
      </c>
      <c r="B2831" s="3" t="s">
        <v>11738</v>
      </c>
      <c r="C2831" s="3" t="s">
        <v>11739</v>
      </c>
      <c r="D2831" s="3" t="s">
        <v>11739</v>
      </c>
      <c r="E2831" s="3" t="s">
        <v>11740</v>
      </c>
      <c r="F2831" s="3" t="s">
        <v>11739</v>
      </c>
      <c r="G2831" s="3" t="str">
        <f ca="1">IFERROR(__xludf.DUMMYFUNCTION("googletranslate(D2831,""en"",""ja"")"),"内部オリフィス領域")</f>
        <v>内部オリフィス領域</v>
      </c>
      <c r="H2831" s="3" t="str">
        <f ca="1">IFERROR(__xludf.DUMMYFUNCTION("googletranslate(E2831,""en"",""ja"")"),"内部開口部の境界内に囲まれた 2 次元表面の範囲。")</f>
        <v>内部開口部の境界内に囲まれた 2 次元表面の範囲。</v>
      </c>
      <c r="I2831" s="3" t="str">
        <f ca="1">IFERROR(__xludf.DUMMYFUNCTION("googletranslate(F2831,""en"",""ja"")"),"内部オリフィス領域")</f>
        <v>内部オリフィス領域</v>
      </c>
    </row>
    <row r="2832" spans="1:9" ht="45">
      <c r="A2832" s="3" t="s">
        <v>6</v>
      </c>
      <c r="B2832" s="3" t="s">
        <v>11741</v>
      </c>
      <c r="C2832" s="3" t="s">
        <v>11742</v>
      </c>
      <c r="D2832" s="3" t="s">
        <v>11742</v>
      </c>
      <c r="E2832" s="3" t="s">
        <v>11743</v>
      </c>
      <c r="F2832" s="3" t="s">
        <v>11742</v>
      </c>
      <c r="G2832" s="3" t="str">
        <f ca="1">IFERROR(__xludf.DUMMYFUNCTION("googletranslate(D2832,""en"",""ja"")"),"ヨータラム酸クリアランス")</f>
        <v>ヨータラム酸クリアランス</v>
      </c>
      <c r="H2832" s="3" t="str">
        <f ca="1">IFERROR(__xludf.DUMMYFUNCTION("googletranslate(E2832,""en"",""ja"")"),"指定された時間単位 (例: 1 分) の尿の排泄によってイオタラム酸が除去される血清または血漿の量の測定値。")</f>
        <v>指定された時間単位 (例: 1 分) の尿の排泄によってイオタラム酸が除去される血清または血漿の量の測定値。</v>
      </c>
      <c r="I2832" s="3" t="str">
        <f ca="1">IFERROR(__xludf.DUMMYFUNCTION("googletranslate(F2832,""en"",""ja"")"),"ヨータラム酸クリアランス")</f>
        <v>ヨータラム酸クリアランス</v>
      </c>
    </row>
    <row r="2833" spans="1:9" ht="45">
      <c r="A2833" s="3" t="s">
        <v>6</v>
      </c>
      <c r="B2833" s="3" t="s">
        <v>11744</v>
      </c>
      <c r="C2833" s="3" t="s">
        <v>11745</v>
      </c>
      <c r="D2833" s="3" t="s">
        <v>11745</v>
      </c>
      <c r="E2833" s="3" t="s">
        <v>11746</v>
      </c>
      <c r="F2833" s="3" t="s">
        <v>11745</v>
      </c>
      <c r="G2833" s="3" t="str">
        <f ca="1">IFERROR(__xludf.DUMMYFUNCTION("googletranslate(D2833,""en"",""ja"")"),"BSA用に調整されたイオタラム酸クリアランス")</f>
        <v>BSA用に調整されたイオタラム酸クリアランス</v>
      </c>
      <c r="H2833" s="3" t="str">
        <f ca="1">IFERROR(__xludf.DUMMYFUNCTION("googletranslate(E2833,""en"",""ja"")"),"体表面積に合わせて調整された、指定された時間単位 (例: 1 分) の尿の排泄によってイオタラム酸が除去される血清または血漿の量の測定値。")</f>
        <v>体表面積に合わせて調整された、指定された時間単位 (例: 1 分) の尿の排泄によってイオタラム酸が除去される血清または血漿の量の測定値。</v>
      </c>
      <c r="I2833" s="3" t="str">
        <f ca="1">IFERROR(__xludf.DUMMYFUNCTION("googletranslate(F2833,""en"",""ja"")"),"BSA用に調整されたイオタラム酸クリアランス")</f>
        <v>BSA用に調整されたイオタラム酸クリアランス</v>
      </c>
    </row>
    <row r="2834" spans="1:9" ht="30">
      <c r="A2834" s="3" t="s">
        <v>6</v>
      </c>
      <c r="B2834" s="3" t="s">
        <v>11747</v>
      </c>
      <c r="C2834" s="3" t="s">
        <v>11748</v>
      </c>
      <c r="D2834" s="3" t="s">
        <v>11748</v>
      </c>
      <c r="E2834" s="3" t="s">
        <v>11749</v>
      </c>
      <c r="F2834" s="3" t="s">
        <v>11750</v>
      </c>
      <c r="G2834" s="3" t="str">
        <f ca="1">IFERROR(__xludf.DUMMYFUNCTION("googletranslate(D2834,""en"",""ja"")"),"未熟網状赤血球画分")</f>
        <v>未熟網状赤血球画分</v>
      </c>
      <c r="H2834" s="3" t="str">
        <f ca="1">IFERROR(__xludf.DUMMYFUNCTION("googletranslate(E2834,""en"",""ja"")"),"生物学的標本中に存在する未熟網赤血球画分の測定。")</f>
        <v>生物学的標本中に存在する未熟網赤血球画分の測定。</v>
      </c>
      <c r="I2834" s="3" t="str">
        <f ca="1">IFERROR(__xludf.DUMMYFUNCTION("googletranslate(F2834,""en"",""ja"")"),"幼若網赤血球画分測定")</f>
        <v>幼若網赤血球画分測定</v>
      </c>
    </row>
    <row r="2835" spans="1:9">
      <c r="A2835" s="3" t="s">
        <v>6</v>
      </c>
      <c r="B2835" s="3" t="s">
        <v>11751</v>
      </c>
      <c r="C2835" s="3" t="s">
        <v>11752</v>
      </c>
      <c r="D2835" s="3" t="s">
        <v>11753</v>
      </c>
      <c r="E2835" s="3" t="s">
        <v>11754</v>
      </c>
      <c r="F2835" s="3" t="s">
        <v>11755</v>
      </c>
      <c r="G2835" s="3" t="str">
        <f ca="1">IFERROR(__xludf.DUMMYFUNCTION("googletranslate(D2835,""en"",""ja"")"),"FE;鉄")</f>
        <v>FE;鉄</v>
      </c>
      <c r="H2835" s="3" t="str">
        <f ca="1">IFERROR(__xludf.DUMMYFUNCTION("googletranslate(E2835,""en"",""ja"")"),"生物学的標本中の鉄の測定。")</f>
        <v>生物学的標本中の鉄の測定。</v>
      </c>
      <c r="I2835" s="3" t="str">
        <f ca="1">IFERROR(__xludf.DUMMYFUNCTION("googletranslate(F2835,""en"",""ja"")"),"鉄の測定")</f>
        <v>鉄の測定</v>
      </c>
    </row>
    <row r="2836" spans="1:9" ht="45">
      <c r="A2836" s="3" t="s">
        <v>6</v>
      </c>
      <c r="B2836" s="3" t="s">
        <v>11756</v>
      </c>
      <c r="C2836" s="3" t="s">
        <v>11757</v>
      </c>
      <c r="D2836" s="3" t="s">
        <v>11757</v>
      </c>
      <c r="E2836" s="3" t="s">
        <v>11758</v>
      </c>
      <c r="F2836" s="3" t="s">
        <v>11757</v>
      </c>
      <c r="G2836" s="3" t="str">
        <f ca="1">IFERROR(__xludf.DUMMYFUNCTION("googletranslate(D2836,""en"",""ja"")"),"鉄排泄率")</f>
        <v>鉄排泄率</v>
      </c>
      <c r="H2836" s="3" t="str">
        <f ca="1">IFERROR(__xludf.DUMMYFUNCTION("googletranslate(E2836,""en"",""ja"")"),"規定の時間 (例: 1 時間) にわたって生物学的標本中に排泄される鉄の量の測定。")</f>
        <v>規定の時間 (例: 1 時間) にわたって生物学的標本中に排泄される鉄の量の測定。</v>
      </c>
      <c r="I2836" s="3" t="str">
        <f ca="1">IFERROR(__xludf.DUMMYFUNCTION("googletranslate(F2836,""en"",""ja"")"),"鉄排泄率")</f>
        <v>鉄排泄率</v>
      </c>
    </row>
    <row r="2837" spans="1:9" ht="30">
      <c r="A2837" s="3" t="s">
        <v>142</v>
      </c>
      <c r="B2837" s="3" t="s">
        <v>11759</v>
      </c>
      <c r="C2837" s="3" t="s">
        <v>11760</v>
      </c>
      <c r="D2837" s="3" t="s">
        <v>11760</v>
      </c>
      <c r="E2837" s="3" t="s">
        <v>11761</v>
      </c>
      <c r="F2837" s="3" t="s">
        <v>11760</v>
      </c>
      <c r="G2837" s="3" t="str">
        <f ca="1">IFERROR(__xludf.DUMMYFUNCTION("googletranslate(D2837,""en"",""ja"")"),"月経不順インジケーター")</f>
        <v>月経不順インジケーター</v>
      </c>
      <c r="H2837" s="3" t="str">
        <f ca="1">IFERROR(__xludf.DUMMYFUNCTION("googletranslate(E2837,""en"",""ja"")"),"個人が月経不順を経験したかどうかを示す指標。")</f>
        <v>個人が月経不順を経験したかどうかを示す指標。</v>
      </c>
      <c r="I2837" s="3" t="str">
        <f ca="1">IFERROR(__xludf.DUMMYFUNCTION("googletranslate(F2837,""en"",""ja"")"),"月経不順インジケーター")</f>
        <v>月経不順インジケーター</v>
      </c>
    </row>
    <row r="2838" spans="1:9" ht="30">
      <c r="A2838" s="3" t="s">
        <v>490</v>
      </c>
      <c r="B2838" s="3" t="s">
        <v>11762</v>
      </c>
      <c r="C2838" s="3" t="s">
        <v>11763</v>
      </c>
      <c r="D2838" s="3" t="s">
        <v>11763</v>
      </c>
      <c r="E2838" s="3" t="s">
        <v>11764</v>
      </c>
      <c r="F2838" s="3" t="s">
        <v>11763</v>
      </c>
      <c r="G2838" s="3" t="str">
        <f ca="1">IFERROR(__xludf.DUMMYFUNCTION("googletranslate(D2838,""en"",""ja"")"),"予備吸気量")</f>
        <v>予備吸気量</v>
      </c>
      <c r="H2838" s="3" t="str">
        <f ca="1">IFERROR(__xludf.DUMMYFUNCTION("googletranslate(E2838,""en"",""ja"")"),"被験者が潮汐吸入後に肺に吸い込むことができる空気の最大量。")</f>
        <v>被験者が潮汐吸入後に肺に吸い込むことができる空気の最大量。</v>
      </c>
      <c r="I2838" s="3" t="str">
        <f ca="1">IFERROR(__xludf.DUMMYFUNCTION("googletranslate(F2838,""en"",""ja"")"),"予備吸気量")</f>
        <v>予備吸気量</v>
      </c>
    </row>
    <row r="2839" spans="1:9" ht="45">
      <c r="A2839" s="3" t="s">
        <v>490</v>
      </c>
      <c r="B2839" s="3" t="s">
        <v>11765</v>
      </c>
      <c r="C2839" s="3" t="s">
        <v>11766</v>
      </c>
      <c r="D2839" s="3" t="s">
        <v>11766</v>
      </c>
      <c r="E2839" s="3" t="s">
        <v>11767</v>
      </c>
      <c r="F2839" s="3" t="s">
        <v>11768</v>
      </c>
      <c r="G2839" s="3" t="str">
        <f ca="1">IFERROR(__xludf.DUMMYFUNCTION("googletranslate(D2839,""en"",""ja"")"),"予測 IRV の割合")</f>
        <v>予測 IRV の割合</v>
      </c>
      <c r="H2839" s="3" t="str">
        <f ca="1">IFERROR(__xludf.DUMMYFUNCTION("googletranslate(E2839,""en"",""ja"")"),"予測された正常値の割合として、被験者が潮汐吸入後に肺に吸い込むことができる空気の最大量。")</f>
        <v>予測された正常値の割合として、被験者が潮汐吸入後に肺に吸い込むことができる空気の最大量。</v>
      </c>
      <c r="I2839" s="3" t="str">
        <f ca="1">IFERROR(__xludf.DUMMYFUNCTION("googletranslate(F2839,""en"",""ja"")"),"予測予備吸気量のパーセント")</f>
        <v>予測予備吸気量のパーセント</v>
      </c>
    </row>
    <row r="2840" spans="1:9" ht="30">
      <c r="A2840" s="3" t="s">
        <v>185</v>
      </c>
      <c r="B2840" s="3" t="s">
        <v>11769</v>
      </c>
      <c r="C2840" s="3" t="s">
        <v>11770</v>
      </c>
      <c r="D2840" s="3" t="s">
        <v>11770</v>
      </c>
      <c r="E2840" s="3" t="s">
        <v>11771</v>
      </c>
      <c r="F2840" s="3" t="s">
        <v>11770</v>
      </c>
      <c r="G2840" s="3" t="str">
        <f ca="1">IFERROR(__xludf.DUMMYFUNCTION("googletranslate(D2840,""en"",""ja"")"),"虚血性不快感インジケーター")</f>
        <v>虚血性不快感インジケーター</v>
      </c>
      <c r="H2840" s="3" t="str">
        <f ca="1">IFERROR(__xludf.DUMMYFUNCTION("googletranslate(E2840,""en"",""ja"")"),"被験者に虚血性不快感の症状があるかどうかに関する指標。")</f>
        <v>被験者に虚血性不快感の症状があるかどうかに関する指標。</v>
      </c>
      <c r="I2840" s="3" t="str">
        <f ca="1">IFERROR(__xludf.DUMMYFUNCTION("googletranslate(F2840,""en"",""ja"")"),"虚血性不快感インジケーター")</f>
        <v>虚血性不快感インジケーター</v>
      </c>
    </row>
    <row r="2841" spans="1:9" ht="30">
      <c r="A2841" s="3" t="s">
        <v>185</v>
      </c>
      <c r="B2841" s="3" t="s">
        <v>11772</v>
      </c>
      <c r="C2841" s="3" t="s">
        <v>11773</v>
      </c>
      <c r="D2841" s="3" t="s">
        <v>11773</v>
      </c>
      <c r="E2841" s="3" t="s">
        <v>11774</v>
      </c>
      <c r="F2841" s="3" t="s">
        <v>11773</v>
      </c>
      <c r="G2841" s="3" t="str">
        <f ca="1">IFERROR(__xludf.DUMMYFUNCTION("googletranslate(D2841,""en"",""ja"")"),"虚血の証拠のタイプ")</f>
        <v>虚血の証拠のタイプ</v>
      </c>
      <c r="H2841" s="3" t="str">
        <f ca="1">IFERROR(__xludf.DUMMYFUNCTION("googletranslate(E2841,""en"",""ja"")"),"新たな虚血または悪化した虚血の客観的証拠のタイプの分類。")</f>
        <v>新たな虚血または悪化した虚血の客観的証拠のタイプの分類。</v>
      </c>
      <c r="I2841" s="3" t="str">
        <f ca="1">IFERROR(__xludf.DUMMYFUNCTION("googletranslate(F2841,""en"",""ja"")"),"虚血の証拠のタイプ")</f>
        <v>虚血の証拠のタイプ</v>
      </c>
    </row>
    <row r="2842" spans="1:9" ht="30">
      <c r="A2842" s="3" t="s">
        <v>6</v>
      </c>
      <c r="B2842" s="3" t="s">
        <v>11775</v>
      </c>
      <c r="C2842" s="3" t="s">
        <v>11776</v>
      </c>
      <c r="D2842" s="3" t="s">
        <v>11777</v>
      </c>
      <c r="E2842" s="3" t="s">
        <v>11778</v>
      </c>
      <c r="F2842" s="3" t="s">
        <v>11779</v>
      </c>
      <c r="G2842" s="3" t="str">
        <f ca="1">IFERROR(__xludf.DUMMYFUNCTION("googletranslate(D2842,""en"",""ja"")"),"ISG15 ユビキチン様修飾因子;ユビキチン様タンパク質 ISG15")</f>
        <v>ISG15 ユビキチン様修飾因子;ユビキチン様タンパク質 ISG15</v>
      </c>
      <c r="H2842" s="3" t="str">
        <f ca="1">IFERROR(__xludf.DUMMYFUNCTION("googletranslate(E2842,""en"",""ja"")"),"生物学的標本中のユビキチン様タンパク質 ISG15 の測定。")</f>
        <v>生物学的標本中のユビキチン様タンパク質 ISG15 の測定。</v>
      </c>
      <c r="I2842" s="3" t="str">
        <f ca="1">IFERROR(__xludf.DUMMYFUNCTION("googletranslate(F2842,""en"",""ja"")"),"ユビキチン様タンパク質ISG15の測定")</f>
        <v>ユビキチン様タンパク質ISG15の測定</v>
      </c>
    </row>
    <row r="2843" spans="1:9" ht="30">
      <c r="A2843" s="3" t="s">
        <v>81</v>
      </c>
      <c r="B2843" s="3" t="s">
        <v>11780</v>
      </c>
      <c r="C2843" s="3" t="s">
        <v>11781</v>
      </c>
      <c r="D2843" s="3" t="s">
        <v>11781</v>
      </c>
      <c r="E2843" s="3" t="s">
        <v>11782</v>
      </c>
      <c r="F2843" s="3" t="s">
        <v>11781</v>
      </c>
      <c r="G2843" s="3" t="str">
        <f ca="1">IFERROR(__xludf.DUMMYFUNCTION("googletranslate(D2843,""en"",""ja"")"),"虚血心筋の割合")</f>
        <v>虚血心筋の割合</v>
      </c>
      <c r="H2843" s="3" t="str">
        <f ca="1">IFERROR(__xludf.DUMMYFUNCTION("googletranslate(E2843,""en"",""ja"")"),"不十分な血流（虚血）の特徴を示す心筋組織の割合。")</f>
        <v>不十分な血流（虚血）の特徴を示す心筋組織の割合。</v>
      </c>
      <c r="I2843" s="3" t="str">
        <f ca="1">IFERROR(__xludf.DUMMYFUNCTION("googletranslate(F2843,""en"",""ja"")"),"虚血心筋の割合")</f>
        <v>虚血心筋の割合</v>
      </c>
    </row>
    <row r="2844" spans="1:9">
      <c r="A2844" s="3" t="s">
        <v>6</v>
      </c>
      <c r="B2844" s="3" t="s">
        <v>11783</v>
      </c>
      <c r="C2844" s="3" t="s">
        <v>11784</v>
      </c>
      <c r="D2844" s="3" t="s">
        <v>11784</v>
      </c>
      <c r="E2844" s="3" t="s">
        <v>11785</v>
      </c>
      <c r="F2844" s="3" t="s">
        <v>11786</v>
      </c>
      <c r="G2844" s="3" t="str">
        <f ca="1">IFERROR(__xludf.DUMMYFUNCTION("googletranslate(D2844,""en"",""ja"")"),"イソプレン")</f>
        <v>イソプレン</v>
      </c>
      <c r="H2844" s="3" t="str">
        <f ca="1">IFERROR(__xludf.DUMMYFUNCTION("googletranslate(E2844,""en"",""ja"")"),"試験片中のイソプレンの測定。")</f>
        <v>試験片中のイソプレンの測定。</v>
      </c>
      <c r="I2844" s="3" t="str">
        <f ca="1">IFERROR(__xludf.DUMMYFUNCTION("googletranslate(F2844,""en"",""ja"")"),"イソプレン測定")</f>
        <v>イソプレン測定</v>
      </c>
    </row>
    <row r="2845" spans="1:9">
      <c r="A2845" s="3" t="s">
        <v>51</v>
      </c>
      <c r="B2845" s="3" t="s">
        <v>11783</v>
      </c>
      <c r="C2845" s="3" t="s">
        <v>11784</v>
      </c>
      <c r="D2845" s="3" t="s">
        <v>11784</v>
      </c>
      <c r="E2845" s="3" t="s">
        <v>11785</v>
      </c>
      <c r="F2845" s="3" t="s">
        <v>11786</v>
      </c>
      <c r="G2845" s="3" t="str">
        <f ca="1">IFERROR(__xludf.DUMMYFUNCTION("googletranslate(D2845,""en"",""ja"")"),"イソプレン")</f>
        <v>イソプレン</v>
      </c>
      <c r="H2845" s="3" t="str">
        <f ca="1">IFERROR(__xludf.DUMMYFUNCTION("googletranslate(E2845,""en"",""ja"")"),"試験片中のイソプレンの測定。")</f>
        <v>試験片中のイソプレンの測定。</v>
      </c>
      <c r="I2845" s="3" t="str">
        <f ca="1">IFERROR(__xludf.DUMMYFUNCTION("googletranslate(F2845,""en"",""ja"")"),"イソプレン測定")</f>
        <v>イソプレン測定</v>
      </c>
    </row>
    <row r="2846" spans="1:9" ht="30">
      <c r="A2846" s="3" t="s">
        <v>6</v>
      </c>
      <c r="B2846" s="3" t="s">
        <v>11787</v>
      </c>
      <c r="C2846" s="3" t="s">
        <v>11788</v>
      </c>
      <c r="D2846" s="3" t="s">
        <v>11788</v>
      </c>
      <c r="E2846" s="3" t="s">
        <v>11789</v>
      </c>
      <c r="F2846" s="3" t="s">
        <v>11790</v>
      </c>
      <c r="G2846" s="3" t="str">
        <f ca="1">IFERROR(__xludf.DUMMYFUNCTION("googletranslate(D2846,""en"",""ja"")"),"F2-イソプロスタン")</f>
        <v>F2-イソプロスタン</v>
      </c>
      <c r="H2846" s="3" t="str">
        <f ca="1">IFERROR(__xludf.DUMMYFUNCTION("googletranslate(E2846,""en"",""ja"")"),"生物学的標本中の F2-イソプロスタンの測定。")</f>
        <v>生物学的標本中の F2-イソプロスタンの測定。</v>
      </c>
      <c r="I2846" s="3" t="str">
        <f ca="1">IFERROR(__xludf.DUMMYFUNCTION("googletranslate(F2846,""en"",""ja"")"),"F2 イソプロスタンの測定")</f>
        <v>F2 イソプロスタンの測定</v>
      </c>
    </row>
    <row r="2847" spans="1:9" ht="30">
      <c r="A2847" s="3" t="s">
        <v>503</v>
      </c>
      <c r="B2847" s="3" t="s">
        <v>11791</v>
      </c>
      <c r="C2847" s="3" t="s">
        <v>11792</v>
      </c>
      <c r="D2847" s="3" t="s">
        <v>11792</v>
      </c>
      <c r="E2847" s="3" t="s">
        <v>11793</v>
      </c>
      <c r="F2847" s="3" t="s">
        <v>11792</v>
      </c>
      <c r="G2847" s="3" t="str">
        <f ca="1">IFERROR(__xludf.DUMMYFUNCTION("googletranslate(D2847,""en"",""ja"")"),"インターセックス診断指標")</f>
        <v>インターセックス診断指標</v>
      </c>
      <c r="H2847" s="3" t="str">
        <f ca="1">IFERROR(__xludf.DUMMYFUNCTION("googletranslate(E2847,""en"",""ja"")"),"参加者または被験者がインターセックスと診断されているかどうかの指標。")</f>
        <v>参加者または被験者がインターセックスと診断されているかどうかの指標。</v>
      </c>
      <c r="I2847" s="3" t="str">
        <f ca="1">IFERROR(__xludf.DUMMYFUNCTION("googletranslate(F2847,""en"",""ja"")"),"インターセックス診断指標")</f>
        <v>インターセックス診断指標</v>
      </c>
    </row>
    <row r="2848" spans="1:9" ht="60">
      <c r="A2848" s="3" t="s">
        <v>6</v>
      </c>
      <c r="B2848" s="3" t="s">
        <v>11794</v>
      </c>
      <c r="C2848" s="3" t="s">
        <v>11795</v>
      </c>
      <c r="D2848" s="3" t="s">
        <v>11796</v>
      </c>
      <c r="E2848" s="3" t="s">
        <v>11797</v>
      </c>
      <c r="F2848" s="3" t="s">
        <v>11798</v>
      </c>
      <c r="G2848" s="3" t="str">
        <f ca="1">IFERROR(__xludf.DUMMYFUNCTION("googletranslate(D2848,""en"",""ja"")"),"内皮レクチンHL-1;ガラクトフラノース結合レクチン;インテレクチン-1;腸のラクトフェリン受容体; ITLN-1;オメンチン")</f>
        <v>内皮レクチンHL-1;ガラクトフラノース結合レクチン;インテレクチン-1;腸のラクトフェリン受容体; ITLN-1;オメンチン</v>
      </c>
      <c r="H2848" s="3" t="str">
        <f ca="1">IFERROR(__xludf.DUMMYFUNCTION("googletranslate(E2848,""en"",""ja"")"),"生物学的標本中のインテレクチン-1 の測定。")</f>
        <v>生物学的標本中のインテレクチン-1 の測定。</v>
      </c>
      <c r="I2848" s="3" t="str">
        <f ca="1">IFERROR(__xludf.DUMMYFUNCTION("googletranslate(F2848,""en"",""ja"")"),"インテレクチン-1 の測定")</f>
        <v>インテレクチン-1 の測定</v>
      </c>
    </row>
    <row r="2849" spans="1:9" ht="30">
      <c r="A2849" s="3" t="s">
        <v>490</v>
      </c>
      <c r="B2849" s="3" t="s">
        <v>11799</v>
      </c>
      <c r="C2849" s="3" t="s">
        <v>11800</v>
      </c>
      <c r="D2849" s="3" t="s">
        <v>11800</v>
      </c>
      <c r="E2849" s="3" t="s">
        <v>11801</v>
      </c>
      <c r="F2849" s="3" t="s">
        <v>11800</v>
      </c>
      <c r="G2849" s="3" t="str">
        <f ca="1">IFERROR(__xludf.DUMMYFUNCTION("googletranslate(D2849,""en"",""ja"")"),"吸気肺活量")</f>
        <v>吸気肺活量</v>
      </c>
      <c r="H2849" s="3" t="str">
        <f ca="1">IFERROR(__xludf.DUMMYFUNCTION("googletranslate(E2849,""en"",""ja"")"),"個人が最大に吐き出した時点から吸入できる空気の最大量。")</f>
        <v>個人が最大に吐き出した時点から吸入できる空気の最大量。</v>
      </c>
      <c r="I2849" s="3" t="str">
        <f ca="1">IFERROR(__xludf.DUMMYFUNCTION("googletranslate(F2849,""en"",""ja"")"),"吸気肺活量")</f>
        <v>吸気肺活量</v>
      </c>
    </row>
    <row r="2850" spans="1:9" ht="45">
      <c r="A2850" s="3" t="s">
        <v>81</v>
      </c>
      <c r="B2850" s="3" t="s">
        <v>11802</v>
      </c>
      <c r="C2850" s="3" t="s">
        <v>11803</v>
      </c>
      <c r="D2850" s="3" t="s">
        <v>11804</v>
      </c>
      <c r="E2850" s="3" t="s">
        <v>11805</v>
      </c>
      <c r="F2850" s="3" t="s">
        <v>11806</v>
      </c>
      <c r="G2850" s="3" t="str">
        <f ca="1">IFERROR(__xludf.DUMMYFUNCTION("googletranslate(D2850,""en"",""ja"")"),"下大静脈崩壊インジケーター;下大静脈崩壊スニッフインド")</f>
        <v>下大静脈崩壊インジケーター;下大静脈崩壊スニッフインド</v>
      </c>
      <c r="H2850" s="3" t="str">
        <f ca="1">IFERROR(__xludf.DUMMYFUNCTION("googletranslate(E2850,""en"",""ja"")"),"下大静脈の虚脱が発生したかどうかを嗅ぐことでわかります。")</f>
        <v>下大静脈の虚脱が発生したかどうかを嗅ぐことでわかります。</v>
      </c>
      <c r="I2850" s="3" t="str">
        <f ca="1">IFERROR(__xludf.DUMMYFUNCTION("googletranslate(F2850,""en"",""ja"")"),"スニフテストインジケーターによる下大静脈の虚脱")</f>
        <v>スニフテストインジケーターによる下大静脈の虚脱</v>
      </c>
    </row>
    <row r="2851" spans="1:9" ht="45">
      <c r="A2851" s="3" t="s">
        <v>490</v>
      </c>
      <c r="B2851" s="3" t="s">
        <v>11807</v>
      </c>
      <c r="C2851" s="3" t="s">
        <v>11808</v>
      </c>
      <c r="D2851" s="3" t="s">
        <v>11808</v>
      </c>
      <c r="E2851" s="3" t="s">
        <v>11809</v>
      </c>
      <c r="F2851" s="3" t="s">
        <v>11810</v>
      </c>
      <c r="G2851" s="3" t="str">
        <f ca="1">IFERROR(__xludf.DUMMYFUNCTION("googletranslate(D2851,""en"",""ja"")"),"予測されたIVCのパーセント")</f>
        <v>予測されたIVCのパーセント</v>
      </c>
      <c r="H2851" s="3" t="str">
        <f ca="1">IFERROR(__xludf.DUMMYFUNCTION("googletranslate(E2851,""en"",""ja"")"),"個人が最大呼気の時点から吸入できる空気の最大量を、予測された正常値のパーセンテージで表したものです。")</f>
        <v>個人が最大呼気の時点から吸入できる空気の最大量を、予測された正常値のパーセンテージで表したものです。</v>
      </c>
      <c r="I2851" s="3" t="str">
        <f ca="1">IFERROR(__xludf.DUMMYFUNCTION("googletranslate(F2851,""en"",""ja"")"),"予測吸気肺活量のパーセント")</f>
        <v>予測吸気肺活量のパーセント</v>
      </c>
    </row>
    <row r="2852" spans="1:9" ht="30">
      <c r="A2852" s="3" t="s">
        <v>985</v>
      </c>
      <c r="B2852" s="3" t="s">
        <v>11811</v>
      </c>
      <c r="C2852" s="3" t="s">
        <v>11812</v>
      </c>
      <c r="D2852" s="3" t="s">
        <v>11812</v>
      </c>
      <c r="E2852" s="3" t="s">
        <v>11813</v>
      </c>
      <c r="F2852" s="3" t="s">
        <v>11814</v>
      </c>
      <c r="G2852" s="3" t="str">
        <f ca="1">IFERROR(__xludf.DUMMYFUNCTION("googletranslate(D2852,""en"",""ja"")"),"心室内-心房内伝導")</f>
        <v>心室内-心房内伝導</v>
      </c>
      <c r="H2852" s="3" t="str">
        <f ca="1">IFERROR(__xludf.DUMMYFUNCTION("googletranslate(E2852,""en"",""ja"")"),"心室内および心房内伝導の心電図による評価。")</f>
        <v>心室内および心房内伝導の心電図による評価。</v>
      </c>
      <c r="I2852" s="3" t="str">
        <f ca="1">IFERROR(__xludf.DUMMYFUNCTION("googletranslate(F2852,""en"",""ja"")"),"心室内および心房内伝導 ECG 評価")</f>
        <v>心室内および心房内伝導 ECG 評価</v>
      </c>
    </row>
    <row r="2853" spans="1:9" ht="30">
      <c r="A2853" s="3" t="s">
        <v>1664</v>
      </c>
      <c r="B2853" s="3" t="s">
        <v>11811</v>
      </c>
      <c r="C2853" s="3" t="s">
        <v>11812</v>
      </c>
      <c r="D2853" s="3" t="s">
        <v>11812</v>
      </c>
      <c r="E2853" s="3" t="s">
        <v>11813</v>
      </c>
      <c r="F2853" s="3" t="s">
        <v>11814</v>
      </c>
      <c r="G2853" s="3" t="str">
        <f ca="1">IFERROR(__xludf.DUMMYFUNCTION("googletranslate(D2853,""en"",""ja"")"),"心室内-心房内伝導")</f>
        <v>心室内-心房内伝導</v>
      </c>
      <c r="H2853" s="3" t="str">
        <f ca="1">IFERROR(__xludf.DUMMYFUNCTION("googletranslate(E2853,""en"",""ja"")"),"心室内および心房内伝導の心電図による評価。")</f>
        <v>心室内および心房内伝導の心電図による評価。</v>
      </c>
      <c r="I2853" s="3" t="str">
        <f ca="1">IFERROR(__xludf.DUMMYFUNCTION("googletranslate(F2853,""en"",""ja"")"),"心室内および心房内伝導 ECG 評価")</f>
        <v>心室内および心房内伝導 ECG 評価</v>
      </c>
    </row>
    <row r="2854" spans="1:9" ht="45">
      <c r="A2854" s="3" t="s">
        <v>67</v>
      </c>
      <c r="B2854" s="3" t="s">
        <v>11815</v>
      </c>
      <c r="C2854" s="3" t="s">
        <v>11816</v>
      </c>
      <c r="D2854" s="3" t="s">
        <v>11817</v>
      </c>
      <c r="E2854" s="3" t="s">
        <v>11818</v>
      </c>
      <c r="F2854" s="3" t="s">
        <v>11819</v>
      </c>
      <c r="G2854" s="3" t="str">
        <f ca="1">IFERROR(__xludf.DUMMYFUNCTION("googletranslate(D2854,""en"",""ja"")"),"JCポリオーマウイルス; JCウイルス;ジョン・カニンガム・ウイルス")</f>
        <v>JCポリオーマウイルス; JCウイルス;ジョン・カニンガム・ウイルス</v>
      </c>
      <c r="H2854" s="3" t="str">
        <f ca="1">IFERROR(__xludf.DUMMYFUNCTION("googletranslate(E2854,""en"",""ja"")"),"生物学的標本中の JC ウイルスの測定。")</f>
        <v>生物学的標本中の JC ウイルスの測定。</v>
      </c>
      <c r="I2854" s="3" t="str">
        <f ca="1">IFERROR(__xludf.DUMMYFUNCTION("googletranslate(F2854,""en"",""ja"")"),"JCウイルス測定")</f>
        <v>JCウイルス測定</v>
      </c>
    </row>
    <row r="2855" spans="1:9" ht="45">
      <c r="A2855" s="3" t="s">
        <v>67</v>
      </c>
      <c r="B2855" s="3" t="s">
        <v>11820</v>
      </c>
      <c r="C2855" s="3" t="s">
        <v>11821</v>
      </c>
      <c r="D2855" s="3" t="s">
        <v>11822</v>
      </c>
      <c r="E2855" s="3" t="s">
        <v>11823</v>
      </c>
      <c r="F2855" s="3" t="s">
        <v>11824</v>
      </c>
      <c r="G2855" s="3" t="str">
        <f ca="1">IFERROR(__xludf.DUMMYFUNCTION("googletranslate(D2855,""en"",""ja"")"),"JCポリオーマウイルスDNA; JC ウイルス DNA; JCV DNA;ジョン・カニンガムのウイルスDNA")</f>
        <v>JCポリオーマウイルスDNA; JC ウイルス DNA; JCV DNA;ジョン・カニンガムのウイルスDNA</v>
      </c>
      <c r="H2855" s="3" t="str">
        <f ca="1">IFERROR(__xludf.DUMMYFUNCTION("googletranslate(E2855,""en"",""ja"")"),"生物学的検体中の JC ウイルス DNA の測定。")</f>
        <v>生物学的検体中の JC ウイルス DNA の測定。</v>
      </c>
      <c r="I2855" s="3" t="str">
        <f ca="1">IFERROR(__xludf.DUMMYFUNCTION("googletranslate(F2855,""en"",""ja"")"),"JCウイルスDNA測定")</f>
        <v>JCウイルスDNA測定</v>
      </c>
    </row>
    <row r="2856" spans="1:9" ht="60">
      <c r="A2856" s="3" t="s">
        <v>985</v>
      </c>
      <c r="B2856" s="3" t="s">
        <v>11825</v>
      </c>
      <c r="C2856" s="3" t="s">
        <v>11826</v>
      </c>
      <c r="D2856" s="3" t="s">
        <v>11826</v>
      </c>
      <c r="E2856" s="3" t="s">
        <v>11827</v>
      </c>
      <c r="F2856" s="3" t="s">
        <v>11828</v>
      </c>
      <c r="G2856" s="3" t="str">
        <f ca="1">IFERROR(__xludf.DUMMYFUNCTION("googletranslate(D2856,""en"",""ja"")"),"JT 間隔、集計")</f>
        <v>JT 間隔、集計</v>
      </c>
      <c r="H2856" s="3" t="str">
        <f ca="1">IFERROR(__xludf.DUMMYFUNCTION("googletranslate(E2856,""en"",""ja"")"),"単一の ECG 内の複数の拍動からの JT 間隔の測定に基づく集計 JT 値。集計方法はさまざまですが、通常は平均などの中心傾向の尺度です。")</f>
        <v>単一の ECG 内の複数の拍動からの JT 間隔の測定に基づく集計 JT 値。集計方法はさまざまですが、通常は平均などの中心傾向の尺度です。</v>
      </c>
      <c r="I2856" s="3" t="str">
        <f ca="1">IFERROR(__xludf.DUMMYFUNCTION("googletranslate(F2856,""en"",""ja"")"),"集約 JT 間隔")</f>
        <v>集約 JT 間隔</v>
      </c>
    </row>
    <row r="2857" spans="1:9" ht="75">
      <c r="A2857" s="3" t="s">
        <v>985</v>
      </c>
      <c r="B2857" s="3" t="s">
        <v>11829</v>
      </c>
      <c r="C2857" s="3" t="s">
        <v>11830</v>
      </c>
      <c r="D2857" s="3" t="s">
        <v>11830</v>
      </c>
      <c r="E2857" s="3" t="s">
        <v>11831</v>
      </c>
      <c r="F2857" s="3" t="s">
        <v>11832</v>
      </c>
      <c r="G2857" s="3" t="str">
        <f ca="1">IFERROR(__xludf.DUMMYFUNCTION("googletranslate(D2857,""en"",""ja"")"),"JTcB 間隔、集計")</f>
        <v>JTcB 間隔、集計</v>
      </c>
      <c r="H2857" s="3" t="str">
        <f ca="1">IFERROR(__xludf.DUMMYFUNCTION("googletranslate(E2857,""en"",""ja"")"),"単一の ECG 内の複数の拍動からの QT 間隔の測定に基づいて、Bazett の公式を使用して心拍数を補正した JT 集計間隔。集計方法はさまざまですが、通常は次のような中心的な傾向を測定します。")</f>
        <v>単一の ECG 内の複数の拍動からの QT 間隔の測定に基づいて、Bazett の公式を使用して心拍数を補正した JT 集計間隔。集計方法はさまざまですが、通常は次のような中心的な傾向を測定します。</v>
      </c>
      <c r="I2857" s="3" t="str">
        <f ca="1">IFERROR(__xludf.DUMMYFUNCTION("googletranslate(F2857,""en"",""ja"")"),"集約 JTCB 間隔")</f>
        <v>集約 JTCB 間隔</v>
      </c>
    </row>
    <row r="2858" spans="1:9" ht="45">
      <c r="A2858" s="3" t="s">
        <v>985</v>
      </c>
      <c r="B2858" s="3" t="s">
        <v>11833</v>
      </c>
      <c r="C2858" s="3" t="s">
        <v>11834</v>
      </c>
      <c r="D2858" s="3" t="s">
        <v>11834</v>
      </c>
      <c r="E2858" s="3" t="s">
        <v>11835</v>
      </c>
      <c r="F2858" s="3" t="s">
        <v>11836</v>
      </c>
      <c r="G2858" s="3" t="str">
        <f ca="1">IFERROR(__xludf.DUMMYFUNCTION("googletranslate(D2858,""en"",""ja"")"),"JTcB インターバル、シングルビート")</f>
        <v>JTcB インターバル、シングルビート</v>
      </c>
      <c r="H2858" s="3" t="str">
        <f ca="1">IFERROR(__xludf.DUMMYFUNCTION("googletranslate(E2858,""en"",""ja"")"),"1 つ以上の ECG リードを使用して単一拍動で測定された QT 間隔に基づいて、バゼットの公式を使用して心拍数を補正した JT 単一拍動間隔。")</f>
        <v>1 つ以上の ECG リードを使用して単一拍動で測定された QT 間隔に基づいて、バゼットの公式を使用して心拍数を補正した JT 単一拍動間隔。</v>
      </c>
      <c r="I2858" s="3" t="str">
        <f ca="1">IFERROR(__xludf.DUMMYFUNCTION("googletranslate(F2858,""en"",""ja"")"),"シングルビート JTCB インターバル")</f>
        <v>シングルビート JTCB インターバル</v>
      </c>
    </row>
    <row r="2859" spans="1:9" ht="75">
      <c r="A2859" s="3" t="s">
        <v>985</v>
      </c>
      <c r="B2859" s="3" t="s">
        <v>11837</v>
      </c>
      <c r="C2859" s="3" t="s">
        <v>11838</v>
      </c>
      <c r="D2859" s="3" t="s">
        <v>11838</v>
      </c>
      <c r="E2859" s="3" t="s">
        <v>11839</v>
      </c>
      <c r="F2859" s="3" t="s">
        <v>11840</v>
      </c>
      <c r="G2859" s="3" t="str">
        <f ca="1">IFERROR(__xludf.DUMMYFUNCTION("googletranslate(D2859,""en"",""ja"")"),"JTcF 間隔、集計")</f>
        <v>JTcF 間隔、集計</v>
      </c>
      <c r="H2859" s="3" t="str">
        <f ca="1">IFERROR(__xludf.DUMMYFUNCTION("googletranslate(E2859,""en"",""ja"")"),"単一の ECG 内の複数の拍動からの QT 間隔の測定に基づいて、フリデリシアの公式を使用して心拍数を補正した JT 集計間隔。集計方法はさまざまですが、通常は中心的な傾向の尺度です。")</f>
        <v>単一の ECG 内の複数の拍動からの QT 間隔の測定に基づいて、フリデリシアの公式を使用して心拍数を補正した JT 集計間隔。集計方法はさまざまですが、通常は中心的な傾向の尺度です。</v>
      </c>
      <c r="I2859" s="3" t="str">
        <f ca="1">IFERROR(__xludf.DUMMYFUNCTION("googletranslate(F2859,""en"",""ja"")"),"集約 JTCF 間隔")</f>
        <v>集約 JTCF 間隔</v>
      </c>
    </row>
    <row r="2860" spans="1:9" ht="45">
      <c r="A2860" s="3" t="s">
        <v>985</v>
      </c>
      <c r="B2860" s="3" t="s">
        <v>11841</v>
      </c>
      <c r="C2860" s="3" t="s">
        <v>11842</v>
      </c>
      <c r="D2860" s="3" t="s">
        <v>11842</v>
      </c>
      <c r="E2860" s="3" t="s">
        <v>11843</v>
      </c>
      <c r="F2860" s="3" t="s">
        <v>11844</v>
      </c>
      <c r="G2860" s="3" t="str">
        <f ca="1">IFERROR(__xludf.DUMMYFUNCTION("googletranslate(D2860,""en"",""ja"")"),"JTcF インターバル、シングルビート")</f>
        <v>JTcF インターバル、シングルビート</v>
      </c>
      <c r="H2860" s="3" t="str">
        <f ca="1">IFERROR(__xludf.DUMMYFUNCTION("googletranslate(E2860,""en"",""ja"")"),"1 つ以上の ECG リードを使用して単一拍動で測定された QT 間隔に基づいて、フリデリシアの公式を使用して心拍数を補正した JT 単一拍動間隔。")</f>
        <v>1 つ以上の ECG リードを使用して単一拍動で測定された QT 間隔に基づいて、フリデリシアの公式を使用して心拍数を補正した JT 単一拍動間隔。</v>
      </c>
      <c r="I2860" s="3" t="str">
        <f ca="1">IFERROR(__xludf.DUMMYFUNCTION("googletranslate(F2860,""en"",""ja"")"),"シングルビート JTCF インターバル")</f>
        <v>シングルビート JTCF インターバル</v>
      </c>
    </row>
    <row r="2861" spans="1:9" ht="75">
      <c r="A2861" s="3" t="s">
        <v>985</v>
      </c>
      <c r="B2861" s="3" t="s">
        <v>11845</v>
      </c>
      <c r="C2861" s="3" t="s">
        <v>11846</v>
      </c>
      <c r="D2861" s="3" t="s">
        <v>11846</v>
      </c>
      <c r="E2861" s="3" t="s">
        <v>11847</v>
      </c>
      <c r="F2861" s="3" t="s">
        <v>11848</v>
      </c>
      <c r="G2861" s="3" t="str">
        <f ca="1">IFERROR(__xludf.DUMMYFUNCTION("googletranslate(D2861,""en"",""ja"")"),"概要 (最大) JT 間隔")</f>
        <v>概要 (最大) JT 間隔</v>
      </c>
      <c r="H2861" s="3" t="str">
        <f ca="1">IFERROR(__xludf.DUMMYFUNCTION("googletranslate(E2861,""en"",""ja"")"),"JT 間隔の一連の測定値から取得される、JT 間隔の最大継続時間 (時間)。 JT 間隔は、J 点 (心室脱分極の終わり、QRS が ST セグメントと出会う点) から終わりまでの時間として定義されます。")</f>
        <v>JT 間隔の一連の測定値から取得される、JT 間隔の最大継続時間 (時間)。 JT 間隔は、J 点 (心室脱分極の終わり、QRS が ST セグメントと出会う点) から終わりまでの時間として定義されます。</v>
      </c>
      <c r="I2861" s="3" t="str">
        <f ca="1">IFERROR(__xludf.DUMMYFUNCTION("googletranslate(F2861,""en"",""ja"")"),"最大 JT 期間")</f>
        <v>最大 JT 期間</v>
      </c>
    </row>
    <row r="2862" spans="1:9" ht="75">
      <c r="A2862" s="3" t="s">
        <v>985</v>
      </c>
      <c r="B2862" s="3" t="s">
        <v>11849</v>
      </c>
      <c r="C2862" s="3" t="s">
        <v>11850</v>
      </c>
      <c r="D2862" s="3" t="s">
        <v>11850</v>
      </c>
      <c r="E2862" s="3" t="s">
        <v>11851</v>
      </c>
      <c r="F2862" s="3" t="s">
        <v>11852</v>
      </c>
      <c r="G2862" s="3" t="str">
        <f ca="1">IFERROR(__xludf.DUMMYFUNCTION("googletranslate(D2862,""en"",""ja"")"),"概要 (分) JT 間隔")</f>
        <v>概要 (分) JT 間隔</v>
      </c>
      <c r="H2862" s="3" t="str">
        <f ca="1">IFERROR(__xludf.DUMMYFUNCTION("googletranslate(E2862,""en"",""ja"")"),"JT 間隔の最小継続時間 (時間)。JT 間隔の一連の測定値から取得されます。 JT 間隔は、J 点 (心室脱分極の終わり、QRS が ST セグメントと出会う点) から終わりまでの時間として定義されます。")</f>
        <v>JT 間隔の最小継続時間 (時間)。JT 間隔の一連の測定値から取得されます。 JT 間隔は、J 点 (心室脱分極の終わり、QRS が ST セグメントと出会う点) から終わりまでの時間として定義されます。</v>
      </c>
      <c r="I2862" s="3" t="str">
        <f ca="1">IFERROR(__xludf.DUMMYFUNCTION("googletranslate(F2862,""en"",""ja"")"),"最小 JT 期間")</f>
        <v>最小 JT 期間</v>
      </c>
    </row>
    <row r="2863" spans="1:9" ht="60">
      <c r="A2863" s="3" t="s">
        <v>985</v>
      </c>
      <c r="B2863" s="3" t="s">
        <v>11853</v>
      </c>
      <c r="C2863" s="3" t="s">
        <v>11854</v>
      </c>
      <c r="D2863" s="3" t="s">
        <v>11854</v>
      </c>
      <c r="E2863" s="3" t="s">
        <v>11855</v>
      </c>
      <c r="F2863" s="3" t="s">
        <v>11856</v>
      </c>
      <c r="G2863" s="3" t="str">
        <f ca="1">IFERROR(__xludf.DUMMYFUNCTION("googletranslate(D2863,""en"",""ja"")"),"J-Tpeak 間隔、集計")</f>
        <v>J-Tpeak 間隔、集計</v>
      </c>
      <c r="H2863" s="3" t="str">
        <f ca="1">IFERROR(__xludf.DUMMYFUNCTION("googletranslate(E2863,""en"",""ja"")"),"単一 ECG 内の複数の拍動からの J-Tpeak 間隔の測定に基づく集計 J-Tpeak 値。集計方法はさまざまですが、通常は平均などの中心傾向の尺度です。")</f>
        <v>単一 ECG 内の複数の拍動からの J-Tpeak 間隔の測定に基づく集計 J-Tpeak 値。集計方法はさまざまですが、通常は平均などの中心傾向の尺度です。</v>
      </c>
      <c r="I2863" s="3" t="str">
        <f ca="1">IFERROR(__xludf.DUMMYFUNCTION("googletranslate(F2863,""en"",""ja"")"),"集約 J-T ピーク間隔")</f>
        <v>集約 J-T ピーク間隔</v>
      </c>
    </row>
    <row r="2864" spans="1:9" ht="45">
      <c r="A2864" s="3" t="s">
        <v>985</v>
      </c>
      <c r="B2864" s="3" t="s">
        <v>11857</v>
      </c>
      <c r="C2864" s="3" t="s">
        <v>11858</v>
      </c>
      <c r="D2864" s="3" t="s">
        <v>11858</v>
      </c>
      <c r="E2864" s="3" t="s">
        <v>11859</v>
      </c>
      <c r="F2864" s="3" t="s">
        <v>11860</v>
      </c>
      <c r="G2864" s="3" t="str">
        <f ca="1">IFERROR(__xludf.DUMMYFUNCTION("googletranslate(D2864,""en"",""ja"")"),"J-Tpeak インターバル、シングルビート")</f>
        <v>J-Tpeak インターバル、シングルビート</v>
      </c>
      <c r="H2864" s="3" t="str">
        <f ca="1">IFERROR(__xludf.DUMMYFUNCTION("googletranslate(E2864,""en"",""ja"")"),"1 つ以上の誘導を使用して、単一拍動の J 点から T 波のピークまで測定される心電図間隔。")</f>
        <v>1 つ以上の誘導を使用して、単一拍動の J 点から T 波のピークまで測定される心電図間隔。</v>
      </c>
      <c r="I2864" s="3" t="str">
        <f ca="1">IFERROR(__xludf.DUMMYFUNCTION("googletranslate(F2864,""en"",""ja"")"),"シングルビート J-T ピーク間隔")</f>
        <v>シングルビート J-T ピーク間隔</v>
      </c>
    </row>
    <row r="2865" spans="1:9" ht="45">
      <c r="A2865" s="3" t="s">
        <v>985</v>
      </c>
      <c r="B2865" s="3" t="s">
        <v>11861</v>
      </c>
      <c r="C2865" s="3" t="s">
        <v>11862</v>
      </c>
      <c r="D2865" s="3" t="s">
        <v>11862</v>
      </c>
      <c r="E2865" s="3" t="s">
        <v>11863</v>
      </c>
      <c r="F2865" s="3" t="s">
        <v>11864</v>
      </c>
      <c r="G2865" s="3" t="str">
        <f ca="1">IFERROR(__xludf.DUMMYFUNCTION("googletranslate(D2865,""en"",""ja"")"),"JTインターバル、シングルビート")</f>
        <v>JTインターバル、シングルビート</v>
      </c>
      <c r="H2865" s="3" t="str">
        <f ca="1">IFERROR(__xludf.DUMMYFUNCTION("googletranslate(E2865,""en"",""ja"")"),"1 つまたは複数のリードを使用して、単一拍動の J 点から T 波のオフセットまで測定される心電図間隔。")</f>
        <v>1 つまたは複数のリードを使用して、単一拍動の J 点から T 波のオフセットまで測定される心電図間隔。</v>
      </c>
      <c r="I2865" s="3" t="str">
        <f ca="1">IFERROR(__xludf.DUMMYFUNCTION("googletranslate(F2865,""en"",""ja"")"),"シングルビート JT インターバル")</f>
        <v>シングルビート JT インターバル</v>
      </c>
    </row>
    <row r="2866" spans="1:9" ht="30">
      <c r="A2866" s="3" t="s">
        <v>6</v>
      </c>
      <c r="B2866" s="3" t="s">
        <v>11865</v>
      </c>
      <c r="C2866" s="3" t="s">
        <v>11866</v>
      </c>
      <c r="D2866" s="3" t="s">
        <v>11867</v>
      </c>
      <c r="E2866" s="3" t="s">
        <v>11868</v>
      </c>
      <c r="F2866" s="3" t="s">
        <v>11869</v>
      </c>
      <c r="G2866" s="3" t="str">
        <f ca="1">IFERROR(__xludf.DUMMYFUNCTION("googletranslate(D2866,""en"",""ja"")"),"JWH-018; JWH018")</f>
        <v>JWH-018; JWH018</v>
      </c>
      <c r="H2866" s="3" t="str">
        <f ca="1">IFERROR(__xludf.DUMMYFUNCTION("googletranslate(E2866,""en"",""ja"")"),"生物学的標本中の合成カンナビノイド JWH-018 の測定。")</f>
        <v>生物学的標本中の合成カンナビノイド JWH-018 の測定。</v>
      </c>
      <c r="I2866" s="3" t="str">
        <f ca="1">IFERROR(__xludf.DUMMYFUNCTION("googletranslate(F2866,""en"",""ja"")"),"JWH-018 測定")</f>
        <v>JWH-018 測定</v>
      </c>
    </row>
    <row r="2867" spans="1:9" ht="30">
      <c r="A2867" s="3" t="s">
        <v>6</v>
      </c>
      <c r="B2867" s="3" t="s">
        <v>11870</v>
      </c>
      <c r="C2867" s="3" t="s">
        <v>11871</v>
      </c>
      <c r="D2867" s="3" t="s">
        <v>11872</v>
      </c>
      <c r="E2867" s="3" t="s">
        <v>11873</v>
      </c>
      <c r="F2867" s="3" t="s">
        <v>11874</v>
      </c>
      <c r="G2867" s="3" t="str">
        <f ca="1">IFERROR(__xludf.DUMMYFUNCTION("googletranslate(D2867,""en"",""ja"")"),"JWH-073; JWH073")</f>
        <v>JWH-073; JWH073</v>
      </c>
      <c r="H2867" s="3" t="str">
        <f ca="1">IFERROR(__xludf.DUMMYFUNCTION("googletranslate(E2867,""en"",""ja"")"),"生物学的標本中の合成カンナビノイド JWH-073 の測定。")</f>
        <v>生物学的標本中の合成カンナビノイド JWH-073 の測定。</v>
      </c>
      <c r="I2867" s="3" t="str">
        <f ca="1">IFERROR(__xludf.DUMMYFUNCTION("googletranslate(F2867,""en"",""ja"")"),"JWH-073 測定")</f>
        <v>JWH-073 測定</v>
      </c>
    </row>
    <row r="2868" spans="1:9" ht="30">
      <c r="A2868" s="3" t="s">
        <v>6</v>
      </c>
      <c r="B2868" s="3" t="s">
        <v>11875</v>
      </c>
      <c r="C2868" s="3" t="s">
        <v>11876</v>
      </c>
      <c r="D2868" s="3" t="s">
        <v>11877</v>
      </c>
      <c r="E2868" s="3" t="s">
        <v>11878</v>
      </c>
      <c r="F2868" s="3" t="s">
        <v>11879</v>
      </c>
      <c r="G2868" s="3" t="str">
        <f ca="1">IFERROR(__xludf.DUMMYFUNCTION("googletranslate(D2868,""en"",""ja"")"),"JWH-081; JWH081")</f>
        <v>JWH-081; JWH081</v>
      </c>
      <c r="H2868" s="3" t="str">
        <f ca="1">IFERROR(__xludf.DUMMYFUNCTION("googletranslate(E2868,""en"",""ja"")"),"生物学的標本中の合成カンナビノイド JWH-081 の測定。")</f>
        <v>生物学的標本中の合成カンナビノイド JWH-081 の測定。</v>
      </c>
      <c r="I2868" s="3" t="str">
        <f ca="1">IFERROR(__xludf.DUMMYFUNCTION("googletranslate(F2868,""en"",""ja"")"),"JWH-081 測定")</f>
        <v>JWH-081 測定</v>
      </c>
    </row>
    <row r="2869" spans="1:9" ht="30">
      <c r="A2869" s="3" t="s">
        <v>6</v>
      </c>
      <c r="B2869" s="3" t="s">
        <v>11880</v>
      </c>
      <c r="C2869" s="3" t="s">
        <v>11881</v>
      </c>
      <c r="D2869" s="3" t="s">
        <v>11882</v>
      </c>
      <c r="E2869" s="3" t="s">
        <v>11883</v>
      </c>
      <c r="F2869" s="3" t="s">
        <v>11884</v>
      </c>
      <c r="G2869" s="3" t="str">
        <f ca="1">IFERROR(__xludf.DUMMYFUNCTION("googletranslate(D2869,""en"",""ja"")"),"JWH-122; JWH122")</f>
        <v>JWH-122; JWH122</v>
      </c>
      <c r="H2869" s="3" t="str">
        <f ca="1">IFERROR(__xludf.DUMMYFUNCTION("googletranslate(E2869,""en"",""ja"")"),"生物学的標本中の合成カンナビノイド JWH-122 の測定。")</f>
        <v>生物学的標本中の合成カンナビノイド JWH-122 の測定。</v>
      </c>
      <c r="I2869" s="3" t="str">
        <f ca="1">IFERROR(__xludf.DUMMYFUNCTION("googletranslate(F2869,""en"",""ja"")"),"JWH-122 測定")</f>
        <v>JWH-122 測定</v>
      </c>
    </row>
    <row r="2870" spans="1:9" ht="30">
      <c r="A2870" s="3" t="s">
        <v>6</v>
      </c>
      <c r="B2870" s="3" t="s">
        <v>11885</v>
      </c>
      <c r="C2870" s="3" t="s">
        <v>11886</v>
      </c>
      <c r="D2870" s="3" t="s">
        <v>11887</v>
      </c>
      <c r="E2870" s="3" t="s">
        <v>11888</v>
      </c>
      <c r="F2870" s="3" t="s">
        <v>11889</v>
      </c>
      <c r="G2870" s="3" t="str">
        <f ca="1">IFERROR(__xludf.DUMMYFUNCTION("googletranslate(D2870,""en"",""ja"")"),"JWH-200; JWH200")</f>
        <v>JWH-200; JWH200</v>
      </c>
      <c r="H2870" s="3" t="str">
        <f ca="1">IFERROR(__xludf.DUMMYFUNCTION("googletranslate(E2870,""en"",""ja"")"),"生物学的標本中の合成カンナビノイド JWH-200 の測定。")</f>
        <v>生物学的標本中の合成カンナビノイド JWH-200 の測定。</v>
      </c>
      <c r="I2870" s="3" t="str">
        <f ca="1">IFERROR(__xludf.DUMMYFUNCTION("googletranslate(F2870,""en"",""ja"")"),"JWH-200測定")</f>
        <v>JWH-200測定</v>
      </c>
    </row>
    <row r="2871" spans="1:9" ht="30">
      <c r="A2871" s="3" t="s">
        <v>6</v>
      </c>
      <c r="B2871" s="3" t="s">
        <v>11890</v>
      </c>
      <c r="C2871" s="3" t="s">
        <v>11891</v>
      </c>
      <c r="D2871" s="3" t="s">
        <v>11892</v>
      </c>
      <c r="E2871" s="3" t="s">
        <v>11893</v>
      </c>
      <c r="F2871" s="3" t="s">
        <v>11894</v>
      </c>
      <c r="G2871" s="3" t="str">
        <f ca="1">IFERROR(__xludf.DUMMYFUNCTION("googletranslate(D2871,""en"",""ja"")"),"JWH-250; JWH250")</f>
        <v>JWH-250; JWH250</v>
      </c>
      <c r="H2871" s="3" t="str">
        <f ca="1">IFERROR(__xludf.DUMMYFUNCTION("googletranslate(E2871,""en"",""ja"")"),"生物学的標本中の合成カンナビノイド JWH-250 の測定。")</f>
        <v>生物学的標本中の合成カンナビノイド JWH-250 の測定。</v>
      </c>
      <c r="I2871" s="3" t="str">
        <f ca="1">IFERROR(__xludf.DUMMYFUNCTION("googletranslate(F2871,""en"",""ja"")"),"JWH-250 測定")</f>
        <v>JWH-250 測定</v>
      </c>
    </row>
    <row r="2872" spans="1:9" ht="30">
      <c r="A2872" s="3" t="s">
        <v>6</v>
      </c>
      <c r="B2872" s="3" t="s">
        <v>11895</v>
      </c>
      <c r="C2872" s="3" t="s">
        <v>11896</v>
      </c>
      <c r="D2872" s="3" t="s">
        <v>11897</v>
      </c>
      <c r="E2872" s="3" t="s">
        <v>11898</v>
      </c>
      <c r="F2872" s="3" t="s">
        <v>11899</v>
      </c>
      <c r="G2872" s="3" t="str">
        <f ca="1">IFERROR(__xludf.DUMMYFUNCTION("googletranslate(D2872,""en"",""ja"")"),"JWH-398; JWH398")</f>
        <v>JWH-398; JWH398</v>
      </c>
      <c r="H2872" s="3" t="str">
        <f ca="1">IFERROR(__xludf.DUMMYFUNCTION("googletranslate(E2872,""en"",""ja"")"),"生物学的標本中の合成カンナビノイド JWH-398 の測定。")</f>
        <v>生物学的標本中の合成カンナビノイド JWH-398 の測定。</v>
      </c>
      <c r="I2872" s="3" t="str">
        <f ca="1">IFERROR(__xludf.DUMMYFUNCTION("googletranslate(F2872,""en"",""ja"")"),"JWH-398 測定")</f>
        <v>JWH-398 測定</v>
      </c>
    </row>
    <row r="2873" spans="1:9">
      <c r="A2873" s="3" t="s">
        <v>6</v>
      </c>
      <c r="B2873" s="3" t="s">
        <v>11900</v>
      </c>
      <c r="C2873" s="3" t="s">
        <v>11901</v>
      </c>
      <c r="D2873" s="3" t="s">
        <v>11901</v>
      </c>
      <c r="E2873" s="3" t="s">
        <v>11902</v>
      </c>
      <c r="F2873" s="3" t="s">
        <v>11903</v>
      </c>
      <c r="G2873" s="3" t="str">
        <f ca="1">IFERROR(__xludf.DUMMYFUNCTION("googletranslate(D2873,""en"",""ja"")"),"カリウム")</f>
        <v>カリウム</v>
      </c>
      <c r="H2873" s="3" t="str">
        <f ca="1">IFERROR(__xludf.DUMMYFUNCTION("googletranslate(E2873,""en"",""ja"")"),"生物学的標本中のカリウムの測定。")</f>
        <v>生物学的標本中のカリウムの測定。</v>
      </c>
      <c r="I2873" s="3" t="str">
        <f ca="1">IFERROR(__xludf.DUMMYFUNCTION("googletranslate(F2873,""en"",""ja"")"),"カリウムの測定")</f>
        <v>カリウムの測定</v>
      </c>
    </row>
    <row r="2874" spans="1:9" ht="30">
      <c r="A2874" s="3" t="s">
        <v>67</v>
      </c>
      <c r="B2874" s="3" t="s">
        <v>11904</v>
      </c>
      <c r="C2874" s="3" t="s">
        <v>11905</v>
      </c>
      <c r="D2874" s="3" t="s">
        <v>11905</v>
      </c>
      <c r="E2874" s="3" t="s">
        <v>11906</v>
      </c>
      <c r="F2874" s="3" t="s">
        <v>11907</v>
      </c>
      <c r="G2874" s="3" t="str">
        <f ca="1">IFERROR(__xludf.DUMMYFUNCTION("googletranslate(D2874,""en"",""ja"")"),"クレブシエラ・エアロゲネス")</f>
        <v>クレブシエラ・エアロゲネス</v>
      </c>
      <c r="H2874" s="3" t="str">
        <f ca="1">IFERROR(__xludf.DUMMYFUNCTION("googletranslate(E2874,""en"",""ja"")"),"生物学的標本中のクレブシエラ・エアロゲネスの測定。")</f>
        <v>生物学的標本中のクレブシエラ・エアロゲネスの測定。</v>
      </c>
      <c r="I2874" s="3" t="str">
        <f ca="1">IFERROR(__xludf.DUMMYFUNCTION("googletranslate(F2874,""en"",""ja"")"),"クレブシエラ・エアロゲネスの測定")</f>
        <v>クレブシエラ・エアロゲネスの測定</v>
      </c>
    </row>
    <row r="2875" spans="1:9" ht="30">
      <c r="A2875" s="3" t="s">
        <v>67</v>
      </c>
      <c r="B2875" s="3" t="s">
        <v>11908</v>
      </c>
      <c r="C2875" s="3" t="s">
        <v>11909</v>
      </c>
      <c r="D2875" s="3" t="s">
        <v>11909</v>
      </c>
      <c r="E2875" s="3" t="s">
        <v>11910</v>
      </c>
      <c r="F2875" s="3" t="s">
        <v>11911</v>
      </c>
      <c r="G2875" s="3" t="str">
        <f ca="1">IFERROR(__xludf.DUMMYFUNCTION("googletranslate(D2875,""en"",""ja"")"),"クレブシエラ・エアロゲネスのDNA")</f>
        <v>クレブシエラ・エアロゲネスのDNA</v>
      </c>
      <c r="H2875" s="3" t="str">
        <f ca="1">IFERROR(__xludf.DUMMYFUNCTION("googletranslate(E2875,""en"",""ja"")"),"生物学的標本中の Klebsiella aerogenes DNA の測定。")</f>
        <v>生物学的標本中の Klebsiella aerogenes DNA の測定。</v>
      </c>
      <c r="I2875" s="3" t="str">
        <f ca="1">IFERROR(__xludf.DUMMYFUNCTION("googletranslate(F2875,""en"",""ja"")"),"クレブシエラ・エアロゲネスのDNA測定")</f>
        <v>クレブシエラ・エアロゲネスのDNA測定</v>
      </c>
    </row>
    <row r="2876" spans="1:9" ht="30">
      <c r="A2876" s="3" t="s">
        <v>6</v>
      </c>
      <c r="B2876" s="3" t="s">
        <v>11912</v>
      </c>
      <c r="C2876" s="3" t="s">
        <v>11913</v>
      </c>
      <c r="D2876" s="3" t="s">
        <v>11913</v>
      </c>
      <c r="E2876" s="3" t="s">
        <v>11914</v>
      </c>
      <c r="F2876" s="3" t="s">
        <v>11915</v>
      </c>
      <c r="G2876" s="3" t="str">
        <f ca="1">IFERROR(__xludf.DUMMYFUNCTION("googletranslate(D2876,""en"",""ja"")"),"カッパライトチェーン")</f>
        <v>カッパライトチェーン</v>
      </c>
      <c r="H2876" s="3" t="str">
        <f ca="1">IFERROR(__xludf.DUMMYFUNCTION("googletranslate(E2876,""en"",""ja"")"),"生物学的標本中の総カッパ軽鎖の測定。")</f>
        <v>生物学的標本中の総カッパ軽鎖の測定。</v>
      </c>
      <c r="I2876" s="3" t="str">
        <f ca="1">IFERROR(__xludf.DUMMYFUNCTION("googletranslate(F2876,""en"",""ja"")"),"カッパ軽鎖の測定")</f>
        <v>カッパ軽鎖の測定</v>
      </c>
    </row>
    <row r="2877" spans="1:9" ht="30">
      <c r="A2877" s="3" t="s">
        <v>6</v>
      </c>
      <c r="B2877" s="3" t="s">
        <v>11916</v>
      </c>
      <c r="C2877" s="3" t="s">
        <v>11917</v>
      </c>
      <c r="D2877" s="3" t="s">
        <v>11917</v>
      </c>
      <c r="E2877" s="3" t="s">
        <v>11918</v>
      </c>
      <c r="F2877" s="3" t="s">
        <v>11919</v>
      </c>
      <c r="G2877" s="3" t="str">
        <f ca="1">IFERROR(__xludf.DUMMYFUNCTION("googletranslate(D2877,""en"",""ja"")"),"ケトベミドン")</f>
        <v>ケトベミドン</v>
      </c>
      <c r="H2877" s="3" t="str">
        <f ca="1">IFERROR(__xludf.DUMMYFUNCTION("googletranslate(E2877,""en"",""ja"")"),"生物学的標本中のケトベミドンの測定。")</f>
        <v>生物学的標本中のケトベミドンの測定。</v>
      </c>
      <c r="I2877" s="3" t="str">
        <f ca="1">IFERROR(__xludf.DUMMYFUNCTION("googletranslate(F2877,""en"",""ja"")"),"ケトベミドンの測定")</f>
        <v>ケトベミドンの測定</v>
      </c>
    </row>
    <row r="2878" spans="1:9" ht="45">
      <c r="A2878" s="3" t="s">
        <v>6</v>
      </c>
      <c r="B2878" s="3" t="s">
        <v>11920</v>
      </c>
      <c r="C2878" s="3" t="s">
        <v>11921</v>
      </c>
      <c r="D2878" s="3" t="s">
        <v>11921</v>
      </c>
      <c r="E2878" s="3" t="s">
        <v>11922</v>
      </c>
      <c r="F2878" s="3" t="s">
        <v>11923</v>
      </c>
      <c r="G2878" s="3" t="str">
        <f ca="1">IFERROR(__xludf.DUMMYFUNCTION("googletranslate(D2878,""en"",""ja"")"),"カリウムクリアランス")</f>
        <v>カリウムクリアランス</v>
      </c>
      <c r="H2878" s="3" t="str">
        <f ca="1">IFERROR(__xludf.DUMMYFUNCTION("googletranslate(E2878,""en"",""ja"")"),"指定された時間単位 (例: 1 分) の尿の排泄によってカリウムが除去される血清または血漿の量の測定値。")</f>
        <v>指定された時間単位 (例: 1 分) の尿の排泄によってカリウムが除去される血清または血漿の量の測定値。</v>
      </c>
      <c r="I2878" s="3" t="str">
        <f ca="1">IFERROR(__xludf.DUMMYFUNCTION("googletranslate(F2878,""en"",""ja"")"),"カリウムクリアランス測定")</f>
        <v>カリウムクリアランス測定</v>
      </c>
    </row>
    <row r="2879" spans="1:9" ht="30">
      <c r="A2879" s="3" t="s">
        <v>6</v>
      </c>
      <c r="B2879" s="3" t="s">
        <v>11924</v>
      </c>
      <c r="C2879" s="3" t="s">
        <v>11925</v>
      </c>
      <c r="D2879" s="3" t="s">
        <v>11925</v>
      </c>
      <c r="E2879" s="3" t="s">
        <v>11926</v>
      </c>
      <c r="F2879" s="3" t="s">
        <v>11927</v>
      </c>
      <c r="G2879" s="3" t="str">
        <f ca="1">IFERROR(__xludf.DUMMYFUNCTION("googletranslate(D2879,""en"",""ja"")"),"カリウム/クレアチニン")</f>
        <v>カリウム/クレアチニン</v>
      </c>
      <c r="H2879" s="3" t="str">
        <f ca="1">IFERROR(__xludf.DUMMYFUNCTION("googletranslate(E2879,""en"",""ja"")"),"生物学的標本中のクレアチニンに対するカリウムの相対測定値 (比率またはパーセンテージ)。")</f>
        <v>生物学的標本中のクレアチニンに対するカリウムの相対測定値 (比率またはパーセンテージ)。</v>
      </c>
      <c r="I2879" s="3" t="str">
        <f ca="1">IFERROR(__xludf.DUMMYFUNCTION("googletranslate(F2879,""en"",""ja"")"),"カリウムとクレアチニンの比率の測定")</f>
        <v>カリウムとクレアチニンの比率の測定</v>
      </c>
    </row>
    <row r="2880" spans="1:9">
      <c r="A2880" s="3" t="s">
        <v>6</v>
      </c>
      <c r="B2880" s="3" t="s">
        <v>11928</v>
      </c>
      <c r="C2880" s="3" t="s">
        <v>11929</v>
      </c>
      <c r="D2880" s="3" t="s">
        <v>11929</v>
      </c>
      <c r="E2880" s="3" t="s">
        <v>11930</v>
      </c>
      <c r="F2880" s="3" t="s">
        <v>11931</v>
      </c>
      <c r="G2880" s="3" t="str">
        <f ca="1">IFERROR(__xludf.DUMMYFUNCTION("googletranslate(D2880,""en"",""ja"")"),"角膜実質")</f>
        <v>角膜実質</v>
      </c>
      <c r="H2880" s="3" t="str">
        <f ca="1">IFERROR(__xludf.DUMMYFUNCTION("googletranslate(E2880,""en"",""ja"")"),"生物学的標本中の角膜実質の測定。")</f>
        <v>生物学的標本中の角膜実質の測定。</v>
      </c>
      <c r="I2880" s="3" t="str">
        <f ca="1">IFERROR(__xludf.DUMMYFUNCTION("googletranslate(F2880,""en"",""ja"")"),"角膜実質細胞数")</f>
        <v>角膜実質細胞数</v>
      </c>
    </row>
    <row r="2881" spans="1:9">
      <c r="A2881" s="3" t="s">
        <v>6</v>
      </c>
      <c r="B2881" s="3" t="s">
        <v>11932</v>
      </c>
      <c r="C2881" s="3" t="s">
        <v>11933</v>
      </c>
      <c r="D2881" s="3" t="s">
        <v>11933</v>
      </c>
      <c r="E2881" s="3" t="s">
        <v>11934</v>
      </c>
      <c r="F2881" s="3" t="s">
        <v>11935</v>
      </c>
      <c r="G2881" s="3" t="str">
        <f ca="1">IFERROR(__xludf.DUMMYFUNCTION("googletranslate(D2881,""en"",""ja"")"),"ケタミン")</f>
        <v>ケタミン</v>
      </c>
      <c r="H2881" s="3" t="str">
        <f ca="1">IFERROR(__xludf.DUMMYFUNCTION("googletranslate(E2881,""en"",""ja"")"),"生物学的標本中のケタミンの測定。")</f>
        <v>生物学的標本中のケタミンの測定。</v>
      </c>
      <c r="I2881" s="3" t="str">
        <f ca="1">IFERROR(__xludf.DUMMYFUNCTION("googletranslate(F2881,""en"",""ja"")"),"ケタミンの測定")</f>
        <v>ケタミンの測定</v>
      </c>
    </row>
    <row r="2882" spans="1:9" ht="45">
      <c r="A2882" s="3" t="s">
        <v>6</v>
      </c>
      <c r="B2882" s="3" t="s">
        <v>11936</v>
      </c>
      <c r="C2882" s="3" t="s">
        <v>11937</v>
      </c>
      <c r="D2882" s="3" t="s">
        <v>11937</v>
      </c>
      <c r="E2882" s="3" t="s">
        <v>11938</v>
      </c>
      <c r="F2882" s="3" t="s">
        <v>11939</v>
      </c>
      <c r="G2882" s="3" t="str">
        <f ca="1">IFERROR(__xludf.DUMMYFUNCTION("googletranslate(D2882,""en"",""ja"")"),"ケトン体")</f>
        <v>ケトン体</v>
      </c>
      <c r="H2882" s="3" t="str">
        <f ca="1">IFERROR(__xludf.DUMMYFUNCTION("googletranslate(E2882,""en"",""ja"")"),"生体試料中のケトン体（アセトン、アセト酢酸、β-ヒドロキシ酪酸、β-ケトペンタン酸、β-ヒドロキシペンタン酸）の測定。")</f>
        <v>生体試料中のケトン体（アセトン、アセト酢酸、β-ヒドロキシ酪酸、β-ケトペンタン酸、β-ヒドロキシペンタン酸）の測定。</v>
      </c>
      <c r="I2882" s="3" t="str">
        <f ca="1">IFERROR(__xludf.DUMMYFUNCTION("googletranslate(F2882,""en"",""ja"")"),"ケトン体測定")</f>
        <v>ケトン体測定</v>
      </c>
    </row>
    <row r="2883" spans="1:9">
      <c r="A2883" s="3" t="s">
        <v>6</v>
      </c>
      <c r="B2883" s="3" t="s">
        <v>11940</v>
      </c>
      <c r="C2883" s="3" t="s">
        <v>11941</v>
      </c>
      <c r="D2883" s="3" t="s">
        <v>11941</v>
      </c>
      <c r="E2883" s="3" t="s">
        <v>11942</v>
      </c>
      <c r="F2883" s="3" t="s">
        <v>11943</v>
      </c>
      <c r="G2883" s="3" t="str">
        <f ca="1">IFERROR(__xludf.DUMMYFUNCTION("googletranslate(D2883,""en"",""ja"")"),"ケトン体")</f>
        <v>ケトン体</v>
      </c>
      <c r="H2883" s="3" t="str">
        <f ca="1">IFERROR(__xludf.DUMMYFUNCTION("googletranslate(E2883,""en"",""ja"")"),"生物学的標本中のケトンの測定。")</f>
        <v>生物学的標本中のケトンの測定。</v>
      </c>
      <c r="I2883" s="3" t="str">
        <f ca="1">IFERROR(__xludf.DUMMYFUNCTION("googletranslate(F2883,""en"",""ja"")"),"ケトン体測定")</f>
        <v>ケトン体測定</v>
      </c>
    </row>
    <row r="2884" spans="1:9" ht="45">
      <c r="A2884" s="3" t="s">
        <v>6</v>
      </c>
      <c r="B2884" s="3" t="s">
        <v>11944</v>
      </c>
      <c r="C2884" s="3" t="s">
        <v>11945</v>
      </c>
      <c r="D2884" s="3" t="s">
        <v>11945</v>
      </c>
      <c r="E2884" s="3" t="s">
        <v>11946</v>
      </c>
      <c r="F2884" s="3" t="s">
        <v>11945</v>
      </c>
      <c r="G2884" s="3" t="str">
        <f ca="1">IFERROR(__xludf.DUMMYFUNCTION("googletranslate(D2884,""en"",""ja"")"),"カリウム排泄率")</f>
        <v>カリウム排泄率</v>
      </c>
      <c r="H2884" s="3" t="str">
        <f ca="1">IFERROR(__xludf.DUMMYFUNCTION("googletranslate(E2884,""en"",""ja"")"),"規定の時間 (例: 1 時間) にわたって生物学的標本中に排泄されるカリウムの量の測定。")</f>
        <v>規定の時間 (例: 1 時間) にわたって生物学的標本中に排泄されるカリウムの量の測定。</v>
      </c>
      <c r="I2884" s="3" t="str">
        <f ca="1">IFERROR(__xludf.DUMMYFUNCTION("googletranslate(F2884,""en"",""ja"")"),"カリウム排泄率")</f>
        <v>カリウム排泄率</v>
      </c>
    </row>
    <row r="2885" spans="1:9">
      <c r="A2885" s="3" t="s">
        <v>6</v>
      </c>
      <c r="B2885" s="3" t="s">
        <v>11947</v>
      </c>
      <c r="C2885" s="3" t="s">
        <v>11948</v>
      </c>
      <c r="D2885" s="3" t="s">
        <v>11949</v>
      </c>
      <c r="E2885" s="3" t="s">
        <v>11950</v>
      </c>
      <c r="F2885" s="3" t="s">
        <v>11951</v>
      </c>
      <c r="G2885" s="3" t="str">
        <f ca="1">IFERROR(__xludf.DUMMYFUNCTION("googletranslate(D2885,""en"",""ja"")"),"Ki-67; KI67; MKI67; pKi-67")</f>
        <v>Ki-67; KI67; MKI67; pKi-67</v>
      </c>
      <c r="H2885" s="3" t="str">
        <f ca="1">IFERROR(__xludf.DUMMYFUNCTION("googletranslate(E2885,""en"",""ja"")"),"生物学的標本中の Ki-67 タンパク質の測定。")</f>
        <v>生物学的標本中の Ki-67 タンパク質の測定。</v>
      </c>
      <c r="I2885" s="3" t="str">
        <f ca="1">IFERROR(__xludf.DUMMYFUNCTION("googletranslate(F2885,""en"",""ja"")"),"Ki67の測定")</f>
        <v>Ki67の測定</v>
      </c>
    </row>
    <row r="2886" spans="1:9" ht="30">
      <c r="A2886" s="3" t="s">
        <v>103</v>
      </c>
      <c r="B2886" s="3" t="s">
        <v>11952</v>
      </c>
      <c r="C2886" s="3" t="s">
        <v>11953</v>
      </c>
      <c r="D2886" s="3" t="s">
        <v>11953</v>
      </c>
      <c r="E2886" s="3" t="s">
        <v>11954</v>
      </c>
      <c r="F2886" s="3" t="s">
        <v>11955</v>
      </c>
      <c r="G2886" s="3" t="str">
        <f ca="1">IFERROR(__xludf.DUMMYFUNCTION("googletranslate(D2886,""en"",""ja"")"),"Ki67 式")</f>
        <v>Ki67 式</v>
      </c>
      <c r="H2886" s="3" t="str">
        <f ca="1">IFERROR(__xludf.DUMMYFUNCTION("googletranslate(E2886,""en"",""ja"")"),"生物学的標本における細胞の Ki67 発現の測定。")</f>
        <v>生物学的標本における細胞の Ki67 発現の測定。</v>
      </c>
      <c r="I2886" s="3" t="str">
        <f ca="1">IFERROR(__xludf.DUMMYFUNCTION("googletranslate(F2886,""en"",""ja"")"),"Ki67細胞表面発現測定")</f>
        <v>Ki67細胞表面発現測定</v>
      </c>
    </row>
    <row r="2887" spans="1:9" ht="30">
      <c r="A2887" s="3" t="s">
        <v>6</v>
      </c>
      <c r="B2887" s="3" t="s">
        <v>11956</v>
      </c>
      <c r="C2887" s="3" t="s">
        <v>11957</v>
      </c>
      <c r="D2887" s="3" t="s">
        <v>11958</v>
      </c>
      <c r="E2887" s="3" t="s">
        <v>11959</v>
      </c>
      <c r="F2887" s="3" t="s">
        <v>11960</v>
      </c>
      <c r="G2887" s="3" t="str">
        <f ca="1">IFERROR(__xludf.DUMMYFUNCTION("googletranslate(D2887,""en"",""ja"")"),"A 型肝炎ウイルス細胞受容体 1;腎臓損傷分子-1; KIM-1")</f>
        <v>A 型肝炎ウイルス細胞受容体 1;腎臓損傷分子-1; KIM-1</v>
      </c>
      <c r="H2887" s="3" t="str">
        <f ca="1">IFERROR(__xludf.DUMMYFUNCTION("googletranslate(E2887,""en"",""ja"")"),"生体標本中の腎損傷分子-1 (Kim-1) の測定。")</f>
        <v>生体標本中の腎損傷分子-1 (Kim-1) の測定。</v>
      </c>
      <c r="I2887" s="3" t="str">
        <f ca="1">IFERROR(__xludf.DUMMYFUNCTION("googletranslate(F2887,""en"",""ja"")"),"腎障害分子 1 の測定")</f>
        <v>腎障害分子 1 の測定</v>
      </c>
    </row>
    <row r="2888" spans="1:9" ht="30">
      <c r="A2888" s="3" t="s">
        <v>6</v>
      </c>
      <c r="B2888" s="3" t="s">
        <v>11961</v>
      </c>
      <c r="C2888" s="3" t="s">
        <v>11962</v>
      </c>
      <c r="D2888" s="3" t="s">
        <v>11962</v>
      </c>
      <c r="E2888" s="3" t="s">
        <v>11963</v>
      </c>
      <c r="F2888" s="3" t="s">
        <v>11964</v>
      </c>
      <c r="G2888" s="3" t="str">
        <f ca="1">IFERROR(__xludf.DUMMYFUNCTION("googletranslate(D2888,""en"",""ja"")"),"腎臓損傷分子-1/クレアチニン")</f>
        <v>腎臓損傷分子-1/クレアチニン</v>
      </c>
      <c r="H2888" s="3" t="str">
        <f ca="1">IFERROR(__xludf.DUMMYFUNCTION("googletranslate(E2888,""en"",""ja"")"),"生物学的標本中のクレアチニンに対する腎損傷分子 1 の相対測定値 (比率またはパーセンテージ)。")</f>
        <v>生物学的標本中のクレアチニンに対する腎損傷分子 1 の相対測定値 (比率またはパーセンテージ)。</v>
      </c>
      <c r="I2888" s="3" t="str">
        <f ca="1">IFERROR(__xludf.DUMMYFUNCTION("googletranslate(F2888,""en"",""ja"")"),"腎臓損傷分子-1/クレアチニン比の測定")</f>
        <v>腎臓損傷分子-1/クレアチニン比の測定</v>
      </c>
    </row>
    <row r="2889" spans="1:9" ht="45">
      <c r="A2889" s="3" t="s">
        <v>6</v>
      </c>
      <c r="B2889" s="3" t="s">
        <v>11965</v>
      </c>
      <c r="C2889" s="3" t="s">
        <v>11966</v>
      </c>
      <c r="D2889" s="3" t="s">
        <v>11966</v>
      </c>
      <c r="E2889" s="3" t="s">
        <v>11967</v>
      </c>
      <c r="F2889" s="3" t="s">
        <v>11966</v>
      </c>
      <c r="G2889" s="3" t="str">
        <f ca="1">IFERROR(__xludf.DUMMYFUNCTION("googletranslate(D2889,""en"",""ja"")"),"腎臓損傷分子 1 の排泄率")</f>
        <v>腎臓損傷分子 1 の排泄率</v>
      </c>
      <c r="H2889" s="3" t="str">
        <f ca="1">IFERROR(__xludf.DUMMYFUNCTION("googletranslate(E2889,""en"",""ja"")"),"規定の時間（たとえば、1 時間）にわたって生物学的検体中に排泄される腎損傷分子-1 の量の測定。")</f>
        <v>規定の時間（たとえば、1 時間）にわたって生物学的検体中に排泄される腎損傷分子-1 の量の測定。</v>
      </c>
      <c r="I2889" s="3" t="str">
        <f ca="1">IFERROR(__xludf.DUMMYFUNCTION("googletranslate(F2889,""en"",""ja"")"),"腎臓損傷分子 1 の排泄率")</f>
        <v>腎臓損傷分子 1 の排泄率</v>
      </c>
    </row>
    <row r="2890" spans="1:9" ht="45">
      <c r="A2890" s="3" t="s">
        <v>6</v>
      </c>
      <c r="B2890" s="3" t="s">
        <v>11968</v>
      </c>
      <c r="C2890" s="3" t="s">
        <v>11969</v>
      </c>
      <c r="D2890" s="3" t="s">
        <v>11970</v>
      </c>
      <c r="E2890" s="3" t="s">
        <v>11971</v>
      </c>
      <c r="F2890" s="3" t="s">
        <v>11972</v>
      </c>
      <c r="G2890" s="3" t="str">
        <f ca="1">IFERROR(__xludf.DUMMYFUNCTION("googletranslate(D2890,""en"",""ja"")"),"可溶性 A 型肝炎ウイルス細胞受容体 1;可溶性腎臓損傷分子-1;可溶性KIM-1")</f>
        <v>可溶性 A 型肝炎ウイルス細胞受容体 1;可溶性腎臓損傷分子-1;可溶性KIM-1</v>
      </c>
      <c r="H2890" s="3" t="str">
        <f ca="1">IFERROR(__xludf.DUMMYFUNCTION("googletranslate(E2890,""en"",""ja"")"),"生物学的標本中の可溶性腎損傷分子-1の測定。")</f>
        <v>生物学的標本中の可溶性腎損傷分子-1の測定。</v>
      </c>
      <c r="I2890" s="3" t="str">
        <f ca="1">IFERROR(__xludf.DUMMYFUNCTION("googletranslate(F2890,""en"",""ja"")"),"可溶性腎障害分子-1の測定")</f>
        <v>可溶性腎障害分子-1の測定</v>
      </c>
    </row>
    <row r="2891" spans="1:9" ht="30">
      <c r="A2891" s="3" t="s">
        <v>6</v>
      </c>
      <c r="B2891" s="3" t="s">
        <v>11973</v>
      </c>
      <c r="C2891" s="3" t="s">
        <v>11974</v>
      </c>
      <c r="D2891" s="3" t="s">
        <v>11975</v>
      </c>
      <c r="E2891" s="3" t="s">
        <v>11976</v>
      </c>
      <c r="F2891" s="3" t="s">
        <v>11977</v>
      </c>
      <c r="G2891" s="3" t="str">
        <f ca="1">IFERROR(__xludf.DUMMYFUNCTION("googletranslate(D2891,""en"",""ja"")"),"KL-6;クレブス・フォン・デン・ルンゲン-6抗原")</f>
        <v>KL-6;クレブス・フォン・デン・ルンゲン-6抗原</v>
      </c>
      <c r="H2891" s="3" t="str">
        <f ca="1">IFERROR(__xludf.DUMMYFUNCTION("googletranslate(E2891,""en"",""ja"")"),"生物学的標本のクレブス・フォン・デン・ルンゲン-6の測定。")</f>
        <v>生物学的標本のクレブス・フォン・デン・ルンゲン-6の測定。</v>
      </c>
      <c r="I2891" s="3" t="str">
        <f ca="1">IFERROR(__xludf.DUMMYFUNCTION("googletranslate(F2891,""en"",""ja"")"),"クレブス・フォン・デン・ルンゲン-6 の測定")</f>
        <v>クレブス・フォン・デン・ルンゲン-6 の測定</v>
      </c>
    </row>
    <row r="2892" spans="1:9" ht="45">
      <c r="A2892" s="3" t="s">
        <v>6</v>
      </c>
      <c r="B2892" s="3" t="s">
        <v>11978</v>
      </c>
      <c r="C2892" s="3" t="s">
        <v>11979</v>
      </c>
      <c r="D2892" s="3" t="s">
        <v>11980</v>
      </c>
      <c r="E2892" s="3" t="s">
        <v>11981</v>
      </c>
      <c r="F2892" s="3" t="s">
        <v>11982</v>
      </c>
      <c r="G2892" s="3" t="str">
        <f ca="1">IFERROR(__xludf.DUMMYFUNCTION("googletranslate(D2892,""en"",""ja"")"),"ベンス・ジョーンズ、カッパ。カッパライトチェーン、フリー")</f>
        <v>ベンス・ジョーンズ、カッパ。カッパライトチェーン、フリー</v>
      </c>
      <c r="H2892" s="3" t="str">
        <f ca="1">IFERROR(__xludf.DUMMYFUNCTION("googletranslate(E2892,""en"",""ja"")"),"生物学的標本中の遊離カッパ軽鎖の測定。")</f>
        <v>生物学的標本中の遊離カッパ軽鎖の測定。</v>
      </c>
      <c r="I2892" s="3" t="str">
        <f ca="1">IFERROR(__xludf.DUMMYFUNCTION("googletranslate(F2892,""en"",""ja"")"),"無料のカッパ軽鎖測定")</f>
        <v>無料のカッパ軽鎖測定</v>
      </c>
    </row>
    <row r="2893" spans="1:9" ht="45">
      <c r="A2893" s="3" t="s">
        <v>6</v>
      </c>
      <c r="B2893" s="3" t="s">
        <v>11983</v>
      </c>
      <c r="C2893" s="3" t="s">
        <v>11984</v>
      </c>
      <c r="D2893" s="3" t="s">
        <v>11985</v>
      </c>
      <c r="E2893" s="3" t="s">
        <v>11986</v>
      </c>
      <c r="F2893" s="3" t="s">
        <v>11987</v>
      </c>
      <c r="G2893" s="3" t="str">
        <f ca="1">IFERROR(__xludf.DUMMYFUNCTION("googletranslate(D2893,""en"",""ja"")"),"カッパラムダ比。カッパライトチェーン/ラムダライトチェーン")</f>
        <v>カッパラムダ比。カッパライトチェーン/ラムダライトチェーン</v>
      </c>
      <c r="H2893" s="3" t="str">
        <f ca="1">IFERROR(__xludf.DUMMYFUNCTION("googletranslate(E2893,""en"",""ja"")"),"生物学的標本中の総カッパ軽鎖と総ラムダ軽鎖の相対測定値 (比)。")</f>
        <v>生物学的標本中の総カッパ軽鎖と総ラムダ軽鎖の相対測定値 (比)。</v>
      </c>
      <c r="I2893" s="3" t="str">
        <f ca="1">IFERROR(__xludf.DUMMYFUNCTION("googletranslate(F2893,""en"",""ja"")"),"カッパ軽鎖とラムダ軽鎖の比率の測定")</f>
        <v>カッパ軽鎖とラムダ軽鎖の比率の測定</v>
      </c>
    </row>
    <row r="2894" spans="1:9" ht="45">
      <c r="A2894" s="3" t="s">
        <v>6</v>
      </c>
      <c r="B2894" s="3" t="s">
        <v>11988</v>
      </c>
      <c r="C2894" s="3" t="s">
        <v>11989</v>
      </c>
      <c r="D2894" s="3" t="s">
        <v>11989</v>
      </c>
      <c r="E2894" s="3" t="s">
        <v>11990</v>
      </c>
      <c r="F2894" s="3" t="s">
        <v>11991</v>
      </c>
      <c r="G2894" s="3" t="str">
        <f ca="1">IFERROR(__xludf.DUMMYFUNCTION("googletranslate(D2894,""en"",""ja"")"),"カッパ Lt チェーン、フリー/ラムダ Lt チェーン、フリー")</f>
        <v>カッパ Lt チェーン、フリー/ラムダ Lt チェーン、フリー</v>
      </c>
      <c r="H2894" s="3" t="str">
        <f ca="1">IFERROR(__xludf.DUMMYFUNCTION("googletranslate(E2894,""en"",""ja"")"),"生物学的標本における遊離カッパ軽鎖と遊離ラムダ軽鎖の相対測定値 (比率またはパーセンテージ)。")</f>
        <v>生物学的標本における遊離カッパ軽鎖と遊離ラムダ軽鎖の相対測定値 (比率またはパーセンテージ)。</v>
      </c>
      <c r="I2894" s="3" t="str">
        <f ca="1">IFERROR(__xludf.DUMMYFUNCTION("googletranslate(F2894,""en"",""ja"")"),"フリーカッパライトチェーンからフリーラムダライトチェーンへの比測定")</f>
        <v>フリーカッパライトチェーンからフリーラムダライトチェーンへの比測定</v>
      </c>
    </row>
    <row r="2895" spans="1:9" ht="45">
      <c r="A2895" s="3" t="s">
        <v>67</v>
      </c>
      <c r="B2895" s="3" t="s">
        <v>11992</v>
      </c>
      <c r="C2895" s="3" t="s">
        <v>11993</v>
      </c>
      <c r="D2895" s="3" t="s">
        <v>11993</v>
      </c>
      <c r="E2895" s="3" t="s">
        <v>11994</v>
      </c>
      <c r="F2895" s="3" t="s">
        <v>11995</v>
      </c>
      <c r="G2895" s="3" t="str">
        <f ca="1">IFERROR(__xludf.DUMMYFUNCTION("googletranslate(D2895,""en"",""ja"")"),"クレブシエラ")</f>
        <v>クレブシエラ</v>
      </c>
      <c r="H2895" s="3" t="str">
        <f ca="1">IFERROR(__xludf.DUMMYFUNCTION("googletranslate(E2895,""en"",""ja"")"),"生物学的標本において、種レベルには割り当てられていないが、クレブシエラ属レベルに割り当てられている生物の測定値。")</f>
        <v>生物学的標本において、種レベルには割り当てられていないが、クレブシエラ属レベルに割り当てられている生物の測定値。</v>
      </c>
      <c r="I2895" s="3" t="str">
        <f ca="1">IFERROR(__xludf.DUMMYFUNCTION("googletranslate(F2895,""en"",""ja"")"),"クレブシエラの測定")</f>
        <v>クレブシエラの測定</v>
      </c>
    </row>
    <row r="2896" spans="1:9">
      <c r="A2896" s="3" t="s">
        <v>6</v>
      </c>
      <c r="B2896" s="3" t="s">
        <v>11996</v>
      </c>
      <c r="C2896" s="3" t="s">
        <v>11997</v>
      </c>
      <c r="D2896" s="3" t="s">
        <v>11997</v>
      </c>
      <c r="E2896" s="3" t="s">
        <v>11998</v>
      </c>
      <c r="F2896" s="3" t="s">
        <v>11999</v>
      </c>
      <c r="G2896" s="3" t="str">
        <f ca="1">IFERROR(__xludf.DUMMYFUNCTION("googletranslate(D2896,""en"",""ja"")"),"カリクレイン-2")</f>
        <v>カリクレイン-2</v>
      </c>
      <c r="H2896" s="3" t="str">
        <f ca="1">IFERROR(__xludf.DUMMYFUNCTION("googletranslate(E2896,""en"",""ja"")"),"生物学的標本中のカリクレイン-2の測定。")</f>
        <v>生物学的標本中のカリクレイン-2の測定。</v>
      </c>
      <c r="I2896" s="3" t="str">
        <f ca="1">IFERROR(__xludf.DUMMYFUNCTION("googletranslate(F2896,""en"",""ja"")"),"カリクレイン-2の測定")</f>
        <v>カリクレイン-2の測定</v>
      </c>
    </row>
    <row r="2897" spans="1:9" ht="45">
      <c r="A2897" s="3" t="s">
        <v>6</v>
      </c>
      <c r="B2897" s="3" t="s">
        <v>12000</v>
      </c>
      <c r="C2897" s="3" t="s">
        <v>12001</v>
      </c>
      <c r="D2897" s="3" t="s">
        <v>12002</v>
      </c>
      <c r="E2897" s="3" t="s">
        <v>12003</v>
      </c>
      <c r="F2897" s="3" t="s">
        <v>12004</v>
      </c>
      <c r="G2897" s="3" t="str">
        <f ca="1">IFERROR(__xludf.DUMMYFUNCTION("googletranslate(D2897,""en"",""ja"")"),"カリクレイン関連ペプチダーゼ 5;カリクレイン-5;カリクレイン様タンパク質 2; KLK-L2")</f>
        <v>カリクレイン関連ペプチダーゼ 5;カリクレイン-5;カリクレイン様タンパク質 2; KLK-L2</v>
      </c>
      <c r="H2897" s="3" t="str">
        <f ca="1">IFERROR(__xludf.DUMMYFUNCTION("googletranslate(E2897,""en"",""ja"")"),"生物学的標本中のカリクレイン 5 の測定。")</f>
        <v>生物学的標本中のカリクレイン 5 の測定。</v>
      </c>
      <c r="I2897" s="3" t="str">
        <f ca="1">IFERROR(__xludf.DUMMYFUNCTION("googletranslate(F2897,""en"",""ja"")"),"カリクレイン-5の測定")</f>
        <v>カリクレイン-5の測定</v>
      </c>
    </row>
    <row r="2898" spans="1:9" ht="45">
      <c r="A2898" s="3" t="s">
        <v>6</v>
      </c>
      <c r="B2898" s="3" t="s">
        <v>12005</v>
      </c>
      <c r="C2898" s="3" t="s">
        <v>12006</v>
      </c>
      <c r="D2898" s="3" t="s">
        <v>12007</v>
      </c>
      <c r="E2898" s="3" t="s">
        <v>12008</v>
      </c>
      <c r="F2898" s="3" t="s">
        <v>12009</v>
      </c>
      <c r="G2898" s="3" t="str">
        <f ca="1">IFERROR(__xludf.DUMMYFUNCTION("googletranslate(D2898,""en"",""ja"")"),"カリクレイン関連ペプチダーゼ 7;カリクレイン-7;セリンプロテアーゼ 6")</f>
        <v>カリクレイン関連ペプチダーゼ 7;カリクレイン-7;セリンプロテアーゼ 6</v>
      </c>
      <c r="H2898" s="3" t="str">
        <f ca="1">IFERROR(__xludf.DUMMYFUNCTION("googletranslate(E2898,""en"",""ja"")"),"生物学的標本中のカリクレイン 7 の測定。")</f>
        <v>生物学的標本中のカリクレイン 7 の測定。</v>
      </c>
      <c r="I2898" s="3" t="str">
        <f ca="1">IFERROR(__xludf.DUMMYFUNCTION("googletranslate(F2898,""en"",""ja"")"),"カリクレイン-7の測定")</f>
        <v>カリクレイン-7の測定</v>
      </c>
    </row>
    <row r="2899" spans="1:9" ht="30">
      <c r="A2899" s="3" t="s">
        <v>6</v>
      </c>
      <c r="B2899" s="3" t="s">
        <v>12010</v>
      </c>
      <c r="C2899" s="3" t="s">
        <v>12011</v>
      </c>
      <c r="D2899" s="3" t="s">
        <v>12011</v>
      </c>
      <c r="E2899" s="3" t="s">
        <v>12012</v>
      </c>
      <c r="F2899" s="3" t="s">
        <v>12013</v>
      </c>
      <c r="G2899" s="3" t="str">
        <f ca="1">IFERROR(__xludf.DUMMYFUNCTION("googletranslate(D2899,""en"",""ja"")"),"クロトー")</f>
        <v>クロトー</v>
      </c>
      <c r="H2899" s="3" t="str">
        <f ca="1">IFERROR(__xludf.DUMMYFUNCTION("googletranslate(E2899,""en"",""ja"")"),"生物学的標本中の総クロトータンパク質の測定。")</f>
        <v>生物学的標本中の総クロトータンパク質の測定。</v>
      </c>
      <c r="I2899" s="3" t="str">
        <f ca="1">IFERROR(__xludf.DUMMYFUNCTION("googletranslate(F2899,""en"",""ja"")"),"Klothoタンパク質の測定")</f>
        <v>Klothoタンパク質の測定</v>
      </c>
    </row>
    <row r="2900" spans="1:9" ht="30">
      <c r="A2900" s="3" t="s">
        <v>103</v>
      </c>
      <c r="B2900" s="3" t="s">
        <v>12014</v>
      </c>
      <c r="C2900" s="3" t="s">
        <v>12015</v>
      </c>
      <c r="D2900" s="3" t="s">
        <v>12015</v>
      </c>
      <c r="E2900" s="3" t="s">
        <v>12016</v>
      </c>
      <c r="F2900" s="3" t="s">
        <v>12017</v>
      </c>
      <c r="G2900" s="3" t="str">
        <f ca="1">IFERROR(__xludf.DUMMYFUNCTION("googletranslate(D2900,""en"",""ja"")"),"KLRG1 式")</f>
        <v>KLRG1 式</v>
      </c>
      <c r="H2900" s="3" t="str">
        <f ca="1">IFERROR(__xludf.DUMMYFUNCTION("googletranslate(E2900,""en"",""ja"")"),"生物学的標本における細胞の KLRG1 発現の測定。")</f>
        <v>生物学的標本における細胞の KLRG1 発現の測定。</v>
      </c>
      <c r="I2900" s="3" t="str">
        <f ca="1">IFERROR(__xludf.DUMMYFUNCTION("googletranslate(F2900,""en"",""ja"")"),"KLRG1発現測定")</f>
        <v>KLRG1発現測定</v>
      </c>
    </row>
    <row r="2901" spans="1:9" ht="45">
      <c r="A2901" s="3" t="s">
        <v>118</v>
      </c>
      <c r="B2901" s="3" t="s">
        <v>12018</v>
      </c>
      <c r="C2901" s="3" t="s">
        <v>12019</v>
      </c>
      <c r="D2901" s="3" t="s">
        <v>12019</v>
      </c>
      <c r="E2901" s="3" t="s">
        <v>12020</v>
      </c>
      <c r="F2901" s="3" t="s">
        <v>12021</v>
      </c>
      <c r="G2901" s="3" t="str">
        <f ca="1">IFERROR(__xludf.DUMMYFUNCTION("googletranslate(D2901,""en"",""ja"")"),"膝からかかとまでの長さ")</f>
        <v>膝からかかとまでの長さ</v>
      </c>
      <c r="H2901" s="3" t="str">
        <f ca="1">IFERROR(__xludf.DUMMYFUNCTION("googletranslate(E2901,""en"",""ja"")"),"膝の上からかかとの底までの下腿の長さの測定値。この測定は、歩数計またはノギスを使用して行うことができます。 (NCI)")</f>
        <v>膝の上からかかとの底までの下腿の長さの測定値。この測定は、歩数計またはノギスを使用して行うことができます。 (NCI)</v>
      </c>
      <c r="I2901" s="3" t="str">
        <f ca="1">IFERROR(__xludf.DUMMYFUNCTION("googletranslate(F2901,""en"",""ja"")"),"膝からかかとまでの長さの測定")</f>
        <v>膝からかかとまでの長さの測定</v>
      </c>
    </row>
    <row r="2902" spans="1:9" ht="30">
      <c r="A2902" s="3" t="s">
        <v>67</v>
      </c>
      <c r="B2902" s="3" t="s">
        <v>12022</v>
      </c>
      <c r="C2902" s="3" t="s">
        <v>12023</v>
      </c>
      <c r="D2902" s="3" t="s">
        <v>12023</v>
      </c>
      <c r="E2902" s="3" t="s">
        <v>12024</v>
      </c>
      <c r="F2902" s="3" t="s">
        <v>12025</v>
      </c>
      <c r="G2902" s="3" t="str">
        <f ca="1">IFERROR(__xludf.DUMMYFUNCTION("googletranslate(D2902,""en"",""ja"")"),"クレブシエラ・オキシトカ")</f>
        <v>クレブシエラ・オキシトカ</v>
      </c>
      <c r="H2902" s="3" t="str">
        <f ca="1">IFERROR(__xludf.DUMMYFUNCTION("googletranslate(E2902,""en"",""ja"")"),"生物学的標本中の Klebsiella oxytoca の測定。")</f>
        <v>生物学的標本中の Klebsiella oxytoca の測定。</v>
      </c>
      <c r="I2902" s="3" t="str">
        <f ca="1">IFERROR(__xludf.DUMMYFUNCTION("googletranslate(F2902,""en"",""ja"")"),"クレブシエラ・オキシトカの測定")</f>
        <v>クレブシエラ・オキシトカの測定</v>
      </c>
    </row>
    <row r="2903" spans="1:9" ht="30">
      <c r="A2903" s="3" t="s">
        <v>67</v>
      </c>
      <c r="B2903" s="3" t="s">
        <v>12026</v>
      </c>
      <c r="C2903" s="3" t="s">
        <v>12027</v>
      </c>
      <c r="D2903" s="3" t="s">
        <v>12027</v>
      </c>
      <c r="E2903" s="3" t="s">
        <v>12028</v>
      </c>
      <c r="F2903" s="3" t="s">
        <v>12029</v>
      </c>
      <c r="G2903" s="3" t="str">
        <f ca="1">IFERROR(__xludf.DUMMYFUNCTION("googletranslate(D2903,""en"",""ja"")"),"クレブシエラ・オキシトカ DNA")</f>
        <v>クレブシエラ・オキシトカ DNA</v>
      </c>
      <c r="H2903" s="3" t="str">
        <f ca="1">IFERROR(__xludf.DUMMYFUNCTION("googletranslate(E2903,""en"",""ja"")"),"生物学的標本中の Klebsiella oxytoca DNA の測定。")</f>
        <v>生物学的標本中の Klebsiella oxytoca DNA の測定。</v>
      </c>
      <c r="I2903" s="3" t="str">
        <f ca="1">IFERROR(__xludf.DUMMYFUNCTION("googletranslate(F2903,""en"",""ja"")"),"クレブシエラ・オキシトカ DNA 測定")</f>
        <v>クレブシエラ・オキシトカ DNA 測定</v>
      </c>
    </row>
    <row r="2904" spans="1:9" ht="30">
      <c r="A2904" s="3" t="s">
        <v>103</v>
      </c>
      <c r="B2904" s="3" t="s">
        <v>12030</v>
      </c>
      <c r="C2904" s="3" t="s">
        <v>12031</v>
      </c>
      <c r="D2904" s="3" t="s">
        <v>12032</v>
      </c>
      <c r="E2904" s="3" t="s">
        <v>12033</v>
      </c>
      <c r="F2904" s="3" t="s">
        <v>12034</v>
      </c>
      <c r="G2904" s="3" t="str">
        <f ca="1">IFERROR(__xludf.DUMMYFUNCTION("googletranslate(D2904,""en"",""ja"")"),"カッパ+ PC;カッパ+形質細胞")</f>
        <v>カッパ+ PC;カッパ+形質細胞</v>
      </c>
      <c r="H2904" s="3" t="str">
        <f ca="1">IFERROR(__xludf.DUMMYFUNCTION("googletranslate(E2904,""en"",""ja"")"),"生物学的標本中のカッパ + 形質細胞の測定。")</f>
        <v>生物学的標本中のカッパ + 形質細胞の測定。</v>
      </c>
      <c r="I2904" s="3" t="str">
        <f ca="1">IFERROR(__xludf.DUMMYFUNCTION("googletranslate(F2904,""en"",""ja"")"),"カッパ陽性形質細胞数")</f>
        <v>カッパ陽性形質細胞数</v>
      </c>
    </row>
    <row r="2905" spans="1:9" ht="45">
      <c r="A2905" s="3" t="s">
        <v>103</v>
      </c>
      <c r="B2905" s="3" t="s">
        <v>12035</v>
      </c>
      <c r="C2905" s="3" t="s">
        <v>12036</v>
      </c>
      <c r="D2905" s="3" t="s">
        <v>12037</v>
      </c>
      <c r="E2905" s="3" t="s">
        <v>12038</v>
      </c>
      <c r="F2905" s="3" t="s">
        <v>12039</v>
      </c>
      <c r="G2905" s="3" t="str">
        <f ca="1">IFERROR(__xludf.DUMMYFUNCTION("googletranslate(D2905,""en"",""ja"")"),"Kappa+ PC/Lambda+ PC;カッパ+形質細胞/ラムダ+形質細胞")</f>
        <v>Kappa+ PC/Lambda+ PC;カッパ+形質細胞/ラムダ+形質細胞</v>
      </c>
      <c r="H2905" s="3" t="str">
        <f ca="1">IFERROR(__xludf.DUMMYFUNCTION("googletranslate(E2905,""en"",""ja"")"),"生物学的標本におけるラムダ + 形質細胞に対するカッパ + 形質細胞の相対測定値 (比)。")</f>
        <v>生物学的標本におけるラムダ + 形質細胞に対するカッパ + 形質細胞の相対測定値 (比)。</v>
      </c>
      <c r="I2905" s="3" t="str">
        <f ca="1">IFERROR(__xludf.DUMMYFUNCTION("googletranslate(F2905,""en"",""ja"")"),"カッパ陽性形質細胞とラムダ陽性形質細胞の比率の測定")</f>
        <v>カッパ陽性形質細胞とラムダ陽性形質細胞の比率の測定</v>
      </c>
    </row>
    <row r="2906" spans="1:9" ht="30">
      <c r="A2906" s="3" t="s">
        <v>67</v>
      </c>
      <c r="B2906" s="3" t="s">
        <v>12040</v>
      </c>
      <c r="C2906" s="3" t="s">
        <v>12041</v>
      </c>
      <c r="D2906" s="3" t="s">
        <v>12041</v>
      </c>
      <c r="E2906" s="3" t="s">
        <v>12042</v>
      </c>
      <c r="F2906" s="3" t="s">
        <v>12043</v>
      </c>
      <c r="G2906" s="3" t="str">
        <f ca="1">IFERROR(__xludf.DUMMYFUNCTION("googletranslate(D2906,""en"",""ja"")"),"肺炎桿菌")</f>
        <v>肺炎桿菌</v>
      </c>
      <c r="H2906" s="3" t="str">
        <f ca="1">IFERROR(__xludf.DUMMYFUNCTION("googletranslate(E2906,""en"",""ja"")"),"生物学的検体中の肺炎桿菌の測定。")</f>
        <v>生物学的検体中の肺炎桿菌の測定。</v>
      </c>
      <c r="I2906" s="3" t="str">
        <f ca="1">IFERROR(__xludf.DUMMYFUNCTION("googletranslate(F2906,""en"",""ja"")"),"肺炎桿菌測定")</f>
        <v>肺炎桿菌測定</v>
      </c>
    </row>
    <row r="2907" spans="1:9" ht="30">
      <c r="A2907" s="3" t="s">
        <v>67</v>
      </c>
      <c r="B2907" s="3" t="s">
        <v>12044</v>
      </c>
      <c r="C2907" s="3" t="s">
        <v>12045</v>
      </c>
      <c r="D2907" s="3" t="s">
        <v>12045</v>
      </c>
      <c r="E2907" s="3" t="s">
        <v>12046</v>
      </c>
      <c r="F2907" s="3" t="s">
        <v>12047</v>
      </c>
      <c r="G2907" s="3" t="str">
        <f ca="1">IFERROR(__xludf.DUMMYFUNCTION("googletranslate(D2907,""en"",""ja"")"),"肺炎桿菌のDNA")</f>
        <v>肺炎桿菌のDNA</v>
      </c>
      <c r="H2907" s="3" t="str">
        <f ca="1">IFERROR(__xludf.DUMMYFUNCTION("googletranslate(E2907,""en"",""ja"")"),"生物学的検体中の肺炎桿菌 DNA の測定。")</f>
        <v>生物学的検体中の肺炎桿菌 DNA の測定。</v>
      </c>
      <c r="I2907" s="3" t="str">
        <f ca="1">IFERROR(__xludf.DUMMYFUNCTION("googletranslate(F2907,""en"",""ja"")"),"肺炎桿菌DNA測定")</f>
        <v>肺炎桿菌DNA測定</v>
      </c>
    </row>
    <row r="2908" spans="1:9" ht="30">
      <c r="A2908" s="3" t="s">
        <v>6</v>
      </c>
      <c r="B2908" s="3" t="s">
        <v>12048</v>
      </c>
      <c r="C2908" s="3" t="s">
        <v>12049</v>
      </c>
      <c r="D2908" s="3" t="s">
        <v>12049</v>
      </c>
      <c r="E2908" s="3" t="s">
        <v>12050</v>
      </c>
      <c r="F2908" s="3" t="s">
        <v>12051</v>
      </c>
      <c r="G2908" s="3" t="str">
        <f ca="1">IFERROR(__xludf.DUMMYFUNCTION("googletranslate(D2908,""en"",""ja"")"),"巨核球")</f>
        <v>巨核球</v>
      </c>
      <c r="H2908" s="3" t="str">
        <f ca="1">IFERROR(__xludf.DUMMYFUNCTION("googletranslate(E2908,""en"",""ja"")"),"生物学的標本の単位あたりの巨核球の測定値。")</f>
        <v>生物学的標本の単位あたりの巨核球の測定値。</v>
      </c>
      <c r="I2908" s="3" t="str">
        <f ca="1">IFERROR(__xludf.DUMMYFUNCTION("googletranslate(F2908,""en"",""ja"")"),"巨核球数")</f>
        <v>巨核球数</v>
      </c>
    </row>
    <row r="2909" spans="1:9" ht="45">
      <c r="A2909" s="3" t="s">
        <v>6</v>
      </c>
      <c r="B2909" s="3" t="s">
        <v>12052</v>
      </c>
      <c r="C2909" s="3" t="s">
        <v>12053</v>
      </c>
      <c r="D2909" s="3" t="s">
        <v>12053</v>
      </c>
      <c r="E2909" s="3" t="s">
        <v>12054</v>
      </c>
      <c r="F2909" s="3" t="s">
        <v>12055</v>
      </c>
      <c r="G2909" s="3" t="str">
        <f ca="1">IFERROR(__xludf.DUMMYFUNCTION("googletranslate(D2909,""en"",""ja"")"),"巨核球/全細胞数")</f>
        <v>巨核球/全細胞数</v>
      </c>
      <c r="H2909" s="3" t="str">
        <f ca="1">IFERROR(__xludf.DUMMYFUNCTION("googletranslate(E2909,""en"",""ja"")"),"生物学的標本 (骨髄標本など) の全細胞に対する巨核球の相対測定値 (比率またはパーセンテージ)。")</f>
        <v>生物学的標本 (骨髄標本など) の全細胞に対する巨核球の相対測定値 (比率またはパーセンテージ)。</v>
      </c>
      <c r="I2909" s="3" t="str">
        <f ca="1">IFERROR(__xludf.DUMMYFUNCTION("googletranslate(F2909,""en"",""ja"")"),"巨核球対総細胞比の測定")</f>
        <v>巨核球対総細胞比の測定</v>
      </c>
    </row>
    <row r="2910" spans="1:9" ht="45">
      <c r="A2910" s="3" t="s">
        <v>103</v>
      </c>
      <c r="B2910" s="3" t="s">
        <v>12052</v>
      </c>
      <c r="C2910" s="3" t="s">
        <v>12053</v>
      </c>
      <c r="D2910" s="3" t="s">
        <v>12053</v>
      </c>
      <c r="E2910" s="3" t="s">
        <v>12054</v>
      </c>
      <c r="F2910" s="3" t="s">
        <v>12055</v>
      </c>
      <c r="G2910" s="3" t="str">
        <f ca="1">IFERROR(__xludf.DUMMYFUNCTION("googletranslate(D2910,""en"",""ja"")"),"巨核球/全細胞数")</f>
        <v>巨核球/全細胞数</v>
      </c>
      <c r="H2910" s="3" t="str">
        <f ca="1">IFERROR(__xludf.DUMMYFUNCTION("googletranslate(E2910,""en"",""ja"")"),"生物学的標本 (骨髄標本など) の全細胞に対する巨核球の相対測定値 (比率またはパーセンテージ)。")</f>
        <v>生物学的標本 (骨髄標本など) の全細胞に対する巨核球の相対測定値 (比率またはパーセンテージ)。</v>
      </c>
      <c r="I2910" s="3" t="str">
        <f ca="1">IFERROR(__xludf.DUMMYFUNCTION("googletranslate(F2910,""en"",""ja"")"),"巨核球対総細胞比の測定")</f>
        <v>巨核球対総細胞比の測定</v>
      </c>
    </row>
    <row r="2911" spans="1:9" ht="30">
      <c r="A2911" s="3" t="s">
        <v>103</v>
      </c>
      <c r="B2911" s="3" t="s">
        <v>12056</v>
      </c>
      <c r="C2911" s="3" t="s">
        <v>12057</v>
      </c>
      <c r="D2911" s="3" t="s">
        <v>12057</v>
      </c>
      <c r="E2911" s="3" t="s">
        <v>12058</v>
      </c>
      <c r="F2911" s="3" t="s">
        <v>12059</v>
      </c>
      <c r="G2911" s="3" t="str">
        <f ca="1">IFERROR(__xludf.DUMMYFUNCTION("googletranslate(D2911,""en"",""ja"")"),"巨核球/白血球")</f>
        <v>巨核球/白血球</v>
      </c>
      <c r="H2911" s="3" t="str">
        <f ca="1">IFERROR(__xludf.DUMMYFUNCTION("googletranslate(E2911,""en"",""ja"")"),"生物学的標本における白血球に対する巨核球の相対的な測定値 (比率またはパーセンテージ)。")</f>
        <v>生物学的標本における白血球に対する巨核球の相対的な測定値 (比率またはパーセンテージ)。</v>
      </c>
      <c r="I2911" s="3" t="str">
        <f ca="1">IFERROR(__xludf.DUMMYFUNCTION("googletranslate(F2911,""en"",""ja"")"),"巨核球と白血球の比率の測定")</f>
        <v>巨核球と白血球の比率の測定</v>
      </c>
    </row>
    <row r="2912" spans="1:9" ht="30">
      <c r="A2912" s="3" t="s">
        <v>6</v>
      </c>
      <c r="B2912" s="3" t="s">
        <v>12056</v>
      </c>
      <c r="C2912" s="3" t="s">
        <v>12057</v>
      </c>
      <c r="D2912" s="3" t="s">
        <v>12057</v>
      </c>
      <c r="E2912" s="3" t="s">
        <v>12058</v>
      </c>
      <c r="F2912" s="3" t="s">
        <v>12059</v>
      </c>
      <c r="G2912" s="3" t="str">
        <f ca="1">IFERROR(__xludf.DUMMYFUNCTION("googletranslate(D2912,""en"",""ja"")"),"巨核球/白血球")</f>
        <v>巨核球/白血球</v>
      </c>
      <c r="H2912" s="3" t="str">
        <f ca="1">IFERROR(__xludf.DUMMYFUNCTION("googletranslate(E2912,""en"",""ja"")"),"生物学的標本における白血球に対する巨核球の相対的な測定値 (比率またはパーセンテージ)。")</f>
        <v>生物学的標本における白血球に対する巨核球の相対的な測定値 (比率またはパーセンテージ)。</v>
      </c>
      <c r="I2912" s="3" t="str">
        <f ca="1">IFERROR(__xludf.DUMMYFUNCTION("googletranslate(F2912,""en"",""ja"")"),"巨核球と白血球の比率の測定")</f>
        <v>巨核球と白血球の比率の測定</v>
      </c>
    </row>
    <row r="2913" spans="1:9" ht="30">
      <c r="A2913" s="3" t="s">
        <v>6</v>
      </c>
      <c r="B2913" s="3" t="s">
        <v>12060</v>
      </c>
      <c r="C2913" s="3" t="s">
        <v>12061</v>
      </c>
      <c r="D2913" s="3" t="s">
        <v>12061</v>
      </c>
      <c r="E2913" s="3" t="s">
        <v>12062</v>
      </c>
      <c r="F2913" s="3" t="s">
        <v>12063</v>
      </c>
      <c r="G2913" s="3" t="str">
        <f ca="1">IFERROR(__xludf.DUMMYFUNCTION("googletranslate(D2913,""en"",""ja"")"),"11-ケトアンドロステロン")</f>
        <v>11-ケトアンドロステロン</v>
      </c>
      <c r="H2913" s="3" t="str">
        <f ca="1">IFERROR(__xludf.DUMMYFUNCTION("googletranslate(E2913,""en"",""ja"")"),"生物学的標本中の 11-ケトアンドロステロンの測定。")</f>
        <v>生物学的標本中の 11-ケトアンドロステロンの測定。</v>
      </c>
      <c r="I2913" s="3" t="str">
        <f ca="1">IFERROR(__xludf.DUMMYFUNCTION("googletranslate(F2913,""en"",""ja"")"),"11-ケトアンドロステロンの測定")</f>
        <v>11-ケトアンドロステロンの測定</v>
      </c>
    </row>
    <row r="2914" spans="1:9" ht="45">
      <c r="A2914" s="3" t="s">
        <v>6</v>
      </c>
      <c r="B2914" s="3" t="s">
        <v>12064</v>
      </c>
      <c r="C2914" s="3" t="s">
        <v>12065</v>
      </c>
      <c r="D2914" s="3" t="s">
        <v>12065</v>
      </c>
      <c r="E2914" s="3" t="s">
        <v>12066</v>
      </c>
      <c r="F2914" s="3" t="s">
        <v>12067</v>
      </c>
      <c r="G2914" s="3" t="str">
        <f ca="1">IFERROR(__xludf.DUMMYFUNCTION("googletranslate(D2914,""en"",""ja"")"),"ケトン体排泄率")</f>
        <v>ケトン体排泄率</v>
      </c>
      <c r="H2914" s="3" t="str">
        <f ca="1">IFERROR(__xludf.DUMMYFUNCTION("googletranslate(E2914,""en"",""ja"")"),"定義された期間 (例: 1 時間) にわたって生物学的検体中に排泄されるケトン体の量の測定。")</f>
        <v>定義された期間 (例: 1 時間) にわたって生物学的検体中に排泄されるケトン体の量の測定。</v>
      </c>
      <c r="I2914" s="3" t="str">
        <f ca="1">IFERROR(__xludf.DUMMYFUNCTION("googletranslate(F2914,""en"",""ja"")"),"ケトン体排泄率測定")</f>
        <v>ケトン体排泄率測定</v>
      </c>
    </row>
    <row r="2915" spans="1:9" ht="30">
      <c r="A2915" s="3" t="s">
        <v>6</v>
      </c>
      <c r="B2915" s="3" t="s">
        <v>12068</v>
      </c>
      <c r="C2915" s="3" t="s">
        <v>12069</v>
      </c>
      <c r="D2915" s="3" t="s">
        <v>12069</v>
      </c>
      <c r="E2915" s="3" t="s">
        <v>12070</v>
      </c>
      <c r="F2915" s="3" t="s">
        <v>12071</v>
      </c>
      <c r="G2915" s="3" t="str">
        <f ca="1">IFERROR(__xludf.DUMMYFUNCTION("googletranslate(D2915,""en"",""ja"")"),"11-ケトエチオコラノロン")</f>
        <v>11-ケトエチオコラノロン</v>
      </c>
      <c r="H2915" s="3" t="str">
        <f ca="1">IFERROR(__xludf.DUMMYFUNCTION("googletranslate(E2915,""en"",""ja"")"),"生物学的標本中の 11-ケトエチオコラノロンの測定。")</f>
        <v>生物学的標本中の 11-ケトエチオコラノロンの測定。</v>
      </c>
      <c r="I2915" s="3" t="str">
        <f ca="1">IFERROR(__xludf.DUMMYFUNCTION("googletranslate(F2915,""en"",""ja"")"),"11-ケトエチオコラノロンの測定")</f>
        <v>11-ケトエチオコラノロンの測定</v>
      </c>
    </row>
    <row r="2916" spans="1:9" ht="30">
      <c r="A2916" s="3" t="s">
        <v>6</v>
      </c>
      <c r="B2916" s="3" t="s">
        <v>12072</v>
      </c>
      <c r="C2916" s="3" t="s">
        <v>12073</v>
      </c>
      <c r="D2916" s="3" t="s">
        <v>12073</v>
      </c>
      <c r="E2916" s="3" t="s">
        <v>12074</v>
      </c>
      <c r="F2916" s="3" t="s">
        <v>12075</v>
      </c>
      <c r="G2916" s="3" t="str">
        <f ca="1">IFERROR(__xludf.DUMMYFUNCTION("googletranslate(D2916,""en"",""ja"")"),"17-ケトジェニックステロイド")</f>
        <v>17-ケトジェニックステロイド</v>
      </c>
      <c r="H2916" s="3" t="str">
        <f ca="1">IFERROR(__xludf.DUMMYFUNCTION("googletranslate(E2916,""en"",""ja"")"),"生物学的標本中の合計 17 ケト生成ステロイドの測定。")</f>
        <v>生物学的標本中の合計 17 ケト生成ステロイドの測定。</v>
      </c>
      <c r="I2916" s="3" t="str">
        <f ca="1">IFERROR(__xludf.DUMMYFUNCTION("googletranslate(F2916,""en"",""ja"")"),"17-ケトジェニックステロイドの測定")</f>
        <v>17-ケトジェニックステロイドの測定</v>
      </c>
    </row>
    <row r="2917" spans="1:9" ht="30">
      <c r="A2917" s="3" t="s">
        <v>6</v>
      </c>
      <c r="B2917" s="3" t="s">
        <v>12076</v>
      </c>
      <c r="C2917" s="3" t="s">
        <v>12077</v>
      </c>
      <c r="D2917" s="3" t="s">
        <v>12077</v>
      </c>
      <c r="E2917" s="3" t="s">
        <v>12078</v>
      </c>
      <c r="F2917" s="3" t="s">
        <v>12079</v>
      </c>
      <c r="G2917" s="3" t="str">
        <f ca="1">IFERROR(__xludf.DUMMYFUNCTION("googletranslate(D2917,""en"",""ja"")"),"ケトイソロイシン")</f>
        <v>ケトイソロイシン</v>
      </c>
      <c r="H2917" s="3" t="str">
        <f ca="1">IFERROR(__xludf.DUMMYFUNCTION("googletranslate(E2917,""en"",""ja"")"),"生物学的標本中のケトイロイシンの測定。")</f>
        <v>生物学的標本中のケトイロイシンの測定。</v>
      </c>
      <c r="I2917" s="3" t="str">
        <f ca="1">IFERROR(__xludf.DUMMYFUNCTION("googletranslate(F2917,""en"",""ja"")"),"ケトイソロイシンの測定")</f>
        <v>ケトイソロイシンの測定</v>
      </c>
    </row>
    <row r="2918" spans="1:9">
      <c r="A2918" s="3" t="s">
        <v>6</v>
      </c>
      <c r="B2918" s="3" t="s">
        <v>12080</v>
      </c>
      <c r="C2918" s="3" t="s">
        <v>12081</v>
      </c>
      <c r="D2918" s="3" t="s">
        <v>12081</v>
      </c>
      <c r="E2918" s="3" t="s">
        <v>12082</v>
      </c>
      <c r="F2918" s="3" t="s">
        <v>12083</v>
      </c>
      <c r="G2918" s="3" t="str">
        <f ca="1">IFERROR(__xludf.DUMMYFUNCTION("googletranslate(D2918,""en"",""ja"")"),"ケトレウシン")</f>
        <v>ケトレウシン</v>
      </c>
      <c r="H2918" s="3" t="str">
        <f ca="1">IFERROR(__xludf.DUMMYFUNCTION("googletranslate(E2918,""en"",""ja"")"),"生物学的標本中のケトロイシンの測定。")</f>
        <v>生物学的標本中のケトロイシンの測定。</v>
      </c>
      <c r="I2918" s="3" t="str">
        <f ca="1">IFERROR(__xludf.DUMMYFUNCTION("googletranslate(F2918,""en"",""ja"")"),"ケトレウシン測定")</f>
        <v>ケトレウシン測定</v>
      </c>
    </row>
    <row r="2919" spans="1:9" ht="30">
      <c r="A2919" s="3" t="s">
        <v>6</v>
      </c>
      <c r="B2919" s="3" t="s">
        <v>12084</v>
      </c>
      <c r="C2919" s="3" t="s">
        <v>12085</v>
      </c>
      <c r="D2919" s="3" t="s">
        <v>12085</v>
      </c>
      <c r="E2919" s="3" t="s">
        <v>12086</v>
      </c>
      <c r="F2919" s="3" t="s">
        <v>12087</v>
      </c>
      <c r="G2919" s="3" t="str">
        <f ca="1">IFERROR(__xludf.DUMMYFUNCTION("googletranslate(D2919,""en"",""ja"")"),"17-ケトステロイド")</f>
        <v>17-ケトステロイド</v>
      </c>
      <c r="H2919" s="3" t="str">
        <f ca="1">IFERROR(__xludf.DUMMYFUNCTION("googletranslate(E2919,""en"",""ja"")"),"生物学的標本中の合計 17-ケトステロイドの測定。")</f>
        <v>生物学的標本中の合計 17-ケトステロイドの測定。</v>
      </c>
      <c r="I2919" s="3" t="str">
        <f ca="1">IFERROR(__xludf.DUMMYFUNCTION("googletranslate(F2919,""en"",""ja"")"),"17-ケトステロイドの測定")</f>
        <v>17-ケトステロイドの測定</v>
      </c>
    </row>
    <row r="2920" spans="1:9">
      <c r="A2920" s="3" t="s">
        <v>6</v>
      </c>
      <c r="B2920" s="3" t="s">
        <v>12088</v>
      </c>
      <c r="C2920" s="3" t="s">
        <v>12089</v>
      </c>
      <c r="D2920" s="3" t="s">
        <v>12089</v>
      </c>
      <c r="E2920" s="3" t="s">
        <v>12090</v>
      </c>
      <c r="F2920" s="3" t="s">
        <v>12091</v>
      </c>
      <c r="G2920" s="3" t="str">
        <f ca="1">IFERROR(__xludf.DUMMYFUNCTION("googletranslate(D2920,""en"",""ja"")"),"ケトバリン")</f>
        <v>ケトバリン</v>
      </c>
      <c r="H2920" s="3" t="str">
        <f ca="1">IFERROR(__xludf.DUMMYFUNCTION("googletranslate(E2920,""en"",""ja"")"),"生物学的標本中のケバリンの測定。")</f>
        <v>生物学的標本中のケバリンの測定。</v>
      </c>
      <c r="I2920" s="3" t="str">
        <f ca="1">IFERROR(__xludf.DUMMYFUNCTION("googletranslate(F2920,""en"",""ja"")"),"ケトバリンの測定")</f>
        <v>ケトバリンの測定</v>
      </c>
    </row>
    <row r="2921" spans="1:9" ht="45">
      <c r="A2921" s="3" t="s">
        <v>6</v>
      </c>
      <c r="B2921" s="3" t="s">
        <v>12092</v>
      </c>
      <c r="C2921" s="3" t="s">
        <v>12093</v>
      </c>
      <c r="D2921" s="3" t="s">
        <v>12093</v>
      </c>
      <c r="E2921" s="3" t="s">
        <v>12094</v>
      </c>
      <c r="F2921" s="3" t="s">
        <v>12095</v>
      </c>
      <c r="G2921" s="3" t="str">
        <f ca="1">IFERROR(__xludf.DUMMYFUNCTION("googletranslate(D2921,""en"",""ja"")"),"カーロフ細胞")</f>
        <v>カーロフ細胞</v>
      </c>
      <c r="H2921" s="3" t="str">
        <f ca="1">IFERROR(__xludf.DUMMYFUNCTION("googletranslate(E2921,""en"",""ja"")"),"カビ科の特定の属のメンバーから採取された生物学的標本中の大きな分泌顆粒を含む免疫細胞の測定。")</f>
        <v>カビ科の特定の属のメンバーから採取された生物学的標本中の大きな分泌顆粒を含む免疫細胞の測定。</v>
      </c>
      <c r="I2921" s="3" t="str">
        <f ca="1">IFERROR(__xludf.DUMMYFUNCTION("googletranslate(F2921,""en"",""ja"")"),"カーロフ細胞の測定")</f>
        <v>カーロフ細胞の測定</v>
      </c>
    </row>
    <row r="2922" spans="1:9">
      <c r="A2922" s="3" t="s">
        <v>6</v>
      </c>
      <c r="B2922" s="3" t="s">
        <v>12096</v>
      </c>
      <c r="C2922" s="3" t="s">
        <v>12097</v>
      </c>
      <c r="D2922" s="3" t="s">
        <v>12097</v>
      </c>
      <c r="E2922" s="3" t="s">
        <v>12098</v>
      </c>
      <c r="F2922" s="3" t="s">
        <v>12099</v>
      </c>
      <c r="G2922" s="3" t="str">
        <f ca="1">IFERROR(__xludf.DUMMYFUNCTION("googletranslate(D2922,""en"",""ja"")"),"キヌレニン")</f>
        <v>キヌレニン</v>
      </c>
      <c r="H2922" s="3" t="str">
        <f ca="1">IFERROR(__xludf.DUMMYFUNCTION("googletranslate(E2922,""en"",""ja"")"),"生物学的標本中のキヌレニンの測定。")</f>
        <v>生物学的標本中のキヌレニンの測定。</v>
      </c>
      <c r="I2922" s="3" t="str">
        <f ca="1">IFERROR(__xludf.DUMMYFUNCTION("googletranslate(F2922,""en"",""ja"")"),"キヌレニンの測定")</f>
        <v>キヌレニンの測定</v>
      </c>
    </row>
    <row r="2923" spans="1:9" ht="30">
      <c r="A2923" s="3" t="s">
        <v>159</v>
      </c>
      <c r="B2923" s="3" t="s">
        <v>12100</v>
      </c>
      <c r="C2923" s="3" t="s">
        <v>12101</v>
      </c>
      <c r="D2923" s="3" t="s">
        <v>12102</v>
      </c>
      <c r="E2923" s="3" t="s">
        <v>12103</v>
      </c>
      <c r="F2923" s="3" t="s">
        <v>12104</v>
      </c>
      <c r="G2923" s="3" t="str">
        <f ca="1">IFERROR(__xludf.DUMMYFUNCTION("googletranslate(D2923,""en"",""ja"")"),"乳酸/クレアチン;乳酸/クレアチン")</f>
        <v>乳酸/クレアチン;乳酸/クレアチン</v>
      </c>
      <c r="H2923" s="3" t="str">
        <f ca="1">IFERROR(__xludf.DUMMYFUNCTION("googletranslate(E2923,""en"",""ja"")"),"生物学的標本中のクレアチンに対する乳酸の相対測定値 (比率またはパーセンテージ)。")</f>
        <v>生物学的標本中のクレアチンに対する乳酸の相対測定値 (比率またはパーセンテージ)。</v>
      </c>
      <c r="I2923" s="3" t="str">
        <f ca="1">IFERROR(__xludf.DUMMYFUNCTION("googletranslate(F2923,""en"",""ja"")"),"乳酸とクレアチンの比率の測定")</f>
        <v>乳酸とクレアチンの比率の測定</v>
      </c>
    </row>
    <row r="2924" spans="1:9">
      <c r="A2924" s="3" t="s">
        <v>6</v>
      </c>
      <c r="B2924" s="3" t="s">
        <v>12105</v>
      </c>
      <c r="C2924" s="3" t="s">
        <v>12106</v>
      </c>
      <c r="D2924" s="3" t="s">
        <v>12106</v>
      </c>
      <c r="E2924" s="3" t="s">
        <v>12107</v>
      </c>
      <c r="F2924" s="3" t="s">
        <v>12108</v>
      </c>
      <c r="G2924" s="3" t="str">
        <f ca="1">IFERROR(__xludf.DUMMYFUNCTION("googletranslate(D2924,""en"",""ja"")"),"ラコサミド")</f>
        <v>ラコサミド</v>
      </c>
      <c r="H2924" s="3" t="str">
        <f ca="1">IFERROR(__xludf.DUMMYFUNCTION("googletranslate(E2924,""en"",""ja"")"),"生物学的標本中のラコサミドの測定。")</f>
        <v>生物学的標本中のラコサミドの測定。</v>
      </c>
      <c r="I2924" s="3" t="str">
        <f ca="1">IFERROR(__xludf.DUMMYFUNCTION("googletranslate(F2924,""en"",""ja"")"),"ラコサミドの測定")</f>
        <v>ラコサミドの測定</v>
      </c>
    </row>
    <row r="2925" spans="1:9" ht="30">
      <c r="A2925" s="3" t="s">
        <v>6</v>
      </c>
      <c r="B2925" s="3" t="s">
        <v>12109</v>
      </c>
      <c r="C2925" s="3" t="s">
        <v>12110</v>
      </c>
      <c r="D2925" s="3" t="s">
        <v>12111</v>
      </c>
      <c r="E2925" s="3" t="s">
        <v>12112</v>
      </c>
      <c r="F2925" s="3" t="s">
        <v>12113</v>
      </c>
      <c r="G2925" s="3" t="str">
        <f ca="1">IFERROR(__xludf.DUMMYFUNCTION("googletranslate(D2925,""en"",""ja"")"),"2-ヒドロキシプロパン酸;乳酸塩;乳酸")</f>
        <v>2-ヒドロキシプロパン酸;乳酸塩;乳酸</v>
      </c>
      <c r="H2925" s="3" t="str">
        <f ca="1">IFERROR(__xludf.DUMMYFUNCTION("googletranslate(E2925,""en"",""ja"")"),"生物学的標本中の乳酸の測定。")</f>
        <v>生物学的標本中の乳酸の測定。</v>
      </c>
      <c r="I2925" s="3" t="str">
        <f ca="1">IFERROR(__xludf.DUMMYFUNCTION("googletranslate(F2925,""en"",""ja"")"),"乳酸測定")</f>
        <v>乳酸測定</v>
      </c>
    </row>
    <row r="2926" spans="1:9">
      <c r="A2926" s="3" t="s">
        <v>6</v>
      </c>
      <c r="B2926" s="3" t="s">
        <v>12114</v>
      </c>
      <c r="C2926" s="3" t="s">
        <v>12115</v>
      </c>
      <c r="D2926" s="3" t="s">
        <v>12115</v>
      </c>
      <c r="E2926" s="3" t="s">
        <v>12116</v>
      </c>
      <c r="F2926" s="3" t="s">
        <v>12117</v>
      </c>
      <c r="G2926" s="3" t="str">
        <f ca="1">IFERROR(__xludf.DUMMYFUNCTION("googletranslate(D2926,""en"",""ja"")"),"乳糖")</f>
        <v>乳糖</v>
      </c>
      <c r="H2926" s="3" t="str">
        <f ca="1">IFERROR(__xludf.DUMMYFUNCTION("googletranslate(E2926,""en"",""ja"")"),"生物学的標本中の乳糖の測定。")</f>
        <v>生物学的標本中の乳糖の測定。</v>
      </c>
      <c r="I2926" s="3" t="str">
        <f ca="1">IFERROR(__xludf.DUMMYFUNCTION("googletranslate(F2926,""en"",""ja"")"),"乳糖測定")</f>
        <v>乳糖測定</v>
      </c>
    </row>
    <row r="2927" spans="1:9">
      <c r="A2927" s="3" t="s">
        <v>6</v>
      </c>
      <c r="B2927" s="3" t="s">
        <v>12118</v>
      </c>
      <c r="C2927" s="3" t="s">
        <v>12119</v>
      </c>
      <c r="D2927" s="3" t="s">
        <v>12119</v>
      </c>
      <c r="E2927" s="3" t="s">
        <v>12120</v>
      </c>
      <c r="F2927" s="3" t="s">
        <v>12121</v>
      </c>
      <c r="G2927" s="3" t="str">
        <f ca="1">IFERROR(__xludf.DUMMYFUNCTION("googletranslate(D2927,""en"",""ja"")"),"ラクツロース")</f>
        <v>ラクツロース</v>
      </c>
      <c r="H2927" s="3" t="str">
        <f ca="1">IFERROR(__xludf.DUMMYFUNCTION("googletranslate(E2927,""en"",""ja"")"),"生物学的標本中のラクツロースの測定。")</f>
        <v>生物学的標本中のラクツロースの測定。</v>
      </c>
      <c r="I2927" s="3" t="str">
        <f ca="1">IFERROR(__xludf.DUMMYFUNCTION("googletranslate(F2927,""en"",""ja"")"),"ラクツロース測定")</f>
        <v>ラクツロース測定</v>
      </c>
    </row>
    <row r="2928" spans="1:9" ht="60">
      <c r="A2928" s="3" t="s">
        <v>6</v>
      </c>
      <c r="B2928" s="3" t="s">
        <v>12122</v>
      </c>
      <c r="C2928" s="3" t="s">
        <v>12123</v>
      </c>
      <c r="D2928" s="3" t="s">
        <v>12124</v>
      </c>
      <c r="E2928" s="3" t="s">
        <v>12125</v>
      </c>
      <c r="F2928" s="3" t="s">
        <v>12126</v>
      </c>
      <c r="G2928" s="3" t="str">
        <f ca="1">IFERROR(__xludf.DUMMYFUNCTION("googletranslate(D2928,""en"",""ja"")"),"可溶性 CD223 抗原。可溶性LAG-3;可溶性リンパ球活性化遺伝子 3 タンパク質;可溶性リンパ球活性化遺伝子-3")</f>
        <v>可溶性 CD223 抗原。可溶性LAG-3;可溶性リンパ球活性化遺伝子 3 タンパク質;可溶性リンパ球活性化遺伝子-3</v>
      </c>
      <c r="H2928" s="3" t="str">
        <f ca="1">IFERROR(__xludf.DUMMYFUNCTION("googletranslate(E2928,""en"",""ja"")"),"生物学的検体中の可溶性リンパ球活性化遺伝子 3 タンパク質の測定。")</f>
        <v>生物学的検体中の可溶性リンパ球活性化遺伝子 3 タンパク質の測定。</v>
      </c>
      <c r="I2928" s="3" t="str">
        <f ca="1">IFERROR(__xludf.DUMMYFUNCTION("googletranslate(F2928,""en"",""ja"")"),"可溶性リンパ球活性化遺伝子3の測定")</f>
        <v>可溶性リンパ球活性化遺伝子3の測定</v>
      </c>
    </row>
    <row r="2929" spans="1:9" ht="30">
      <c r="A2929" s="3" t="s">
        <v>6</v>
      </c>
      <c r="B2929" s="3" t="s">
        <v>12127</v>
      </c>
      <c r="C2929" s="3" t="s">
        <v>12128</v>
      </c>
      <c r="D2929" s="3" t="s">
        <v>12128</v>
      </c>
      <c r="E2929" s="3" t="s">
        <v>12129</v>
      </c>
      <c r="F2929" s="3" t="s">
        <v>12130</v>
      </c>
      <c r="G2929" s="3" t="str">
        <f ca="1">IFERROR(__xludf.DUMMYFUNCTION("googletranslate(D2929,""en"",""ja"")"),"リポアラビノマンナン")</f>
        <v>リポアラビノマンナン</v>
      </c>
      <c r="H2929" s="3" t="str">
        <f ca="1">IFERROR(__xludf.DUMMYFUNCTION("googletranslate(E2929,""en"",""ja"")"),"生物学的標本中のリポアラビノマンナンの測定。")</f>
        <v>生物学的標本中のリポアラビノマンナンの測定。</v>
      </c>
      <c r="I2929" s="3" t="str">
        <f ca="1">IFERROR(__xludf.DUMMYFUNCTION("googletranslate(F2929,""en"",""ja"")"),"リポアラビノマンナンの測定")</f>
        <v>リポアラビノマンナンの測定</v>
      </c>
    </row>
    <row r="2930" spans="1:9" ht="75">
      <c r="A2930" s="3" t="s">
        <v>6</v>
      </c>
      <c r="B2930" s="3" t="s">
        <v>12131</v>
      </c>
      <c r="C2930" s="3" t="s">
        <v>12132</v>
      </c>
      <c r="D2930" s="3" t="s">
        <v>12133</v>
      </c>
      <c r="E2930" s="3" t="s">
        <v>12134</v>
      </c>
      <c r="F2930" s="3" t="s">
        <v>12135</v>
      </c>
      <c r="G2930" s="3" t="str">
        <f ca="1">IFERROR(__xludf.DUMMYFUNCTION("googletranslate(D2930,""en"",""ja"")"),"リソソーム関連膜タンパク質 2;リソソーム膜関連タンパク質 2;リソソーム関連膜タンパク質 2;可溶性CD107b")</f>
        <v>リソソーム関連膜タンパク質 2;リソソーム膜関連タンパク質 2;リソソーム関連膜タンパク質 2;可溶性CD107b</v>
      </c>
      <c r="H2930" s="3" t="str">
        <f ca="1">IFERROR(__xludf.DUMMYFUNCTION("googletranslate(E2930,""en"",""ja"")"),"生物学的標本に存在するリソソーム関連膜タンパク質 2 の測定。")</f>
        <v>生物学的標本に存在するリソソーム関連膜タンパク質 2 の測定。</v>
      </c>
      <c r="I2930" s="3" t="str">
        <f ca="1">IFERROR(__xludf.DUMMYFUNCTION("googletranslate(F2930,""en"",""ja"")"),"リソソーム関連膜タンパク質 2 の測定")</f>
        <v>リソソーム関連膜タンパク質 2 の測定</v>
      </c>
    </row>
    <row r="2931" spans="1:9" ht="75">
      <c r="A2931" s="3" t="s">
        <v>6</v>
      </c>
      <c r="B2931" s="3" t="s">
        <v>12136</v>
      </c>
      <c r="C2931" s="3" t="s">
        <v>12137</v>
      </c>
      <c r="D2931" s="3" t="s">
        <v>12138</v>
      </c>
      <c r="E2931" s="3" t="s">
        <v>12139</v>
      </c>
      <c r="F2931" s="3" t="s">
        <v>12140</v>
      </c>
      <c r="G2931" s="3" t="str">
        <f ca="1">IFERROR(__xludf.DUMMYFUNCTION("googletranslate(D2931,""en"",""ja"")"),"サイトゾルアミノペプチダーゼ;ラップ3;ロイシンアミノペプチダーゼ;ロイシンアミノペプチダーゼ 3;ロイシルアミノペプチダーゼ")</f>
        <v>サイトゾルアミノペプチダーゼ;ラップ3;ロイシンアミノペプチダーゼ;ロイシンアミノペプチダーゼ 3;ロイシルアミノペプチダーゼ</v>
      </c>
      <c r="H2931" s="3" t="str">
        <f ca="1">IFERROR(__xludf.DUMMYFUNCTION("googletranslate(E2931,""en"",""ja"")"),"生物学的標本中に存在する総ロイシンアミノペプチダーゼの測定。")</f>
        <v>生物学的標本中に存在する総ロイシンアミノペプチダーゼの測定。</v>
      </c>
      <c r="I2931" s="3" t="str">
        <f ca="1">IFERROR(__xludf.DUMMYFUNCTION("googletranslate(F2931,""en"",""ja"")"),"ロイシンアミノペプチダーゼの測定")</f>
        <v>ロイシンアミノペプチダーゼの測定</v>
      </c>
    </row>
    <row r="2932" spans="1:9">
      <c r="A2932" s="3" t="s">
        <v>185</v>
      </c>
      <c r="B2932" s="3" t="s">
        <v>12141</v>
      </c>
      <c r="C2932" s="3" t="s">
        <v>12142</v>
      </c>
      <c r="D2932" s="3" t="s">
        <v>12142</v>
      </c>
      <c r="E2932" s="3" t="s">
        <v>12143</v>
      </c>
      <c r="F2932" s="3" t="s">
        <v>12142</v>
      </c>
      <c r="G2932" s="3" t="str">
        <f ca="1">IFERROR(__xludf.DUMMYFUNCTION("googletranslate(D2932,""en"",""ja"")"),"完走周回数")</f>
        <v>完走周回数</v>
      </c>
      <c r="H2932" s="3" t="str">
        <f ca="1">IFERROR(__xludf.DUMMYFUNCTION("googletranslate(E2932,""en"",""ja"")"),"コースまたはサーキットを周回した周回数。")</f>
        <v>コースまたはサーキットを周回した周回数。</v>
      </c>
      <c r="I2932" s="3" t="str">
        <f ca="1">IFERROR(__xludf.DUMMYFUNCTION("googletranslate(F2932,""en"",""ja"")"),"完走周回数")</f>
        <v>完走周回数</v>
      </c>
    </row>
    <row r="2933" spans="1:9" ht="30">
      <c r="A2933" s="3" t="s">
        <v>6</v>
      </c>
      <c r="B2933" s="3" t="s">
        <v>12144</v>
      </c>
      <c r="C2933" s="3" t="s">
        <v>12145</v>
      </c>
      <c r="D2933" s="3" t="s">
        <v>12145</v>
      </c>
      <c r="E2933" s="3" t="s">
        <v>12146</v>
      </c>
      <c r="F2933" s="3" t="s">
        <v>12147</v>
      </c>
      <c r="G2933" s="3" t="str">
        <f ca="1">IFERROR(__xludf.DUMMYFUNCTION("googletranslate(D2933,""en"",""ja"")"),"LDLアポリポタンパク質B")</f>
        <v>LDLアポリポタンパク質B</v>
      </c>
      <c r="H2933" s="3" t="str">
        <f ca="1">IFERROR(__xludf.DUMMYFUNCTION("googletranslate(E2933,""en"",""ja"")"),"生物学的標本の低密度リポタンパク質画分に含まれるアポリポタンパク質 B の測定。")</f>
        <v>生物学的標本の低密度リポタンパク質画分に含まれるアポリポタンパク質 B の測定。</v>
      </c>
      <c r="I2933" s="3" t="str">
        <f ca="1">IFERROR(__xludf.DUMMYFUNCTION("googletranslate(F2933,""en"",""ja"")"),"LDL分画アポリプロテインBの測定")</f>
        <v>LDL分画アポリプロテインBの測定</v>
      </c>
    </row>
    <row r="2934" spans="1:9" ht="30">
      <c r="A2934" s="3" t="s">
        <v>118</v>
      </c>
      <c r="B2934" s="3" t="s">
        <v>12148</v>
      </c>
      <c r="C2934" s="3" t="s">
        <v>12149</v>
      </c>
      <c r="D2934" s="3" t="s">
        <v>12149</v>
      </c>
      <c r="E2934" s="3" t="s">
        <v>12150</v>
      </c>
      <c r="F2934" s="3" t="s">
        <v>12149</v>
      </c>
      <c r="G2934" s="3" t="str">
        <f ca="1">IFERROR(__xludf.DUMMYFUNCTION("googletranslate(D2934,""en"",""ja"")"),"除脂肪体重")</f>
        <v>除脂肪体重</v>
      </c>
      <c r="H2934" s="3" t="str">
        <f ca="1">IFERROR(__xludf.DUMMYFUNCTION("googletranslate(E2934,""en"",""ja"")"),"個人のすべての臓器および組織の重量から、個人の体脂肪の重量を引いたもの。")</f>
        <v>個人のすべての臓器および組織の重量から、個人の体脂肪の重量を引いたもの。</v>
      </c>
      <c r="I2934" s="3" t="str">
        <f ca="1">IFERROR(__xludf.DUMMYFUNCTION("googletranslate(F2934,""en"",""ja"")"),"除脂肪体重")</f>
        <v>除脂肪体重</v>
      </c>
    </row>
    <row r="2935" spans="1:9" ht="45">
      <c r="A2935" s="3" t="s">
        <v>118</v>
      </c>
      <c r="B2935" s="3" t="s">
        <v>12151</v>
      </c>
      <c r="C2935" s="3" t="s">
        <v>12152</v>
      </c>
      <c r="D2935" s="3" t="s">
        <v>12152</v>
      </c>
      <c r="E2935" s="3" t="s">
        <v>12153</v>
      </c>
      <c r="F2935" s="3" t="s">
        <v>12152</v>
      </c>
      <c r="G2935" s="3" t="str">
        <f ca="1">IFERROR(__xludf.DUMMYFUNCTION("googletranslate(D2935,""en"",""ja"")"),"除脂肪体重と総体重の比率")</f>
        <v>除脂肪体重と総体重の比率</v>
      </c>
      <c r="H2935" s="3" t="str">
        <f ca="1">IFERROR(__xludf.DUMMYFUNCTION("googletranslate(E2935,""en"",""ja"")"),"個人の総体重に対する除脂肪体重の割合。除脂肪体重は、総体重から体脂肪を差し引いて計算されます。")</f>
        <v>個人の総体重に対する除脂肪体重の割合。除脂肪体重は、総体重から体脂肪を差し引いて計算されます。</v>
      </c>
      <c r="I2935" s="3" t="str">
        <f ca="1">IFERROR(__xludf.DUMMYFUNCTION("googletranslate(F2935,""en"",""ja"")"),"除脂肪体重と総体重の比率")</f>
        <v>除脂肪体重と総体重の比率</v>
      </c>
    </row>
    <row r="2936" spans="1:9" ht="45">
      <c r="A2936" s="3" t="s">
        <v>81</v>
      </c>
      <c r="B2936" s="3" t="s">
        <v>12154</v>
      </c>
      <c r="C2936" s="3" t="s">
        <v>12155</v>
      </c>
      <c r="D2936" s="3" t="s">
        <v>12156</v>
      </c>
      <c r="E2936" s="3" t="s">
        <v>12157</v>
      </c>
      <c r="F2936" s="3" t="s">
        <v>12158</v>
      </c>
      <c r="G2936" s="3" t="str">
        <f ca="1">IFERROR(__xludf.DUMMYFUNCTION("googletranslate(D2936,""en"",""ja"")"),"最大クロス秒直径、EVD。最大断面直径、心室拡張末期")</f>
        <v>最大クロス秒直径、EVD。最大断面直径、心室拡張末期</v>
      </c>
      <c r="H2936" s="3" t="str">
        <f ca="1">IFERROR(__xludf.DUMMYFUNCTION("googletranslate(E2936,""en"",""ja"")"),"心室拡張末期で測定された血管構造の最大断面直径。")</f>
        <v>心室拡張末期で測定された血管構造の最大断面直径。</v>
      </c>
      <c r="I2936" s="3" t="str">
        <f ca="1">IFERROR(__xludf.DUMMYFUNCTION("googletranslate(F2936,""en"",""ja"")"),"心室拡張末期の最大断面直径")</f>
        <v>心室拡張末期の最大断面直径</v>
      </c>
    </row>
    <row r="2937" spans="1:9" ht="30">
      <c r="A2937" s="3" t="s">
        <v>6</v>
      </c>
      <c r="B2937" s="3" t="s">
        <v>12159</v>
      </c>
      <c r="C2937" s="3" t="s">
        <v>12160</v>
      </c>
      <c r="D2937" s="3" t="s">
        <v>12161</v>
      </c>
      <c r="E2937" s="3" t="s">
        <v>12162</v>
      </c>
      <c r="F2937" s="3" t="s">
        <v>12163</v>
      </c>
      <c r="G2937" s="3" t="str">
        <f ca="1">IFERROR(__xludf.DUMMYFUNCTION("googletranslate(D2937,""en"",""ja"")"),"リトコール酸塩化合物;リトコール酸化合物")</f>
        <v>リトコール酸塩化合物;リトコール酸化合物</v>
      </c>
      <c r="H2937" s="3" t="str">
        <f ca="1">IFERROR(__xludf.DUMMYFUNCTION("googletranslate(E2937,""en"",""ja"")"),"生物学的標本中のリトコール酸、グリコリトコール酸、およびタウロリトコール酸の測定。")</f>
        <v>生物学的標本中のリトコール酸、グリコリトコール酸、およびタウロリトコール酸の測定。</v>
      </c>
      <c r="I2937" s="3" t="str">
        <f ca="1">IFERROR(__xludf.DUMMYFUNCTION("googletranslate(F2937,""en"",""ja"")"),"リトコール酸塩化合物の測定")</f>
        <v>リトコール酸塩化合物の測定</v>
      </c>
    </row>
    <row r="2938" spans="1:9">
      <c r="A2938" s="3" t="s">
        <v>6</v>
      </c>
      <c r="B2938" s="3" t="s">
        <v>12164</v>
      </c>
      <c r="C2938" s="3" t="s">
        <v>12165</v>
      </c>
      <c r="D2938" s="3" t="s">
        <v>12166</v>
      </c>
      <c r="E2938" s="3" t="s">
        <v>12167</v>
      </c>
      <c r="F2938" s="3" t="s">
        <v>12168</v>
      </c>
      <c r="G2938" s="3" t="str">
        <f ca="1">IFERROR(__xludf.DUMMYFUNCTION("googletranslate(D2938,""en"",""ja"")"),"リトコール酸;リトコール酸")</f>
        <v>リトコール酸;リトコール酸</v>
      </c>
      <c r="H2938" s="3" t="str">
        <f ca="1">IFERROR(__xludf.DUMMYFUNCTION("googletranslate(E2938,""en"",""ja"")"),"生物学的標本中のリトコール酸の測定。")</f>
        <v>生物学的標本中のリトコール酸の測定。</v>
      </c>
      <c r="I2938" s="3" t="str">
        <f ca="1">IFERROR(__xludf.DUMMYFUNCTION("googletranslate(F2938,""en"",""ja"")"),"リトコール酸測定")</f>
        <v>リトコール酸測定</v>
      </c>
    </row>
    <row r="2939" spans="1:9" ht="60">
      <c r="A2939" s="3" t="s">
        <v>490</v>
      </c>
      <c r="B2939" s="3" t="s">
        <v>12169</v>
      </c>
      <c r="C2939" s="3" t="s">
        <v>12170</v>
      </c>
      <c r="D2939" s="3" t="s">
        <v>12170</v>
      </c>
      <c r="E2939" s="3" t="s">
        <v>12171</v>
      </c>
      <c r="F2939" s="3" t="s">
        <v>12170</v>
      </c>
      <c r="G2939" s="3" t="str">
        <f ca="1">IFERROR(__xludf.DUMMYFUNCTION("googletranslate(D2939,""en"",""ja"")"),"肺クリアランス指数")</f>
        <v>肺クリアランス指数</v>
      </c>
      <c r="H2939" s="3" t="str">
        <f ca="1">IFERROR(__xludf.DUMMYFUNCTION("googletranslate(E2939,""en"",""ja"")"),"事前に定義されたエンドポイントまでトレーサーを除去するために、ウォッシュアウト開始時の肺内の空気量 (機能的残気量) の代表的な測定値をリサイクルする必要があります。")</f>
        <v>事前に定義されたエンドポイントまでトレーサーを除去するために、ウォッシュアウト開始時の肺内の空気量 (機能的残気量) の代表的な測定値をリサイクルする必要があります。</v>
      </c>
      <c r="I2939" s="3" t="str">
        <f ca="1">IFERROR(__xludf.DUMMYFUNCTION("googletranslate(F2939,""en"",""ja"")"),"肺クリアランス指数")</f>
        <v>肺クリアランス指数</v>
      </c>
    </row>
    <row r="2940" spans="1:9" ht="90">
      <c r="A2940" s="3" t="s">
        <v>490</v>
      </c>
      <c r="B2940" s="3" t="s">
        <v>12172</v>
      </c>
      <c r="C2940" s="3" t="s">
        <v>12173</v>
      </c>
      <c r="D2940" s="3" t="s">
        <v>12174</v>
      </c>
      <c r="E2940" s="3" t="s">
        <v>12175</v>
      </c>
      <c r="F2940" s="3" t="s">
        <v>12176</v>
      </c>
      <c r="G2940" s="3" t="str">
        <f ca="1">IFERROR(__xludf.DUMMYFUNCTION("googletranslate(D2940,""en"",""ja"")"),"LCIは初期濃度の1/40まで。 LCIは初期濃度2.5%まで。初期濃度の 1/40 に対する肺クリアランス指数。初期濃度 2.5% に対する肺クリアランス指数")</f>
        <v>LCIは初期濃度の1/40まで。 LCIは初期濃度2.5%まで。初期濃度の 1/40 に対する肺クリアランス指数。初期濃度 2.5% に対する肺クリアランス指数</v>
      </c>
      <c r="H2940" s="3" t="str">
        <f ca="1">IFERROR(__xludf.DUMMYFUNCTION("googletranslate(E2940,""en"",""ja"")"),"トレーサーを初期濃度の 2.5% (または 1/40) に減少させるために、ウォッシュアウト開始時の肺内の空気量 (機能的残気量) をリサイクルする必要がある回数の代表的な測定値。")</f>
        <v>トレーサーを初期濃度の 2.5% (または 1/40) に減少させるために、ウォッシュアウト開始時の肺内の空気量 (機能的残気量) をリサイクルする必要がある回数の代表的な測定値。</v>
      </c>
      <c r="I2940" s="3" t="str">
        <f ca="1">IFERROR(__xludf.DUMMYFUNCTION("googletranslate(F2940,""en"",""ja"")"),"初期濃度 2.5% に対する肺クリアランス指数")</f>
        <v>初期濃度 2.5% に対する肺クリアランス指数</v>
      </c>
    </row>
    <row r="2941" spans="1:9" ht="75">
      <c r="A2941" s="3" t="s">
        <v>490</v>
      </c>
      <c r="B2941" s="3" t="s">
        <v>12177</v>
      </c>
      <c r="C2941" s="3" t="s">
        <v>12178</v>
      </c>
      <c r="D2941" s="3" t="s">
        <v>12179</v>
      </c>
      <c r="E2941" s="3" t="s">
        <v>12180</v>
      </c>
      <c r="F2941" s="3" t="s">
        <v>12181</v>
      </c>
      <c r="G2941" s="3" t="str">
        <f ca="1">IFERROR(__xludf.DUMMYFUNCTION("googletranslate(D2941,""en"",""ja"")"),"LCIは初期濃度の1/20まで。 LCIは初期濃度5%まで。初期濃度の 1/20 に対する肺クリアランス指数。初期濃度 5% までの肺クリアランス指数")</f>
        <v>LCIは初期濃度の1/20まで。 LCIは初期濃度5%まで。初期濃度の 1/20 に対する肺クリアランス指数。初期濃度 5% までの肺クリアランス指数</v>
      </c>
      <c r="H2941" s="3" t="str">
        <f ca="1">IFERROR(__xludf.DUMMYFUNCTION("googletranslate(E2941,""en"",""ja"")"),"トレーサーを初期濃度の 5% (または 1/20) に減少させるために、ウォッシュアウト開始時の肺内の空気量 (機能的残気量) を再利用する必要がある回数の代表的な測定値。")</f>
        <v>トレーサーを初期濃度の 5% (または 1/20) に減少させるために、ウォッシュアウト開始時の肺内の空気量 (機能的残気量) を再利用する必要がある回数の代表的な測定値。</v>
      </c>
      <c r="I2941" s="3" t="str">
        <f ca="1">IFERROR(__xludf.DUMMYFUNCTION("googletranslate(F2941,""en"",""ja"")"),"初期濃度 5% までの肺クリアランス指数")</f>
        <v>初期濃度 5% までの肺クリアランス指数</v>
      </c>
    </row>
    <row r="2942" spans="1:9" ht="45">
      <c r="A2942" s="3" t="s">
        <v>6</v>
      </c>
      <c r="B2942" s="3" t="s">
        <v>12182</v>
      </c>
      <c r="C2942" s="3" t="s">
        <v>12183</v>
      </c>
      <c r="D2942" s="3" t="s">
        <v>12184</v>
      </c>
      <c r="E2942" s="3" t="s">
        <v>12185</v>
      </c>
      <c r="F2942" s="3" t="s">
        <v>12186</v>
      </c>
      <c r="G2942" s="3" t="str">
        <f ca="1">IFERROR(__xludf.DUMMYFUNCTION("googletranslate(D2942,""en"",""ja"")"),"リポカリン-2;好中球ゼラチナーゼ関連リポカリン; NGAL;がん遺伝子 24p3")</f>
        <v>リポカリン-2;好中球ゼラチナーゼ関連リポカリン; NGAL;がん遺伝子 24p3</v>
      </c>
      <c r="H2942" s="3" t="str">
        <f ca="1">IFERROR(__xludf.DUMMYFUNCTION("googletranslate(E2942,""en"",""ja"")"),"生物学的標本中のリポカリン-2の測定。")</f>
        <v>生物学的標本中のリポカリン-2の測定。</v>
      </c>
      <c r="I2942" s="3" t="str">
        <f ca="1">IFERROR(__xludf.DUMMYFUNCTION("googletranslate(F2942,""en"",""ja"")"),"リポカリン-2の測定")</f>
        <v>リポカリン-2の測定</v>
      </c>
    </row>
    <row r="2943" spans="1:9" ht="60">
      <c r="A2943" s="3" t="s">
        <v>6</v>
      </c>
      <c r="B2943" s="3" t="s">
        <v>12187</v>
      </c>
      <c r="C2943" s="3" t="s">
        <v>12188</v>
      </c>
      <c r="D2943" s="3" t="s">
        <v>12189</v>
      </c>
      <c r="E2943" s="3" t="s">
        <v>12190</v>
      </c>
      <c r="F2943" s="3" t="s">
        <v>12191</v>
      </c>
      <c r="G2943" s="3" t="str">
        <f ca="1">IFERROR(__xludf.DUMMYFUNCTION("googletranslate(D2943,""en"",""ja"")"),"リポカリン-2/クレアチニン;好中球ゼラチナーゼ関連リポカリン/クレアチニン; NGAL/クレアチニン")</f>
        <v>リポカリン-2/クレアチニン;好中球ゼラチナーゼ関連リポカリン/クレアチニン; NGAL/クレアチニン</v>
      </c>
      <c r="H2943" s="3" t="str">
        <f ca="1">IFERROR(__xludf.DUMMYFUNCTION("googletranslate(E2943,""en"",""ja"")"),"サンプル中に存在するクレアチニンに対するリポカリン-2の相対測定値 (比率またはパーセンテージ)。")</f>
        <v>サンプル中に存在するクレアチニンに対するリポカリン-2の相対測定値 (比率またはパーセンテージ)。</v>
      </c>
      <c r="I2943" s="3" t="str">
        <f ca="1">IFERROR(__xludf.DUMMYFUNCTION("googletranslate(F2943,""en"",""ja"")"),"リポカリン-2とクレアチニンの比率の測定")</f>
        <v>リポカリン-2とクレアチニンの比率の測定</v>
      </c>
    </row>
    <row r="2944" spans="1:9" ht="30">
      <c r="A2944" s="3" t="s">
        <v>67</v>
      </c>
      <c r="B2944" s="3" t="s">
        <v>12192</v>
      </c>
      <c r="C2944" s="3" t="s">
        <v>12193</v>
      </c>
      <c r="D2944" s="3" t="s">
        <v>12193</v>
      </c>
      <c r="E2944" s="3" t="s">
        <v>12194</v>
      </c>
      <c r="F2944" s="3" t="s">
        <v>12195</v>
      </c>
      <c r="G2944" s="3" t="str">
        <f ca="1">IFERROR(__xludf.DUMMYFUNCTION("googletranslate(D2944,""en"",""ja"")"),"ラクトバチルス・クリスパータスのDNA")</f>
        <v>ラクトバチルス・クリスパータスのDNA</v>
      </c>
      <c r="H2944" s="3" t="str">
        <f ca="1">IFERROR(__xludf.DUMMYFUNCTION("googletranslate(E2944,""en"",""ja"")"),"生物学的標本中のラクトバチルス・クリスパトゥス DNA の測定。")</f>
        <v>生物学的標本中のラクトバチルス・クリスパトゥス DNA の測定。</v>
      </c>
      <c r="I2944" s="3" t="str">
        <f ca="1">IFERROR(__xludf.DUMMYFUNCTION("googletranslate(F2944,""en"",""ja"")"),"ラクトバチルス・クリスパータスのDNA測定")</f>
        <v>ラクトバチルス・クリスパータスのDNA測定</v>
      </c>
    </row>
    <row r="2945" spans="1:9" ht="30">
      <c r="A2945" s="3" t="s">
        <v>6</v>
      </c>
      <c r="B2945" s="3" t="s">
        <v>12196</v>
      </c>
      <c r="C2945" s="3" t="s">
        <v>12197</v>
      </c>
      <c r="D2945" s="3" t="s">
        <v>12198</v>
      </c>
      <c r="E2945" s="3" t="s">
        <v>12199</v>
      </c>
      <c r="F2945" s="3" t="s">
        <v>12200</v>
      </c>
      <c r="G2945" s="3" t="str">
        <f ca="1">IFERROR(__xludf.DUMMYFUNCTION("googletranslate(D2945,""en"",""ja"")"),"レシチン/スフィンゴミエリン; LS比")</f>
        <v>レシチン/スフィンゴミエリン; LS比</v>
      </c>
      <c r="H2945" s="3" t="str">
        <f ca="1">IFERROR(__xludf.DUMMYFUNCTION("googletranslate(E2945,""en"",""ja"")"),"生物学的標本中のレシチンとスフィンゴミエリンの相対測定値 (比)。")</f>
        <v>生物学的標本中のレシチンとスフィンゴミエリンの相対測定値 (比)。</v>
      </c>
      <c r="I2945" s="3" t="str">
        <f ca="1">IFERROR(__xludf.DUMMYFUNCTION("googletranslate(F2945,""en"",""ja"")"),"レシチンとスフィンゴミエリンの比率の測定")</f>
        <v>レシチンとスフィンゴミエリンの比率の測定</v>
      </c>
    </row>
    <row r="2946" spans="1:9" ht="30">
      <c r="A2946" s="3" t="s">
        <v>6</v>
      </c>
      <c r="B2946" s="3" t="s">
        <v>12201</v>
      </c>
      <c r="C2946" s="3" t="s">
        <v>12202</v>
      </c>
      <c r="D2946" s="3" t="s">
        <v>12202</v>
      </c>
      <c r="E2946" s="3" t="s">
        <v>12203</v>
      </c>
      <c r="F2946" s="3" t="s">
        <v>12204</v>
      </c>
      <c r="G2946" s="3" t="str">
        <f ca="1">IFERROR(__xludf.DUMMYFUNCTION("googletranslate(D2946,""en"",""ja"")"),"乳酸脱水素酵素")</f>
        <v>乳酸脱水素酵素</v>
      </c>
      <c r="H2946" s="3" t="str">
        <f ca="1">IFERROR(__xludf.DUMMYFUNCTION("googletranslate(E2946,""en"",""ja"")"),"生物学的標本中の乳酸デヒドロゲナーゼの測定。")</f>
        <v>生物学的標本中の乳酸デヒドロゲナーゼの測定。</v>
      </c>
      <c r="I2946" s="3" t="str">
        <f ca="1">IFERROR(__xludf.DUMMYFUNCTION("googletranslate(F2946,""en"",""ja"")"),"乳酸脱水素酵素の測定")</f>
        <v>乳酸脱水素酵素の測定</v>
      </c>
    </row>
    <row r="2947" spans="1:9" ht="30">
      <c r="A2947" s="3" t="s">
        <v>6</v>
      </c>
      <c r="B2947" s="3" t="s">
        <v>12205</v>
      </c>
      <c r="C2947" s="3" t="s">
        <v>12206</v>
      </c>
      <c r="D2947" s="3" t="s">
        <v>12206</v>
      </c>
      <c r="E2947" s="3" t="s">
        <v>12207</v>
      </c>
      <c r="F2947" s="3" t="s">
        <v>12208</v>
      </c>
      <c r="G2947" s="3" t="str">
        <f ca="1">IFERROR(__xludf.DUMMYFUNCTION("googletranslate(D2947,""en"",""ja"")"),"LDHアイソザイム1")</f>
        <v>LDHアイソザイム1</v>
      </c>
      <c r="H2947" s="3" t="str">
        <f ca="1">IFERROR(__xludf.DUMMYFUNCTION("googletranslate(E2947,""en"",""ja"")"),"生体試料中の乳酸デヒドロゲナーゼアイソザイム 1 の測定。")</f>
        <v>生体試料中の乳酸デヒドロゲナーゼアイソザイム 1 の測定。</v>
      </c>
      <c r="I2947" s="3" t="str">
        <f ca="1">IFERROR(__xludf.DUMMYFUNCTION("googletranslate(F2947,""en"",""ja"")"),"乳酸脱水素酵素アイソザイム 1 の測定")</f>
        <v>乳酸脱水素酵素アイソザイム 1 の測定</v>
      </c>
    </row>
    <row r="2948" spans="1:9" ht="45">
      <c r="A2948" s="3" t="s">
        <v>6</v>
      </c>
      <c r="B2948" s="3" t="s">
        <v>12209</v>
      </c>
      <c r="C2948" s="3" t="s">
        <v>12210</v>
      </c>
      <c r="D2948" s="3" t="s">
        <v>12210</v>
      </c>
      <c r="E2948" s="3" t="s">
        <v>12211</v>
      </c>
      <c r="F2948" s="3" t="s">
        <v>12212</v>
      </c>
      <c r="G2948" s="3" t="str">
        <f ca="1">IFERROR(__xludf.DUMMYFUNCTION("googletranslate(D2948,""en"",""ja"")"),"LDHアイソエンザイム1/LDH")</f>
        <v>LDHアイソエンザイム1/LDH</v>
      </c>
      <c r="H2948" s="3" t="str">
        <f ca="1">IFERROR(__xludf.DUMMYFUNCTION("googletranslate(E2948,""en"",""ja"")"),"生物学的試料中の全乳酸デヒドロゲナーゼに対する乳酸デヒドロゲナーゼアイソザイム 1 の相対測定値 (比率またはパーセンテージ)。")</f>
        <v>生物学的試料中の全乳酸デヒドロゲナーゼに対する乳酸デヒドロゲナーゼアイソザイム 1 の相対測定値 (比率またはパーセンテージ)。</v>
      </c>
      <c r="I2948" s="3" t="str">
        <f ca="1">IFERROR(__xludf.DUMMYFUNCTION("googletranslate(F2948,""en"",""ja"")"),"LDH アイソザイム 1 と LDH の比率の測定")</f>
        <v>LDH アイソザイム 1 と LDH の比率の測定</v>
      </c>
    </row>
    <row r="2949" spans="1:9" ht="30">
      <c r="A2949" s="3" t="s">
        <v>6</v>
      </c>
      <c r="B2949" s="3" t="s">
        <v>12213</v>
      </c>
      <c r="C2949" s="3" t="s">
        <v>12214</v>
      </c>
      <c r="D2949" s="3" t="s">
        <v>12214</v>
      </c>
      <c r="E2949" s="3" t="s">
        <v>12215</v>
      </c>
      <c r="F2949" s="3" t="s">
        <v>12216</v>
      </c>
      <c r="G2949" s="3" t="str">
        <f ca="1">IFERROR(__xludf.DUMMYFUNCTION("googletranslate(D2949,""en"",""ja"")"),"LDHアイソエンザイム2")</f>
        <v>LDHアイソエンザイム2</v>
      </c>
      <c r="H2949" s="3" t="str">
        <f ca="1">IFERROR(__xludf.DUMMYFUNCTION("googletranslate(E2949,""en"",""ja"")"),"生物学的標本中の乳酸デヒドロゲナーゼアイソザイム 2 の測定。")</f>
        <v>生物学的標本中の乳酸デヒドロゲナーゼアイソザイム 2 の測定。</v>
      </c>
      <c r="I2949" s="3" t="str">
        <f ca="1">IFERROR(__xludf.DUMMYFUNCTION("googletranslate(F2949,""en"",""ja"")"),"乳酸脱水素酵素アイソザイム 2 の測定")</f>
        <v>乳酸脱水素酵素アイソザイム 2 の測定</v>
      </c>
    </row>
    <row r="2950" spans="1:9" ht="45">
      <c r="A2950" s="3" t="s">
        <v>6</v>
      </c>
      <c r="B2950" s="3" t="s">
        <v>12217</v>
      </c>
      <c r="C2950" s="3" t="s">
        <v>12218</v>
      </c>
      <c r="D2950" s="3" t="s">
        <v>12218</v>
      </c>
      <c r="E2950" s="3" t="s">
        <v>12219</v>
      </c>
      <c r="F2950" s="3" t="s">
        <v>12220</v>
      </c>
      <c r="G2950" s="3" t="str">
        <f ca="1">IFERROR(__xludf.DUMMYFUNCTION("googletranslate(D2950,""en"",""ja"")"),"LDHアイソエンザイム2/LDH")</f>
        <v>LDHアイソエンザイム2/LDH</v>
      </c>
      <c r="H2950" s="3" t="str">
        <f ca="1">IFERROR(__xludf.DUMMYFUNCTION("googletranslate(E2950,""en"",""ja"")"),"生物学的検体中の全乳酸デヒドロゲナーゼに対する乳酸デヒドロゲナーゼアイソザイム 2 の相対測定値 (比率またはパーセンテージ)。")</f>
        <v>生物学的検体中の全乳酸デヒドロゲナーゼに対する乳酸デヒドロゲナーゼアイソザイム 2 の相対測定値 (比率またはパーセンテージ)。</v>
      </c>
      <c r="I2950" s="3" t="str">
        <f ca="1">IFERROR(__xludf.DUMMYFUNCTION("googletranslate(F2950,""en"",""ja"")"),"LDH アイソザイム 2 と LDH の比率の測定")</f>
        <v>LDH アイソザイム 2 と LDH の比率の測定</v>
      </c>
    </row>
    <row r="2951" spans="1:9" ht="30">
      <c r="A2951" s="3" t="s">
        <v>6</v>
      </c>
      <c r="B2951" s="3" t="s">
        <v>12221</v>
      </c>
      <c r="C2951" s="3" t="s">
        <v>12222</v>
      </c>
      <c r="D2951" s="3" t="s">
        <v>12222</v>
      </c>
      <c r="E2951" s="3" t="s">
        <v>12223</v>
      </c>
      <c r="F2951" s="3" t="s">
        <v>12224</v>
      </c>
      <c r="G2951" s="3" t="str">
        <f ca="1">IFERROR(__xludf.DUMMYFUNCTION("googletranslate(D2951,""en"",""ja"")"),"LDHアイソエンザイム3")</f>
        <v>LDHアイソエンザイム3</v>
      </c>
      <c r="H2951" s="3" t="str">
        <f ca="1">IFERROR(__xludf.DUMMYFUNCTION("googletranslate(E2951,""en"",""ja"")"),"生体試料中の乳酸デヒドロゲナーゼアイソザイム 3 の測定。")</f>
        <v>生体試料中の乳酸デヒドロゲナーゼアイソザイム 3 の測定。</v>
      </c>
      <c r="I2951" s="3" t="str">
        <f ca="1">IFERROR(__xludf.DUMMYFUNCTION("googletranslate(F2951,""en"",""ja"")"),"乳酸脱水素酵素アイソザイム 3 の測定")</f>
        <v>乳酸脱水素酵素アイソザイム 3 の測定</v>
      </c>
    </row>
    <row r="2952" spans="1:9" ht="45">
      <c r="A2952" s="3" t="s">
        <v>6</v>
      </c>
      <c r="B2952" s="3" t="s">
        <v>12225</v>
      </c>
      <c r="C2952" s="3" t="s">
        <v>12226</v>
      </c>
      <c r="D2952" s="3" t="s">
        <v>12226</v>
      </c>
      <c r="E2952" s="3" t="s">
        <v>12227</v>
      </c>
      <c r="F2952" s="3" t="s">
        <v>12228</v>
      </c>
      <c r="G2952" s="3" t="str">
        <f ca="1">IFERROR(__xludf.DUMMYFUNCTION("googletranslate(D2952,""en"",""ja"")"),"LDHアイソエンザイム3/LDH")</f>
        <v>LDHアイソエンザイム3/LDH</v>
      </c>
      <c r="H2952" s="3" t="str">
        <f ca="1">IFERROR(__xludf.DUMMYFUNCTION("googletranslate(E2952,""en"",""ja"")"),"生物学的試料中の全乳酸デヒドロゲナーゼに対する乳酸デヒドロゲナーゼアイソザイム 3 の相対測定値 (比率またはパーセンテージ)。")</f>
        <v>生物学的試料中の全乳酸デヒドロゲナーゼに対する乳酸デヒドロゲナーゼアイソザイム 3 の相対測定値 (比率またはパーセンテージ)。</v>
      </c>
      <c r="I2952" s="3" t="str">
        <f ca="1">IFERROR(__xludf.DUMMYFUNCTION("googletranslate(F2952,""en"",""ja"")"),"LDH アイソザイム 3 と LDH の比率の測定")</f>
        <v>LDH アイソザイム 3 と LDH の比率の測定</v>
      </c>
    </row>
    <row r="2953" spans="1:9" ht="30">
      <c r="A2953" s="3" t="s">
        <v>6</v>
      </c>
      <c r="B2953" s="3" t="s">
        <v>12229</v>
      </c>
      <c r="C2953" s="3" t="s">
        <v>12230</v>
      </c>
      <c r="D2953" s="3" t="s">
        <v>12230</v>
      </c>
      <c r="E2953" s="3" t="s">
        <v>12231</v>
      </c>
      <c r="F2953" s="3" t="s">
        <v>12232</v>
      </c>
      <c r="G2953" s="3" t="str">
        <f ca="1">IFERROR(__xludf.DUMMYFUNCTION("googletranslate(D2953,""en"",""ja"")"),"LDHアイソエンザイム4")</f>
        <v>LDHアイソエンザイム4</v>
      </c>
      <c r="H2953" s="3" t="str">
        <f ca="1">IFERROR(__xludf.DUMMYFUNCTION("googletranslate(E2953,""en"",""ja"")"),"生物学的検体中の乳酸デヒドロゲナーゼアイソザイム 4 の測定。")</f>
        <v>生物学的検体中の乳酸デヒドロゲナーゼアイソザイム 4 の測定。</v>
      </c>
      <c r="I2953" s="3" t="str">
        <f ca="1">IFERROR(__xludf.DUMMYFUNCTION("googletranslate(F2953,""en"",""ja"")"),"乳酸脱水素酵素アイソザイム 4 の測定")</f>
        <v>乳酸脱水素酵素アイソザイム 4 の測定</v>
      </c>
    </row>
    <row r="2954" spans="1:9" ht="45">
      <c r="A2954" s="3" t="s">
        <v>6</v>
      </c>
      <c r="B2954" s="3" t="s">
        <v>12233</v>
      </c>
      <c r="C2954" s="3" t="s">
        <v>12234</v>
      </c>
      <c r="D2954" s="3" t="s">
        <v>12234</v>
      </c>
      <c r="E2954" s="3" t="s">
        <v>12235</v>
      </c>
      <c r="F2954" s="3" t="s">
        <v>12236</v>
      </c>
      <c r="G2954" s="3" t="str">
        <f ca="1">IFERROR(__xludf.DUMMYFUNCTION("googletranslate(D2954,""en"",""ja"")"),"LDHアイソエンザイム4/LDH")</f>
        <v>LDHアイソエンザイム4/LDH</v>
      </c>
      <c r="H2954" s="3" t="str">
        <f ca="1">IFERROR(__xludf.DUMMYFUNCTION("googletranslate(E2954,""en"",""ja"")"),"生物学的検体中の全乳酸デヒドロゲナーゼに対する乳酸デヒドロゲナーゼアイソザイム 4 の相対測定値 (比率またはパーセンテージ)。")</f>
        <v>生物学的検体中の全乳酸デヒドロゲナーゼに対する乳酸デヒドロゲナーゼアイソザイム 4 の相対測定値 (比率またはパーセンテージ)。</v>
      </c>
      <c r="I2954" s="3" t="str">
        <f ca="1">IFERROR(__xludf.DUMMYFUNCTION("googletranslate(F2954,""en"",""ja"")"),"LDH アイソザイム 4 と LDH の比率の測定")</f>
        <v>LDH アイソザイム 4 と LDH の比率の測定</v>
      </c>
    </row>
    <row r="2955" spans="1:9" ht="30">
      <c r="A2955" s="3" t="s">
        <v>6</v>
      </c>
      <c r="B2955" s="3" t="s">
        <v>12237</v>
      </c>
      <c r="C2955" s="3" t="s">
        <v>12238</v>
      </c>
      <c r="D2955" s="3" t="s">
        <v>12238</v>
      </c>
      <c r="E2955" s="3" t="s">
        <v>12239</v>
      </c>
      <c r="F2955" s="3" t="s">
        <v>12240</v>
      </c>
      <c r="G2955" s="3" t="str">
        <f ca="1">IFERROR(__xludf.DUMMYFUNCTION("googletranslate(D2955,""en"",""ja"")"),"LDHアイソエンザイム5")</f>
        <v>LDHアイソエンザイム5</v>
      </c>
      <c r="H2955" s="3" t="str">
        <f ca="1">IFERROR(__xludf.DUMMYFUNCTION("googletranslate(E2955,""en"",""ja"")"),"生物学的標本中の乳酸デヒドロゲナーゼアイソザイム 5 の測定。")</f>
        <v>生物学的標本中の乳酸デヒドロゲナーゼアイソザイム 5 の測定。</v>
      </c>
      <c r="I2955" s="3" t="str">
        <f ca="1">IFERROR(__xludf.DUMMYFUNCTION("googletranslate(F2955,""en"",""ja"")"),"乳酸デヒドロゲナーゼアイソザイム5の測定")</f>
        <v>乳酸デヒドロゲナーゼアイソザイム5の測定</v>
      </c>
    </row>
    <row r="2956" spans="1:9" ht="45">
      <c r="A2956" s="3" t="s">
        <v>6</v>
      </c>
      <c r="B2956" s="3" t="s">
        <v>12241</v>
      </c>
      <c r="C2956" s="3" t="s">
        <v>12242</v>
      </c>
      <c r="D2956" s="3" t="s">
        <v>12242</v>
      </c>
      <c r="E2956" s="3" t="s">
        <v>12243</v>
      </c>
      <c r="F2956" s="3" t="s">
        <v>12244</v>
      </c>
      <c r="G2956" s="3" t="str">
        <f ca="1">IFERROR(__xludf.DUMMYFUNCTION("googletranslate(D2956,""en"",""ja"")"),"LDHアイソエンザイム5/LDH")</f>
        <v>LDHアイソエンザイム5/LDH</v>
      </c>
      <c r="H2956" s="3" t="str">
        <f ca="1">IFERROR(__xludf.DUMMYFUNCTION("googletranslate(E2956,""en"",""ja"")"),"生物学的試料中の全乳酸デヒドロゲナーゼに対する乳酸デヒドロゲナーゼアイソザイム 5 の相対測定値 (比率またはパーセンテージ)。")</f>
        <v>生物学的試料中の全乳酸デヒドロゲナーゼに対する乳酸デヒドロゲナーゼアイソザイム 5 の相対測定値 (比率またはパーセンテージ)。</v>
      </c>
      <c r="I2956" s="3" t="str">
        <f ca="1">IFERROR(__xludf.DUMMYFUNCTION("googletranslate(F2956,""en"",""ja"")"),"LDH アイソザイム 5 と LDH の比率の測定")</f>
        <v>LDH アイソザイム 5 と LDH の比率の測定</v>
      </c>
    </row>
    <row r="2957" spans="1:9" ht="45">
      <c r="A2957" s="3" t="s">
        <v>6</v>
      </c>
      <c r="B2957" s="3" t="s">
        <v>12245</v>
      </c>
      <c r="C2957" s="3" t="s">
        <v>12246</v>
      </c>
      <c r="D2957" s="3" t="s">
        <v>12246</v>
      </c>
      <c r="E2957" s="3" t="s">
        <v>12247</v>
      </c>
      <c r="F2957" s="3" t="s">
        <v>12248</v>
      </c>
      <c r="G2957" s="3" t="str">
        <f ca="1">IFERROR(__xludf.DUMMYFUNCTION("googletranslate(D2957,""en"",""ja"")"),"乳酸デヒドロゲナーゼ/クレアチニン")</f>
        <v>乳酸デヒドロゲナーゼ/クレアチニン</v>
      </c>
      <c r="H2957" s="3" t="str">
        <f ca="1">IFERROR(__xludf.DUMMYFUNCTION("googletranslate(E2957,""en"",""ja"")"),"生物学的標本中のクレアチニンに対する乳酸デヒドロゲナーゼの相対測定値 (比率またはパーセンテージ)。")</f>
        <v>生物学的標本中のクレアチニンに対する乳酸デヒドロゲナーゼの相対測定値 (比率またはパーセンテージ)。</v>
      </c>
      <c r="I2957" s="3" t="str">
        <f ca="1">IFERROR(__xludf.DUMMYFUNCTION("googletranslate(F2957,""en"",""ja"")"),"乳酸デヒドロゲナーゼとクレアチニンの比の測定")</f>
        <v>乳酸デヒドロゲナーゼとクレアチニンの比の測定</v>
      </c>
    </row>
    <row r="2958" spans="1:9" ht="45">
      <c r="A2958" s="3" t="s">
        <v>6</v>
      </c>
      <c r="B2958" s="3" t="s">
        <v>12249</v>
      </c>
      <c r="C2958" s="3" t="s">
        <v>12250</v>
      </c>
      <c r="D2958" s="3" t="s">
        <v>12250</v>
      </c>
      <c r="E2958" s="3" t="s">
        <v>12251</v>
      </c>
      <c r="F2958" s="3" t="s">
        <v>12250</v>
      </c>
      <c r="G2958" s="3" t="str">
        <f ca="1">IFERROR(__xludf.DUMMYFUNCTION("googletranslate(D2958,""en"",""ja"")"),"乳酸デヒドロゲナーゼの排泄率")</f>
        <v>乳酸デヒドロゲナーゼの排泄率</v>
      </c>
      <c r="H2958" s="3" t="str">
        <f ca="1">IFERROR(__xludf.DUMMYFUNCTION("googletranslate(E2958,""en"",""ja"")"),"規定の時間 (例: 1 時間) にわたって生物学的検体中に排泄される乳酸デヒドロゲナーゼの量の測定。")</f>
        <v>規定の時間 (例: 1 時間) にわたって生物学的検体中に排泄される乳酸デヒドロゲナーゼの量の測定。</v>
      </c>
      <c r="I2958" s="3" t="str">
        <f ca="1">IFERROR(__xludf.DUMMYFUNCTION("googletranslate(F2958,""en"",""ja"")"),"乳酸デヒドロゲナーゼの排泄率")</f>
        <v>乳酸デヒドロゲナーゼの排泄率</v>
      </c>
    </row>
    <row r="2959" spans="1:9" ht="45">
      <c r="A2959" s="3" t="s">
        <v>185</v>
      </c>
      <c r="B2959" s="3" t="s">
        <v>12252</v>
      </c>
      <c r="C2959" s="3" t="s">
        <v>12253</v>
      </c>
      <c r="D2959" s="3" t="s">
        <v>12253</v>
      </c>
      <c r="E2959" s="3" t="s">
        <v>12254</v>
      </c>
      <c r="F2959" s="3" t="s">
        <v>12253</v>
      </c>
      <c r="G2959" s="3" t="str">
        <f ca="1">IFERROR(__xludf.DUMMYFUNCTION("googletranslate(D2959,""en"",""ja"")"),"最長直径")</f>
        <v>最長直径</v>
      </c>
      <c r="H2959" s="3" t="str">
        <f ca="1">IFERROR(__xludf.DUMMYFUNCTION("googletranslate(E2959,""en"",""ja"")"),"円形または回転楕円体の中心を通り、円周上の 2 点を結ぶ直線の可能な限り長い長さ。")</f>
        <v>円形または回転楕円体の中心を通り、円周上の 2 点を結ぶ直線の可能な限り長い長さ。</v>
      </c>
      <c r="I2959" s="3" t="str">
        <f ca="1">IFERROR(__xludf.DUMMYFUNCTION("googletranslate(F2959,""en"",""ja"")"),"最長直径")</f>
        <v>最長直径</v>
      </c>
    </row>
    <row r="2960" spans="1:9" ht="45">
      <c r="A2960" s="3" t="s">
        <v>1557</v>
      </c>
      <c r="B2960" s="3" t="s">
        <v>12252</v>
      </c>
      <c r="C2960" s="3" t="s">
        <v>12253</v>
      </c>
      <c r="D2960" s="3" t="s">
        <v>12253</v>
      </c>
      <c r="E2960" s="3" t="s">
        <v>12254</v>
      </c>
      <c r="F2960" s="3" t="s">
        <v>12253</v>
      </c>
      <c r="G2960" s="3" t="str">
        <f ca="1">IFERROR(__xludf.DUMMYFUNCTION("googletranslate(D2960,""en"",""ja"")"),"最長直径")</f>
        <v>最長直径</v>
      </c>
      <c r="H2960" s="3" t="str">
        <f ca="1">IFERROR(__xludf.DUMMYFUNCTION("googletranslate(E2960,""en"",""ja"")"),"円形または回転楕円体の中心を通り、円周上の 2 点を結ぶ直線の可能な限り長い長さ。")</f>
        <v>円形または回転楕円体の中心を通り、円周上の 2 点を結ぶ直線の可能な限り長い長さ。</v>
      </c>
      <c r="I2960" s="3" t="str">
        <f ca="1">IFERROR(__xludf.DUMMYFUNCTION("googletranslate(F2960,""en"",""ja"")"),"最長直径")</f>
        <v>最長直径</v>
      </c>
    </row>
    <row r="2961" spans="1:9" ht="45">
      <c r="A2961" s="3" t="s">
        <v>210</v>
      </c>
      <c r="B2961" s="3" t="s">
        <v>12252</v>
      </c>
      <c r="C2961" s="3" t="s">
        <v>12253</v>
      </c>
      <c r="D2961" s="3" t="s">
        <v>12253</v>
      </c>
      <c r="E2961" s="3" t="s">
        <v>12254</v>
      </c>
      <c r="F2961" s="3" t="s">
        <v>12253</v>
      </c>
      <c r="G2961" s="3" t="str">
        <f ca="1">IFERROR(__xludf.DUMMYFUNCTION("googletranslate(D2961,""en"",""ja"")"),"最長直径")</f>
        <v>最長直径</v>
      </c>
      <c r="H2961" s="3" t="str">
        <f ca="1">IFERROR(__xludf.DUMMYFUNCTION("googletranslate(E2961,""en"",""ja"")"),"円形または回転楕円体の中心を通り、円周上の 2 点を結ぶ直線の可能な限り長い長さ。")</f>
        <v>円形または回転楕円体の中心を通り、円周上の 2 点を結ぶ直線の可能な限り長い長さ。</v>
      </c>
      <c r="I2961" s="3" t="str">
        <f ca="1">IFERROR(__xludf.DUMMYFUNCTION("googletranslate(F2961,""en"",""ja"")"),"最長直径")</f>
        <v>最長直径</v>
      </c>
    </row>
    <row r="2962" spans="1:9" ht="30">
      <c r="A2962" s="3" t="s">
        <v>6</v>
      </c>
      <c r="B2962" s="3" t="s">
        <v>12255</v>
      </c>
      <c r="C2962" s="3" t="s">
        <v>12256</v>
      </c>
      <c r="D2962" s="3" t="s">
        <v>12256</v>
      </c>
      <c r="E2962" s="3" t="s">
        <v>12257</v>
      </c>
      <c r="F2962" s="3" t="s">
        <v>12258</v>
      </c>
      <c r="G2962" s="3" t="str">
        <f ca="1">IFERROR(__xludf.DUMMYFUNCTION("googletranslate(D2962,""en"",""ja"")"),"LDLコレステロール")</f>
        <v>LDLコレステロール</v>
      </c>
      <c r="H2962" s="3" t="str">
        <f ca="1">IFERROR(__xludf.DUMMYFUNCTION("googletranslate(E2962,""en"",""ja"")"),"生物学的標本中の低密度リポタンパク質コレステロールの測定。")</f>
        <v>生物学的標本中の低密度リポタンパク質コレステロールの測定。</v>
      </c>
      <c r="I2962" s="3" t="str">
        <f ca="1">IFERROR(__xludf.DUMMYFUNCTION("googletranslate(F2962,""en"",""ja"")"),"低密度リポタンパク質コレステロール測定")</f>
        <v>低密度リポタンパク質コレステロール測定</v>
      </c>
    </row>
    <row r="2963" spans="1:9" ht="45">
      <c r="A2963" s="3" t="s">
        <v>6</v>
      </c>
      <c r="B2963" s="3" t="s">
        <v>12259</v>
      </c>
      <c r="C2963" s="3" t="s">
        <v>12260</v>
      </c>
      <c r="D2963" s="3" t="s">
        <v>12260</v>
      </c>
      <c r="E2963" s="3" t="s">
        <v>12261</v>
      </c>
      <c r="F2963" s="3" t="s">
        <v>12262</v>
      </c>
      <c r="G2963" s="3" t="str">
        <f ca="1">IFERROR(__xludf.DUMMYFUNCTION("googletranslate(D2963,""en"",""ja"")"),"LDLコレステロール/HDLコレステロール")</f>
        <v>LDLコレステロール/HDLコレステロール</v>
      </c>
      <c r="H2963" s="3" t="str">
        <f ca="1">IFERROR(__xludf.DUMMYFUNCTION("googletranslate(E2963,""en"",""ja"")"),"生物学的標本における高密度リポタンパク質コレステロールに対する低密度リポタンパク質コレステロールの相対測定値（比）。")</f>
        <v>生物学的標本における高密度リポタンパク質コレステロールに対する低密度リポタンパク質コレステロールの相対測定値（比）。</v>
      </c>
      <c r="I2963" s="3" t="str">
        <f ca="1">IFERROR(__xludf.DUMMYFUNCTION("googletranslate(F2963,""en"",""ja"")"),"LDLコレステロール対HDLコレステロール比の測定")</f>
        <v>LDLコレステロール対HDLコレステロール比の測定</v>
      </c>
    </row>
    <row r="2964" spans="1:9" ht="30">
      <c r="A2964" s="3" t="s">
        <v>6</v>
      </c>
      <c r="B2964" s="3" t="s">
        <v>12263</v>
      </c>
      <c r="C2964" s="3" t="s">
        <v>12264</v>
      </c>
      <c r="D2964" s="3" t="s">
        <v>12264</v>
      </c>
      <c r="E2964" s="3" t="s">
        <v>12265</v>
      </c>
      <c r="F2964" s="3" t="s">
        <v>12266</v>
      </c>
      <c r="G2964" s="3" t="str">
        <f ca="1">IFERROR(__xludf.DUMMYFUNCTION("googletranslate(D2964,""en"",""ja"")"),"酸化LDLコレステロール")</f>
        <v>酸化LDLコレステロール</v>
      </c>
      <c r="H2964" s="3" t="str">
        <f ca="1">IFERROR(__xludf.DUMMYFUNCTION("googletranslate(E2964,""en"",""ja"")"),"生体試料中の酸化低密度リポタンパク質コレステロールの測定。")</f>
        <v>生体試料中の酸化低密度リポタンパク質コレステロールの測定。</v>
      </c>
      <c r="I2964" s="3" t="str">
        <f ca="1">IFERROR(__xludf.DUMMYFUNCTION("googletranslate(F2964,""en"",""ja"")"),"酸化LDLコレステロール測定")</f>
        <v>酸化LDLコレステロール測定</v>
      </c>
    </row>
    <row r="2965" spans="1:9" ht="30">
      <c r="A2965" s="3" t="s">
        <v>6</v>
      </c>
      <c r="B2965" s="3" t="s">
        <v>12267</v>
      </c>
      <c r="C2965" s="3" t="s">
        <v>12268</v>
      </c>
      <c r="D2965" s="3" t="s">
        <v>12268</v>
      </c>
      <c r="E2965" s="3" t="s">
        <v>12269</v>
      </c>
      <c r="F2965" s="3" t="s">
        <v>12270</v>
      </c>
      <c r="G2965" s="3" t="str">
        <f ca="1">IFERROR(__xludf.DUMMYFUNCTION("googletranslate(D2965,""en"",""ja"")"),"LDL粒子")</f>
        <v>LDL粒子</v>
      </c>
      <c r="H2965" s="3" t="str">
        <f ca="1">IFERROR(__xludf.DUMMYFUNCTION("googletranslate(E2965,""en"",""ja"")"),"生物学的標本中の総 LDL 粒子の濃度の測定。")</f>
        <v>生物学的標本中の総 LDL 粒子の濃度の測定。</v>
      </c>
      <c r="I2965" s="3" t="str">
        <f ca="1">IFERROR(__xludf.DUMMYFUNCTION("googletranslate(F2965,""en"",""ja"")"),"LDL粒子測定")</f>
        <v>LDL粒子測定</v>
      </c>
    </row>
    <row r="2966" spans="1:9" ht="45">
      <c r="A2966" s="3" t="s">
        <v>6</v>
      </c>
      <c r="B2966" s="3" t="s">
        <v>12271</v>
      </c>
      <c r="C2966" s="3" t="s">
        <v>12272</v>
      </c>
      <c r="D2966" s="3" t="s">
        <v>12272</v>
      </c>
      <c r="E2966" s="3" t="s">
        <v>12273</v>
      </c>
      <c r="F2966" s="3" t="s">
        <v>12272</v>
      </c>
      <c r="G2966" s="3" t="str">
        <f ca="1">IFERROR(__xludf.DUMMYFUNCTION("googletranslate(D2966,""en"",""ja"")"),"LDL サブタイプ パターン")</f>
        <v>LDL サブタイプ パターン</v>
      </c>
      <c r="H2966" s="3" t="str">
        <f ca="1">IFERROR(__xludf.DUMMYFUNCTION("googletranslate(E2966,""en"",""ja"")"),"生物学的標本中の低密度リポタンパク質粒子パターンの説明 (サイズと密度に基づく LDL 粒子の量の解釈)。")</f>
        <v>生物学的標本中の低密度リポタンパク質粒子パターンの説明 (サイズと密度に基づく LDL 粒子の量の解釈)。</v>
      </c>
      <c r="I2966" s="3" t="str">
        <f ca="1">IFERROR(__xludf.DUMMYFUNCTION("googletranslate(F2966,""en"",""ja"")"),"LDL サブタイプ パターン")</f>
        <v>LDL サブタイプ パターン</v>
      </c>
    </row>
    <row r="2967" spans="1:9" ht="30">
      <c r="A2967" s="3" t="s">
        <v>6</v>
      </c>
      <c r="B2967" s="3" t="s">
        <v>12274</v>
      </c>
      <c r="C2967" s="3" t="s">
        <v>12275</v>
      </c>
      <c r="D2967" s="3" t="s">
        <v>12275</v>
      </c>
      <c r="E2967" s="3" t="s">
        <v>12276</v>
      </c>
      <c r="F2967" s="3" t="s">
        <v>12277</v>
      </c>
      <c r="G2967" s="3" t="str">
        <f ca="1">IFERROR(__xludf.DUMMYFUNCTION("googletranslate(D2967,""en"",""ja"")"),"LDL粒子径")</f>
        <v>LDL粒子径</v>
      </c>
      <c r="H2967" s="3" t="str">
        <f ca="1">IFERROR(__xludf.DUMMYFUNCTION("googletranslate(E2967,""en"",""ja"")"),"生体試料中の低密度リポタンパク質の平均粒子サイズの測定。")</f>
        <v>生体試料中の低密度リポタンパク質の平均粒子サイズの測定。</v>
      </c>
      <c r="I2967" s="3" t="str">
        <f ca="1">IFERROR(__xludf.DUMMYFUNCTION("googletranslate(F2967,""en"",""ja"")"),"LDL粒子径測定")</f>
        <v>LDL粒子径測定</v>
      </c>
    </row>
    <row r="2968" spans="1:9" ht="30">
      <c r="A2968" s="3" t="s">
        <v>6</v>
      </c>
      <c r="B2968" s="3" t="s">
        <v>12278</v>
      </c>
      <c r="C2968" s="3" t="s">
        <v>12279</v>
      </c>
      <c r="D2968" s="3" t="s">
        <v>12279</v>
      </c>
      <c r="E2968" s="3" t="s">
        <v>12280</v>
      </c>
      <c r="F2968" s="3" t="s">
        <v>12281</v>
      </c>
      <c r="G2968" s="3" t="str">
        <f ca="1">IFERROR(__xludf.DUMMYFUNCTION("googletranslate(D2968,""en"",""ja"")"),"LDLトリグリセリド")</f>
        <v>LDLトリグリセリド</v>
      </c>
      <c r="H2968" s="3" t="str">
        <f ca="1">IFERROR(__xludf.DUMMYFUNCTION("googletranslate(E2968,""en"",""ja"")"),"生体試料中の低密度リポタンパク質トリグリセリドの測定。")</f>
        <v>生体試料中の低密度リポタンパク質トリグリセリドの測定。</v>
      </c>
      <c r="I2968" s="3" t="str">
        <f ca="1">IFERROR(__xludf.DUMMYFUNCTION("googletranslate(F2968,""en"",""ja"")"),"LDL中性脂肪測定")</f>
        <v>LDL中性脂肪測定</v>
      </c>
    </row>
    <row r="2969" spans="1:9" ht="30">
      <c r="A2969" s="3" t="s">
        <v>503</v>
      </c>
      <c r="B2969" s="3" t="s">
        <v>12282</v>
      </c>
      <c r="C2969" s="3" t="s">
        <v>12283</v>
      </c>
      <c r="D2969" s="3" t="s">
        <v>12283</v>
      </c>
      <c r="E2969" s="3" t="s">
        <v>12284</v>
      </c>
      <c r="F2969" s="3" t="s">
        <v>12283</v>
      </c>
      <c r="G2969" s="3" t="str">
        <f ca="1">IFERROR(__xludf.DUMMYFUNCTION("googletranslate(D2969,""en"",""ja"")"),"最長の禁欲期間")</f>
        <v>最長の禁欲期間</v>
      </c>
      <c r="H2969" s="3" t="str">
        <f ca="1">IFERROR(__xludf.DUMMYFUNCTION("googletranslate(E2969,""en"",""ja"")"),"個人が活動を控えた最長時間。")</f>
        <v>個人が活動を控えた最長時間。</v>
      </c>
      <c r="I2969" s="3" t="str">
        <f ca="1">IFERROR(__xludf.DUMMYFUNCTION("googletranslate(F2969,""en"",""ja"")"),"最長の禁欲期間")</f>
        <v>最長の禁欲期間</v>
      </c>
    </row>
    <row r="2970" spans="1:9">
      <c r="A2970" s="3" t="s">
        <v>51</v>
      </c>
      <c r="B2970" s="3" t="s">
        <v>12285</v>
      </c>
      <c r="C2970" s="3" t="s">
        <v>12286</v>
      </c>
      <c r="D2970" s="3" t="s">
        <v>12287</v>
      </c>
      <c r="E2970" s="3" t="s">
        <v>12288</v>
      </c>
      <c r="F2970" s="3" t="s">
        <v>12289</v>
      </c>
      <c r="G2970" s="3" t="str">
        <f ca="1">IFERROR(__xludf.DUMMYFUNCTION("googletranslate(D2970,""en"",""ja"")"),"鉛;鉛")</f>
        <v>鉛;鉛</v>
      </c>
      <c r="H2970" s="3" t="str">
        <f ca="1">IFERROR(__xludf.DUMMYFUNCTION("googletranslate(E2970,""en"",""ja"")"),"試験片内の鉛の測定。")</f>
        <v>試験片内の鉛の測定。</v>
      </c>
      <c r="I2970" s="3" t="str">
        <f ca="1">IFERROR(__xludf.DUMMYFUNCTION("googletranslate(F2970,""en"",""ja"")"),"リード測定")</f>
        <v>リード測定</v>
      </c>
    </row>
    <row r="2971" spans="1:9">
      <c r="A2971" s="3" t="s">
        <v>6</v>
      </c>
      <c r="B2971" s="3" t="s">
        <v>12285</v>
      </c>
      <c r="C2971" s="3" t="s">
        <v>12286</v>
      </c>
      <c r="D2971" s="3" t="s">
        <v>12287</v>
      </c>
      <c r="E2971" s="3" t="s">
        <v>12288</v>
      </c>
      <c r="F2971" s="3" t="s">
        <v>12289</v>
      </c>
      <c r="G2971" s="3" t="str">
        <f ca="1">IFERROR(__xludf.DUMMYFUNCTION("googletranslate(D2971,""en"",""ja"")"),"鉛;鉛")</f>
        <v>鉛;鉛</v>
      </c>
      <c r="H2971" s="3" t="str">
        <f ca="1">IFERROR(__xludf.DUMMYFUNCTION("googletranslate(E2971,""en"",""ja"")"),"試験片内の鉛の測定。")</f>
        <v>試験片内の鉛の測定。</v>
      </c>
      <c r="I2971" s="3" t="str">
        <f ca="1">IFERROR(__xludf.DUMMYFUNCTION("googletranslate(F2971,""en"",""ja"")"),"リード測定")</f>
        <v>リード測定</v>
      </c>
    </row>
    <row r="2972" spans="1:9" ht="30">
      <c r="A2972" s="3" t="s">
        <v>6</v>
      </c>
      <c r="B2972" s="3" t="s">
        <v>12290</v>
      </c>
      <c r="C2972" s="3" t="s">
        <v>12291</v>
      </c>
      <c r="D2972" s="3" t="s">
        <v>12291</v>
      </c>
      <c r="E2972" s="3" t="s">
        <v>12292</v>
      </c>
      <c r="F2972" s="3" t="s">
        <v>12293</v>
      </c>
      <c r="G2972" s="3" t="str">
        <f ca="1">IFERROR(__xludf.DUMMYFUNCTION("googletranslate(D2972,""en"",""ja"")"),"未熟白血球")</f>
        <v>未熟白血球</v>
      </c>
      <c r="H2972" s="3" t="str">
        <f ca="1">IFERROR(__xludf.DUMMYFUNCTION("googletranslate(E2972,""en"",""ja"")"),"生物学的標本中の未熟白血球の測定。")</f>
        <v>生物学的標本中の未熟白血球の測定。</v>
      </c>
      <c r="I2972" s="3" t="str">
        <f ca="1">IFERROR(__xludf.DUMMYFUNCTION("googletranslate(F2972,""en"",""ja"")"),"未熟白血球数")</f>
        <v>未熟白血球数</v>
      </c>
    </row>
    <row r="2973" spans="1:9" ht="30">
      <c r="A2973" s="3" t="s">
        <v>6</v>
      </c>
      <c r="B2973" s="3" t="s">
        <v>12294</v>
      </c>
      <c r="C2973" s="3" t="s">
        <v>12295</v>
      </c>
      <c r="D2973" s="3" t="s">
        <v>12295</v>
      </c>
      <c r="E2973" s="3" t="s">
        <v>12296</v>
      </c>
      <c r="F2973" s="3" t="s">
        <v>12297</v>
      </c>
      <c r="G2973" s="3" t="str">
        <f ca="1">IFERROR(__xludf.DUMMYFUNCTION("googletranslate(D2973,""en"",""ja"")"),"未熟白血球/白血球")</f>
        <v>未熟白血球/白血球</v>
      </c>
      <c r="H2973" s="3" t="str">
        <f ca="1">IFERROR(__xludf.DUMMYFUNCTION("googletranslate(E2973,""en"",""ja"")"),"生物学的標本中の白血球に対する未熟白血球の相対的な測定値 (比率またはパーセンテージ)。")</f>
        <v>生物学的標本中の白血球に対する未熟白血球の相対的な測定値 (比率またはパーセンテージ)。</v>
      </c>
      <c r="I2973" s="3" t="str">
        <f ca="1">IFERROR(__xludf.DUMMYFUNCTION("googletranslate(F2973,""en"",""ja"")"),"幼若白血球と白血球の比率の測定")</f>
        <v>幼若白血球と白血球の比率の測定</v>
      </c>
    </row>
    <row r="2974" spans="1:9" ht="45">
      <c r="A2974" s="3" t="s">
        <v>81</v>
      </c>
      <c r="B2974" s="3" t="s">
        <v>12298</v>
      </c>
      <c r="C2974" s="3" t="s">
        <v>12299</v>
      </c>
      <c r="D2974" s="3" t="s">
        <v>12299</v>
      </c>
      <c r="E2974" s="3" t="s">
        <v>12300</v>
      </c>
      <c r="F2974" s="3" t="s">
        <v>12299</v>
      </c>
      <c r="G2974" s="3" t="str">
        <f ca="1">IFERROR(__xludf.DUMMYFUNCTION("googletranslate(D2974,""en"",""ja"")"),"長さ")</f>
        <v>長さ</v>
      </c>
      <c r="H2974" s="3" t="str">
        <f ca="1">IFERROR(__xludf.DUMMYFUNCTION("googletranslate(E2974,""en"",""ja"")"),"何かの一端からもう一端までの空間内の直線的な範囲、または何かの始まりから終わりまでの範囲。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4" s="3" t="str">
        <f ca="1">IFERROR(__xludf.DUMMYFUNCTION("googletranslate(F2974,""en"",""ja"")"),"長さ")</f>
        <v>長さ</v>
      </c>
    </row>
    <row r="2975" spans="1:9" ht="45">
      <c r="A2975" s="3" t="s">
        <v>51</v>
      </c>
      <c r="B2975" s="3" t="s">
        <v>12298</v>
      </c>
      <c r="C2975" s="3" t="s">
        <v>12299</v>
      </c>
      <c r="D2975" s="3" t="s">
        <v>12299</v>
      </c>
      <c r="E2975" s="3" t="s">
        <v>12300</v>
      </c>
      <c r="F2975" s="3" t="s">
        <v>12299</v>
      </c>
      <c r="G2975" s="3" t="str">
        <f ca="1">IFERROR(__xludf.DUMMYFUNCTION("googletranslate(D2975,""en"",""ja"")"),"長さ")</f>
        <v>長さ</v>
      </c>
      <c r="H2975" s="3" t="str">
        <f ca="1">IFERROR(__xludf.DUMMYFUNCTION("googletranslate(E2975,""en"",""ja"")"),"何かの一端からもう一端までの空間内の直線的な範囲、または何かの始まりから終わりまでの範囲。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5" s="3" t="str">
        <f ca="1">IFERROR(__xludf.DUMMYFUNCTION("googletranslate(F2975,""en"",""ja"")"),"長さ")</f>
        <v>長さ</v>
      </c>
    </row>
    <row r="2976" spans="1:9" ht="45">
      <c r="A2976" s="3" t="s">
        <v>33</v>
      </c>
      <c r="B2976" s="3" t="s">
        <v>12298</v>
      </c>
      <c r="C2976" s="3" t="s">
        <v>12299</v>
      </c>
      <c r="D2976" s="3" t="s">
        <v>12299</v>
      </c>
      <c r="E2976" s="3" t="s">
        <v>12300</v>
      </c>
      <c r="F2976" s="3" t="s">
        <v>12299</v>
      </c>
      <c r="G2976" s="3" t="str">
        <f ca="1">IFERROR(__xludf.DUMMYFUNCTION("googletranslate(D2976,""en"",""ja"")"),"長さ")</f>
        <v>長さ</v>
      </c>
      <c r="H2976" s="3" t="str">
        <f ca="1">IFERROR(__xludf.DUMMYFUNCTION("googletranslate(E2976,""en"",""ja"")"),"何かの一端からもう一端までの空間内の直線的な範囲、または何かの始まりから終わりまでの範囲。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6" s="3" t="str">
        <f ca="1">IFERROR(__xludf.DUMMYFUNCTION("googletranslate(F2976,""en"",""ja"")"),"長さ")</f>
        <v>長さ</v>
      </c>
    </row>
    <row r="2977" spans="1:9" ht="30">
      <c r="A2977" s="3" t="s">
        <v>185</v>
      </c>
      <c r="B2977" s="3" t="s">
        <v>12301</v>
      </c>
      <c r="C2977" s="3" t="s">
        <v>12302</v>
      </c>
      <c r="D2977" s="3" t="s">
        <v>12302</v>
      </c>
      <c r="E2977" s="3" t="s">
        <v>12303</v>
      </c>
      <c r="F2977" s="3" t="s">
        <v>12302</v>
      </c>
      <c r="G2977" s="3" t="str">
        <f ca="1">IFERROR(__xludf.DUMMYFUNCTION("googletranslate(D2977,""en"",""ja"")"),"切除の長さ")</f>
        <v>切除の長さ</v>
      </c>
      <c r="H2977" s="3" t="str">
        <f ca="1">IFERROR(__xludf.DUMMYFUNCTION("googletranslate(E2977,""en"",""ja"")"),"切除された組織、血管、臓器の全長の測定値。")</f>
        <v>切除された組織、血管、臓器の全長の測定値。</v>
      </c>
      <c r="I2977" s="3" t="str">
        <f ca="1">IFERROR(__xludf.DUMMYFUNCTION("googletranslate(F2977,""en"",""ja"")"),"切除の長さ")</f>
        <v>切除の長さ</v>
      </c>
    </row>
    <row r="2978" spans="1:9">
      <c r="A2978" s="3" t="s">
        <v>1557</v>
      </c>
      <c r="B2978" s="3" t="s">
        <v>12304</v>
      </c>
      <c r="C2978" s="3" t="s">
        <v>12305</v>
      </c>
      <c r="D2978" s="3" t="s">
        <v>12305</v>
      </c>
      <c r="E2978" s="3" t="s">
        <v>12306</v>
      </c>
      <c r="F2978" s="3" t="s">
        <v>12305</v>
      </c>
      <c r="G2978" s="3" t="str">
        <f ca="1">IFERROR(__xludf.DUMMYFUNCTION("googletranslate(D2978,""en"",""ja"")"),"レンズのステータス")</f>
        <v>レンズのステータス</v>
      </c>
      <c r="H2978" s="3" t="str">
        <f ca="1">IFERROR(__xludf.DUMMYFUNCTION("googletranslate(E2978,""en"",""ja"")"),"目の水晶体の状態または状態。 (NCI)")</f>
        <v>目の水晶体の状態または状態。 (NCI)</v>
      </c>
      <c r="I2978" s="3" t="str">
        <f ca="1">IFERROR(__xludf.DUMMYFUNCTION("googletranslate(F2978,""en"",""ja"")"),"レンズのステータス")</f>
        <v>レンズのステータス</v>
      </c>
    </row>
    <row r="2979" spans="1:9" ht="30">
      <c r="A2979" s="3" t="s">
        <v>103</v>
      </c>
      <c r="B2979" s="3" t="s">
        <v>12307</v>
      </c>
      <c r="C2979" s="3" t="s">
        <v>12308</v>
      </c>
      <c r="D2979" s="3" t="s">
        <v>12309</v>
      </c>
      <c r="E2979" s="3" t="s">
        <v>12310</v>
      </c>
      <c r="F2979" s="3" t="s">
        <v>12311</v>
      </c>
      <c r="G2979" s="3" t="str">
        <f ca="1">IFERROR(__xludf.DUMMYFUNCTION("googletranslate(D2979,""en"",""ja"")"),"Leuk NonViable/Leuk;白血球死滅/白血球")</f>
        <v>Leuk NonViable/Leuk;白血球死滅/白血球</v>
      </c>
      <c r="H2979" s="3" t="str">
        <f ca="1">IFERROR(__xludf.DUMMYFUNCTION("googletranslate(E2979,""en"",""ja"")"),"生物学的標本中の全白血球に対する生存不能な白血球の相対測定値 (比率)。")</f>
        <v>生物学的標本中の全白血球に対する生存不能な白血球の相対測定値 (比率)。</v>
      </c>
      <c r="I2979" s="3" t="str">
        <f ca="1">IFERROR(__xludf.DUMMYFUNCTION("googletranslate(F2979,""en"",""ja"")"),"非生存白血球対白血球比の測定")</f>
        <v>非生存白血球対白血球比の測定</v>
      </c>
    </row>
    <row r="2980" spans="1:9" ht="30">
      <c r="A2980" s="3" t="s">
        <v>6</v>
      </c>
      <c r="B2980" s="3" t="s">
        <v>12312</v>
      </c>
      <c r="C2980" s="3" t="s">
        <v>12313</v>
      </c>
      <c r="D2980" s="3" t="s">
        <v>12313</v>
      </c>
      <c r="E2980" s="3" t="s">
        <v>12314</v>
      </c>
      <c r="F2980" s="3" t="s">
        <v>12315</v>
      </c>
      <c r="G2980" s="3" t="str">
        <f ca="1">IFERROR(__xludf.DUMMYFUNCTION("googletranslate(D2980,""en"",""ja"")"),"レプチン")</f>
        <v>レプチン</v>
      </c>
      <c r="H2980" s="3" t="str">
        <f ca="1">IFERROR(__xludf.DUMMYFUNCTION("googletranslate(E2980,""en"",""ja"")"),"生物学的標本中のレプチン ホルモンの測定。")</f>
        <v>生物学的標本中のレプチン ホルモンの測定。</v>
      </c>
      <c r="I2980" s="3" t="str">
        <f ca="1">IFERROR(__xludf.DUMMYFUNCTION("googletranslate(F2980,""en"",""ja"")"),"レプチン測定")</f>
        <v>レプチン測定</v>
      </c>
    </row>
    <row r="2981" spans="1:9" ht="30">
      <c r="A2981" s="3" t="s">
        <v>6</v>
      </c>
      <c r="B2981" s="3" t="s">
        <v>12316</v>
      </c>
      <c r="C2981" s="3" t="s">
        <v>12317</v>
      </c>
      <c r="D2981" s="3" t="s">
        <v>12318</v>
      </c>
      <c r="E2981" s="3" t="s">
        <v>12319</v>
      </c>
      <c r="F2981" s="3" t="s">
        <v>12320</v>
      </c>
      <c r="G2981" s="3" t="str">
        <f ca="1">IFERROR(__xludf.DUMMYFUNCTION("googletranslate(D2981,""en"",""ja"")"),"CD295; LEP-R; LEPR;レプチン受容体; OB受容体")</f>
        <v>CD295; LEP-R; LEPR;レプチン受容体; OB受容体</v>
      </c>
      <c r="H2981" s="3" t="str">
        <f ca="1">IFERROR(__xludf.DUMMYFUNCTION("googletranslate(E2981,""en"",""ja"")"),"生物学的標本中のレプチン受容体の測定。")</f>
        <v>生物学的標本中のレプチン受容体の測定。</v>
      </c>
      <c r="I2981" s="3" t="str">
        <f ca="1">IFERROR(__xludf.DUMMYFUNCTION("googletranslate(F2981,""en"",""ja"")"),"レプチン受容体の測定")</f>
        <v>レプチン受容体の測定</v>
      </c>
    </row>
    <row r="2982" spans="1:9">
      <c r="A2982" s="3" t="s">
        <v>6</v>
      </c>
      <c r="B2982" s="3" t="s">
        <v>12321</v>
      </c>
      <c r="C2982" s="3" t="s">
        <v>12322</v>
      </c>
      <c r="D2982" s="3" t="s">
        <v>12322</v>
      </c>
      <c r="E2982" s="3" t="s">
        <v>12323</v>
      </c>
      <c r="F2982" s="3" t="s">
        <v>12324</v>
      </c>
      <c r="G2982" s="3" t="str">
        <f ca="1">IFERROR(__xludf.DUMMYFUNCTION("googletranslate(D2982,""en"",""ja"")"),"レプトサイト")</f>
        <v>レプトサイト</v>
      </c>
      <c r="H2982" s="3" t="str">
        <f ca="1">IFERROR(__xludf.DUMMYFUNCTION("googletranslate(E2982,""en"",""ja"")"),"生物学的標本中の赤血球の測定。")</f>
        <v>生物学的標本中の赤血球の測定。</v>
      </c>
      <c r="I2982" s="3" t="str">
        <f ca="1">IFERROR(__xludf.DUMMYFUNCTION("googletranslate(F2982,""en"",""ja"")"),"レプトサイトの測定")</f>
        <v>レプトサイトの測定</v>
      </c>
    </row>
    <row r="2983" spans="1:9" ht="45">
      <c r="A2983" s="3" t="s">
        <v>103</v>
      </c>
      <c r="B2983" s="3" t="s">
        <v>12325</v>
      </c>
      <c r="C2983" s="3" t="s">
        <v>12326</v>
      </c>
      <c r="D2983" s="3" t="s">
        <v>12327</v>
      </c>
      <c r="E2983" s="3" t="s">
        <v>12328</v>
      </c>
      <c r="F2983" s="3" t="s">
        <v>12329</v>
      </c>
      <c r="G2983" s="3" t="str">
        <f ca="1">IFERROR(__xludf.DUMMYFUNCTION("googletranslate(D2983,""en"",""ja"")"),"レウク・サブ;白血球部分集団; WBC サブ母集団;白血球部分集団")</f>
        <v>レウク・サブ;白血球部分集団; WBC サブ母集団;白血球部分集団</v>
      </c>
      <c r="H2983" s="3" t="str">
        <f ca="1">IFERROR(__xludf.DUMMYFUNCTION("googletranslate(E2983,""en"",""ja"")"),"生物学的標本中の白血球の部分集団の測定。")</f>
        <v>生物学的標本中の白血球の部分集団の測定。</v>
      </c>
      <c r="I2983" s="3" t="str">
        <f ca="1">IFERROR(__xludf.DUMMYFUNCTION("googletranslate(F2983,""en"",""ja"")"),"白血球部分集団数")</f>
        <v>白血球部分集団数</v>
      </c>
    </row>
    <row r="2984" spans="1:9" ht="30">
      <c r="A2984" s="3" t="s">
        <v>210</v>
      </c>
      <c r="B2984" s="3" t="s">
        <v>12330</v>
      </c>
      <c r="C2984" s="3" t="s">
        <v>12331</v>
      </c>
      <c r="D2984" s="3" t="s">
        <v>12331</v>
      </c>
      <c r="E2984" s="3" t="s">
        <v>12332</v>
      </c>
      <c r="F2984" s="3" t="s">
        <v>12333</v>
      </c>
      <c r="G2984" s="3" t="str">
        <f ca="1">IFERROR(__xludf.DUMMYFUNCTION("googletranslate(D2984,""en"",""ja"")"),"病変隆起の重症度/強度")</f>
        <v>病変隆起の重症度/強度</v>
      </c>
      <c r="H2984" s="3" t="str">
        <f ca="1">IFERROR(__xludf.DUMMYFUNCTION("googletranslate(E2984,""en"",""ja"")"),"体の表面よりも高くなった、または隆起した病変の重症度の評価。")</f>
        <v>体の表面よりも高くなった、または隆起した病変の重症度の評価。</v>
      </c>
      <c r="I2984" s="3" t="str">
        <f ca="1">IFERROR(__xludf.DUMMYFUNCTION("googletranslate(F2984,""en"",""ja"")"),"隆起病変の重症度")</f>
        <v>隆起病変の重症度</v>
      </c>
    </row>
    <row r="2985" spans="1:9" ht="30">
      <c r="A2985" s="3" t="s">
        <v>210</v>
      </c>
      <c r="B2985" s="3" t="s">
        <v>12334</v>
      </c>
      <c r="C2985" s="3" t="s">
        <v>12335</v>
      </c>
      <c r="D2985" s="3" t="s">
        <v>12335</v>
      </c>
      <c r="E2985" s="3" t="s">
        <v>12336</v>
      </c>
      <c r="F2985" s="3" t="s">
        <v>12337</v>
      </c>
      <c r="G2985" s="3" t="str">
        <f ca="1">IFERROR(__xludf.DUMMYFUNCTION("googletranslate(D2985,""en"",""ja"")"),"紅斑病変の重症度/強度")</f>
        <v>紅斑病変の重症度/強度</v>
      </c>
      <c r="H2985" s="3" t="str">
        <f ca="1">IFERROR(__xludf.DUMMYFUNCTION("googletranslate(E2985,""en"",""ja"")"),"赤く変色した病変の重症度の評価。")</f>
        <v>赤く変色した病変の重症度の評価。</v>
      </c>
      <c r="I2985" s="3" t="str">
        <f ca="1">IFERROR(__xludf.DUMMYFUNCTION("googletranslate(F2985,""en"",""ja"")"),"紅斑性病変の重症度")</f>
        <v>紅斑性病変の重症度</v>
      </c>
    </row>
    <row r="2986" spans="1:9">
      <c r="A2986" s="3" t="s">
        <v>210</v>
      </c>
      <c r="B2986" s="3" t="s">
        <v>12338</v>
      </c>
      <c r="C2986" s="3" t="s">
        <v>12339</v>
      </c>
      <c r="D2986" s="3" t="s">
        <v>12339</v>
      </c>
      <c r="E2986" s="3" t="s">
        <v>12340</v>
      </c>
      <c r="F2986" s="3" t="s">
        <v>12339</v>
      </c>
      <c r="G2986" s="3" t="str">
        <f ca="1">IFERROR(__xludf.DUMMYFUNCTION("googletranslate(D2986,""en"",""ja"")"),"病変不全インジケーター")</f>
        <v>病変不全インジケーター</v>
      </c>
      <c r="H2986" s="3" t="str">
        <f ca="1">IFERROR(__xludf.DUMMYFUNCTION("googletranslate(E2986,""en"",""ja"")"),"病変不全が発生したかどうかの指標。")</f>
        <v>病変不全が発生したかどうかの指標。</v>
      </c>
      <c r="I2986" s="3" t="str">
        <f ca="1">IFERROR(__xludf.DUMMYFUNCTION("googletranslate(F2986,""en"",""ja"")"),"病変不全インジケーター")</f>
        <v>病変不全インジケーター</v>
      </c>
    </row>
    <row r="2987" spans="1:9" ht="30">
      <c r="A2987" s="3" t="s">
        <v>5519</v>
      </c>
      <c r="B2987" s="3" t="s">
        <v>12341</v>
      </c>
      <c r="C2987" s="3" t="s">
        <v>12342</v>
      </c>
      <c r="D2987" s="3" t="s">
        <v>12342</v>
      </c>
      <c r="E2987" s="3" t="s">
        <v>12343</v>
      </c>
      <c r="F2987" s="3" t="s">
        <v>12342</v>
      </c>
      <c r="G2987" s="3" t="str">
        <f ca="1">IFERROR(__xludf.DUMMYFUNCTION("googletranslate(D2987,""en"",""ja"")"),"病変の特定")</f>
        <v>病変の特定</v>
      </c>
      <c r="H2987" s="3" t="str">
        <f ca="1">IFERROR(__xludf.DUMMYFUNCTION("googletranslate(E2987,""en"",""ja"")"),"病変が特定され、特徴付けられたことを示す指標。")</f>
        <v>病変が特定され、特徴付けられたことを示す指標。</v>
      </c>
      <c r="I2987" s="3" t="str">
        <f ca="1">IFERROR(__xludf.DUMMYFUNCTION("googletranslate(F2987,""en"",""ja"")"),"病変の特定")</f>
        <v>病変の特定</v>
      </c>
    </row>
    <row r="2988" spans="1:9" ht="105">
      <c r="A2988" s="3" t="s">
        <v>103</v>
      </c>
      <c r="B2988" s="3" t="s">
        <v>12344</v>
      </c>
      <c r="C2988" s="3" t="s">
        <v>12345</v>
      </c>
      <c r="D2988" s="3" t="s">
        <v>12346</v>
      </c>
      <c r="E2988" s="3" t="s">
        <v>12347</v>
      </c>
      <c r="F2988" s="3" t="s">
        <v>12348</v>
      </c>
      <c r="G2988" s="3" t="str">
        <f ca="1">IFERROR(__xludf.DUMMYFUNCTION("googletranslate(D2988,""en"",""ja"")"),"Leuk Sub/Leuk Sub;白血球サブ集団/白血球サブ集団; WBC サブ母集団/WBC サブ母集団;白血球部分集団/白血球部分集団")</f>
        <v>Leuk Sub/Leuk Sub;白血球サブ集団/白血球サブ集団; WBC サブ母集団/WBC サブ母集団;白血球部分集団/白血球部分集団</v>
      </c>
      <c r="H2988" s="3" t="str">
        <f ca="1">IFERROR(__xludf.DUMMYFUNCTION("googletranslate(E2988,""en"",""ja"")"),"生物学的標本中の白血球の部分集団に対する白血球の部分集団の相対的な測定値 (比率またはパーセンテージ)。")</f>
        <v>生物学的標本中の白血球の部分集団に対する白血球の部分集団の相対的な測定値 (比率またはパーセンテージ)。</v>
      </c>
      <c r="I2988" s="3" t="str">
        <f ca="1">IFERROR(__xludf.DUMMYFUNCTION("googletranslate(F2988,""en"",""ja"")"),"白血球部分集団対白血球部分集団の比率の測定")</f>
        <v>白血球部分集団対白血球部分集団の比率の測定</v>
      </c>
    </row>
    <row r="2989" spans="1:9">
      <c r="A2989" s="3" t="s">
        <v>185</v>
      </c>
      <c r="B2989" s="3" t="s">
        <v>12349</v>
      </c>
      <c r="C2989" s="3" t="s">
        <v>12350</v>
      </c>
      <c r="D2989" s="3" t="s">
        <v>12350</v>
      </c>
      <c r="E2989" s="3" t="s">
        <v>12351</v>
      </c>
      <c r="F2989" s="3" t="s">
        <v>12350</v>
      </c>
      <c r="G2989" s="3" t="str">
        <f ca="1">IFERROR(__xludf.DUMMYFUNCTION("googletranslate(D2989,""en"",""ja"")"),"病変の数")</f>
        <v>病変の数</v>
      </c>
      <c r="H2989" s="3" t="str">
        <f ca="1">IFERROR(__xludf.DUMMYFUNCTION("googletranslate(E2989,""en"",""ja"")"),"観察された病変の数。")</f>
        <v>観察された病変の数。</v>
      </c>
      <c r="I2989" s="3" t="str">
        <f ca="1">IFERROR(__xludf.DUMMYFUNCTION("googletranslate(F2989,""en"",""ja"")"),"病変の数")</f>
        <v>病変の数</v>
      </c>
    </row>
    <row r="2990" spans="1:9" ht="75">
      <c r="A2990" s="3" t="s">
        <v>103</v>
      </c>
      <c r="B2990" s="3" t="s">
        <v>12352</v>
      </c>
      <c r="C2990" s="3" t="s">
        <v>12353</v>
      </c>
      <c r="D2990" s="3" t="s">
        <v>12354</v>
      </c>
      <c r="E2990" s="3" t="s">
        <v>12355</v>
      </c>
      <c r="F2990" s="3" t="s">
        <v>12356</v>
      </c>
      <c r="G2990" s="3" t="str">
        <f ca="1">IFERROR(__xludf.DUMMYFUNCTION("googletranslate(D2990,""en"",""ja"")"),"レウク・サブ/レウク;白血球亜/白血球;白血球部分集団/白血球; WBC サブ集団/WBC;白血球部分集団/白血球")</f>
        <v>レウク・サブ/レウク;白血球亜/白血球;白血球部分集団/白血球; WBC サブ集団/WBC;白血球部分集団/白血球</v>
      </c>
      <c r="H2990" s="3" t="str">
        <f ca="1">IFERROR(__xludf.DUMMYFUNCTION("googletranslate(E2990,""en"",""ja"")"),"生物学的標本中の全白血球に対する白血球の部分集団の相対測定値 (比率またはパーセンテージ)。")</f>
        <v>生物学的標本中の全白血球に対する白血球の部分集団の相対測定値 (比率またはパーセンテージ)。</v>
      </c>
      <c r="I2990" s="3" t="str">
        <f ca="1">IFERROR(__xludf.DUMMYFUNCTION("googletranslate(F2990,""en"",""ja"")"),"白血球サブ集団対白血球比の測定")</f>
        <v>白血球サブ集団対白血球比の測定</v>
      </c>
    </row>
    <row r="2991" spans="1:9" ht="30">
      <c r="A2991" s="3" t="s">
        <v>210</v>
      </c>
      <c r="B2991" s="3" t="s">
        <v>12357</v>
      </c>
      <c r="C2991" s="3" t="s">
        <v>12358</v>
      </c>
      <c r="D2991" s="3" t="s">
        <v>12358</v>
      </c>
      <c r="E2991" s="3" t="s">
        <v>12359</v>
      </c>
      <c r="F2991" s="3" t="s">
        <v>12358</v>
      </c>
      <c r="G2991" s="3" t="str">
        <f ca="1">IFERROR(__xludf.DUMMYFUNCTION("googletranslate(D2991,""en"",""ja"")"),"病変の血行再建指標")</f>
        <v>病変の血行再建指標</v>
      </c>
      <c r="H2991" s="3" t="str">
        <f ca="1">IFERROR(__xludf.DUMMYFUNCTION("googletranslate(E2991,""en"",""ja"")"),"病変の血行再建が繰り返されたかどうかに関する指標。")</f>
        <v>病変の血行再建が繰り返されたかどうかに関する指標。</v>
      </c>
      <c r="I2991" s="3" t="str">
        <f ca="1">IFERROR(__xludf.DUMMYFUNCTION("googletranslate(F2991,""en"",""ja"")"),"病変の血行再建指標")</f>
        <v>病変の血行再建指標</v>
      </c>
    </row>
    <row r="2992" spans="1:9" ht="30">
      <c r="A2992" s="3" t="s">
        <v>210</v>
      </c>
      <c r="B2992" s="3" t="s">
        <v>12360</v>
      </c>
      <c r="C2992" s="3" t="s">
        <v>12361</v>
      </c>
      <c r="D2992" s="3" t="s">
        <v>12361</v>
      </c>
      <c r="E2992" s="3" t="s">
        <v>12362</v>
      </c>
      <c r="F2992" s="3" t="s">
        <v>12361</v>
      </c>
      <c r="G2992" s="3" t="str">
        <f ca="1">IFERROR(__xludf.DUMMYFUNCTION("googletranslate(D2992,""en"",""ja"")"),"病変成功インジケーター")</f>
        <v>病変成功インジケーター</v>
      </c>
      <c r="H2992" s="3" t="str">
        <f ca="1">IFERROR(__xludf.DUMMYFUNCTION("googletranslate(E2992,""en"",""ja"")"),"標的病変に対して実行された処置が成功したとみなされるかどうかに関する指標。")</f>
        <v>標的病変に対して実行された処置が成功したとみなされるかどうかに関する指標。</v>
      </c>
      <c r="I2992" s="3" t="str">
        <f ca="1">IFERROR(__xludf.DUMMYFUNCTION("googletranslate(F2992,""en"",""ja"")"),"病変成功インジケーター")</f>
        <v>病変成功インジケーター</v>
      </c>
    </row>
    <row r="2993" spans="1:9" ht="45">
      <c r="A2993" s="3" t="s">
        <v>210</v>
      </c>
      <c r="B2993" s="3" t="s">
        <v>12363</v>
      </c>
      <c r="C2993" s="3" t="s">
        <v>12364</v>
      </c>
      <c r="D2993" s="3" t="s">
        <v>12364</v>
      </c>
      <c r="E2993" s="3" t="s">
        <v>12365</v>
      </c>
      <c r="F2993" s="3" t="s">
        <v>12366</v>
      </c>
      <c r="G2993" s="3" t="str">
        <f ca="1">IFERROR(__xludf.DUMMYFUNCTION("googletranslate(D2993,""en"",""ja"")"),"病変の拡大の重症度/強度")</f>
        <v>病変の拡大の重症度/強度</v>
      </c>
      <c r="H2993" s="3" t="str">
        <f ca="1">IFERROR(__xludf.DUMMYFUNCTION("googletranslate(E2993,""en"",""ja"")"),"剥がれ落ちた死んだ皮膚と、病変の角質層のケラチンの増加を伴う病変の重症度の評価。")</f>
        <v>剥がれ落ちた死んだ皮膚と、病変の角質層のケラチンの増加を伴う病変の重症度の評価。</v>
      </c>
      <c r="I2993" s="3" t="str">
        <f ca="1">IFERROR(__xludf.DUMMYFUNCTION("googletranslate(F2993,""en"",""ja"")"),"鱗屑性病変の重症度")</f>
        <v>鱗屑性病変の重症度</v>
      </c>
    </row>
    <row r="2994" spans="1:9" ht="30">
      <c r="A2994" s="3" t="s">
        <v>210</v>
      </c>
      <c r="B2994" s="3" t="s">
        <v>12367</v>
      </c>
      <c r="C2994" s="3" t="s">
        <v>12368</v>
      </c>
      <c r="D2994" s="3" t="s">
        <v>12368</v>
      </c>
      <c r="E2994" s="3" t="s">
        <v>12369</v>
      </c>
      <c r="F2994" s="3" t="s">
        <v>12368</v>
      </c>
      <c r="G2994" s="3" t="str">
        <f ca="1">IFERROR(__xludf.DUMMYFUNCTION("googletranslate(D2994,""en"",""ja"")"),"病変の厚さ")</f>
        <v>病変の厚さ</v>
      </c>
      <c r="H2994" s="3" t="str">
        <f ca="1">IFERROR(__xludf.DUMMYFUNCTION("googletranslate(E2994,""en"",""ja"")"),"病変の 2 つの対向する表面の間の距離の測定値。")</f>
        <v>病変の 2 つの対向する表面の間の距離の測定値。</v>
      </c>
      <c r="I2994" s="3" t="str">
        <f ca="1">IFERROR(__xludf.DUMMYFUNCTION("googletranslate(F2994,""en"",""ja"")"),"病変の厚さ")</f>
        <v>病変の厚さ</v>
      </c>
    </row>
    <row r="2995" spans="1:9">
      <c r="A2995" s="3" t="s">
        <v>6</v>
      </c>
      <c r="B2995" s="3" t="s">
        <v>12370</v>
      </c>
      <c r="C2995" s="3" t="s">
        <v>12371</v>
      </c>
      <c r="D2995" s="3" t="s">
        <v>12371</v>
      </c>
      <c r="E2995" s="3" t="s">
        <v>12372</v>
      </c>
      <c r="F2995" s="3" t="s">
        <v>12373</v>
      </c>
      <c r="G2995" s="3" t="str">
        <f ca="1">IFERROR(__xludf.DUMMYFUNCTION("googletranslate(D2995,""en"",""ja"")"),"ロイシン")</f>
        <v>ロイシン</v>
      </c>
      <c r="H2995" s="3" t="str">
        <f ca="1">IFERROR(__xludf.DUMMYFUNCTION("googletranslate(E2995,""en"",""ja"")"),"生物学的標本中のロイシンの測定。")</f>
        <v>生物学的標本中のロイシンの測定。</v>
      </c>
      <c r="I2995" s="3" t="str">
        <f ca="1">IFERROR(__xludf.DUMMYFUNCTION("googletranslate(F2995,""en"",""ja"")"),"ロイシン測定")</f>
        <v>ロイシン測定</v>
      </c>
    </row>
    <row r="2996" spans="1:9" ht="30">
      <c r="A2996" s="3" t="s">
        <v>6</v>
      </c>
      <c r="B2996" s="3" t="s">
        <v>12374</v>
      </c>
      <c r="C2996" s="3" t="s">
        <v>12375</v>
      </c>
      <c r="D2996" s="3" t="s">
        <v>12375</v>
      </c>
      <c r="E2996" s="3" t="s">
        <v>12376</v>
      </c>
      <c r="F2996" s="3" t="s">
        <v>12377</v>
      </c>
      <c r="G2996" s="3" t="str">
        <f ca="1">IFERROR(__xludf.DUMMYFUNCTION("googletranslate(D2996,""en"",""ja"")"),"白血球エステラーゼ")</f>
        <v>白血球エステラーゼ</v>
      </c>
      <c r="H2996" s="3" t="str">
        <f ca="1">IFERROR(__xludf.DUMMYFUNCTION("googletranslate(E2996,""en"",""ja"")"),"生物学的標本中の白血球の存在を示す酵素の測定。")</f>
        <v>生物学的標本中の白血球の存在を示す酵素の測定。</v>
      </c>
      <c r="I2996" s="3" t="str">
        <f ca="1">IFERROR(__xludf.DUMMYFUNCTION("googletranslate(F2996,""en"",""ja"")"),"白血球エステラーゼ測定")</f>
        <v>白血球エステラーゼ測定</v>
      </c>
    </row>
    <row r="2997" spans="1:9" ht="30">
      <c r="A2997" s="3" t="s">
        <v>6</v>
      </c>
      <c r="B2997" s="3" t="s">
        <v>12378</v>
      </c>
      <c r="C2997" s="3" t="s">
        <v>12379</v>
      </c>
      <c r="D2997" s="3" t="s">
        <v>12380</v>
      </c>
      <c r="E2997" s="3" t="s">
        <v>12381</v>
      </c>
      <c r="F2997" s="3" t="s">
        <v>12382</v>
      </c>
      <c r="G2997" s="3" t="str">
        <f ca="1">IFERROR(__xludf.DUMMYFUNCTION("googletranslate(D2997,""en"",""ja"")"),"白血病細胞;残存白血病細胞")</f>
        <v>白血病細胞;残存白血病細胞</v>
      </c>
      <c r="H2997" s="3" t="str">
        <f ca="1">IFERROR(__xludf.DUMMYFUNCTION("googletranslate(E2997,""en"",""ja"")"),"生物学的標本中の白血病細胞の測定。")</f>
        <v>生物学的標本中の白血病細胞の測定。</v>
      </c>
      <c r="I2997" s="3" t="str">
        <f ca="1">IFERROR(__xludf.DUMMYFUNCTION("googletranslate(F2997,""en"",""ja"")"),"白血病細胞の測定")</f>
        <v>白血病細胞の測定</v>
      </c>
    </row>
    <row r="2998" spans="1:9" ht="45">
      <c r="A2998" s="3" t="s">
        <v>6</v>
      </c>
      <c r="B2998" s="3" t="s">
        <v>12383</v>
      </c>
      <c r="C2998" s="3" t="s">
        <v>12384</v>
      </c>
      <c r="D2998" s="3" t="s">
        <v>12385</v>
      </c>
      <c r="E2998" s="3" t="s">
        <v>12386</v>
      </c>
      <c r="F2998" s="3" t="s">
        <v>12387</v>
      </c>
      <c r="G2998" s="3" t="str">
        <f ca="1">IFERROR(__xludf.DUMMYFUNCTION("googletranslate(D2998,""en"",""ja"")"),"有核赤血球について補正された白血球。赤核核を補正した白血球")</f>
        <v>有核赤血球について補正された白血球。赤核核を補正した白血球</v>
      </c>
      <c r="H2998" s="3" t="str">
        <f ca="1">IFERROR(__xludf.DUMMYFUNCTION("googletranslate(E2998,""en"",""ja"")"),"生物学的標本の有核赤血球を補正した白血球の測定値。")</f>
        <v>生物学的標本の有核赤血球を補正した白血球の測定値。</v>
      </c>
      <c r="I2998" s="3" t="str">
        <f ca="1">IFERROR(__xludf.DUMMYFUNCTION("googletranslate(F2998,""en"",""ja"")"),"有核赤血球数を補正した白血球")</f>
        <v>有核赤血球数を補正した白血球</v>
      </c>
    </row>
    <row r="2999" spans="1:9" ht="60">
      <c r="A2999" s="3" t="s">
        <v>103</v>
      </c>
      <c r="B2999" s="3" t="s">
        <v>12388</v>
      </c>
      <c r="C2999" s="3" t="s">
        <v>12389</v>
      </c>
      <c r="D2999" s="3" t="s">
        <v>12390</v>
      </c>
      <c r="E2999" s="3" t="s">
        <v>12391</v>
      </c>
      <c r="F2999" s="3" t="s">
        <v>12392</v>
      </c>
      <c r="G2999" s="3" t="str">
        <f ca="1">IFERROR(__xludf.DUMMYFUNCTION("googletranslate(D2999,""en"",""ja"")"),"白血球/生細胞;白血球/生細胞;生白血球/生細胞;生存白血球/生細胞")</f>
        <v>白血球/生細胞;白血球/生細胞;生白血球/生細胞;生存白血球/生細胞</v>
      </c>
      <c r="H2999" s="3" t="str">
        <f ca="1">IFERROR(__xludf.DUMMYFUNCTION("googletranslate(E2999,""en"",""ja"")"),"生物学的標本中の全生細胞に対する白血球の相対測定値 (比率)。")</f>
        <v>生物学的標本中の全生細胞に対する白血球の相対測定値 (比率)。</v>
      </c>
      <c r="I2999" s="3" t="str">
        <f ca="1">IFERROR(__xludf.DUMMYFUNCTION("googletranslate(F2999,""en"",""ja"")"),"白血球対生細胞比の測定")</f>
        <v>白血球対生細胞比の測定</v>
      </c>
    </row>
    <row r="3000" spans="1:9" ht="30">
      <c r="A3000" s="3" t="s">
        <v>103</v>
      </c>
      <c r="B3000" s="3" t="s">
        <v>12393</v>
      </c>
      <c r="C3000" s="3" t="s">
        <v>12394</v>
      </c>
      <c r="D3000" s="3" t="s">
        <v>12395</v>
      </c>
      <c r="E3000" s="3" t="s">
        <v>12396</v>
      </c>
      <c r="F3000" s="3" t="s">
        <v>12397</v>
      </c>
      <c r="G3000" s="3" t="str">
        <f ca="1">IFERROR(__xludf.DUMMYFUNCTION("googletranslate(D3000,""en"",""ja"")"),"Leuk Viable/Leuk;生存可能な白血球/白血球")</f>
        <v>Leuk Viable/Leuk;生存可能な白血球/白血球</v>
      </c>
      <c r="H3000" s="3" t="str">
        <f ca="1">IFERROR(__xludf.DUMMYFUNCTION("googletranslate(E3000,""en"",""ja"")"),"生物学的標本中の総白血球に対する生存白血球の相対測定値 (比率)。")</f>
        <v>生物学的標本中の総白血球に対する生存白血球の相対測定値 (比率)。</v>
      </c>
      <c r="I3000" s="3" t="str">
        <f ca="1">IFERROR(__xludf.DUMMYFUNCTION("googletranslate(F3000,""en"",""ja"")"),"生存白血球対白血球比の測定")</f>
        <v>生存白血球対白血球比の測定</v>
      </c>
    </row>
    <row r="3001" spans="1:9" ht="45">
      <c r="A3001" s="3" t="s">
        <v>103</v>
      </c>
      <c r="B3001" s="3" t="s">
        <v>12398</v>
      </c>
      <c r="C3001" s="3" t="s">
        <v>12399</v>
      </c>
      <c r="D3001" s="3" t="s">
        <v>12400</v>
      </c>
      <c r="E3001" s="3" t="s">
        <v>12401</v>
      </c>
      <c r="F3001" s="3" t="s">
        <v>12402</v>
      </c>
      <c r="G3001" s="3" t="str">
        <f ca="1">IFERROR(__xludf.DUMMYFUNCTION("googletranslate(D3001,""en"",""ja"")"),"Leuk Viable / Leuk NonViable;生存白血球/非生存白血球")</f>
        <v>Leuk Viable / Leuk NonViable;生存白血球/非生存白血球</v>
      </c>
      <c r="H3001" s="3" t="str">
        <f ca="1">IFERROR(__xludf.DUMMYFUNCTION("googletranslate(E3001,""en"",""ja"")"),"生物学的標本中の生存白血球と非生存白血球の相対測定値 (比)。")</f>
        <v>生物学的標本中の生存白血球と非生存白血球の相対測定値 (比)。</v>
      </c>
      <c r="I3001" s="3" t="str">
        <f ca="1">IFERROR(__xludf.DUMMYFUNCTION("googletranslate(F3001,""en"",""ja"")"),"生存白血球と非生存白血球の比率の測定")</f>
        <v>生存白血球と非生存白血球の比率の測定</v>
      </c>
    </row>
    <row r="3002" spans="1:9" ht="75">
      <c r="A3002" s="3" t="s">
        <v>81</v>
      </c>
      <c r="B3002" s="3" t="s">
        <v>12403</v>
      </c>
      <c r="C3002" s="3" t="s">
        <v>12404</v>
      </c>
      <c r="D3002" s="3" t="s">
        <v>12404</v>
      </c>
      <c r="E3002" s="3" t="s">
        <v>12405</v>
      </c>
      <c r="F3002" s="3" t="s">
        <v>12404</v>
      </c>
      <c r="G3002" s="3" t="str">
        <f ca="1">IFERROR(__xludf.DUMMYFUNCTION("googletranslate(D3002,""en"",""ja"")"),"後期ガドリニウム強化")</f>
        <v>後期ガドリニウム強化</v>
      </c>
      <c r="H3002" s="3" t="str">
        <f ca="1">IFERROR(__xludf.DUMMYFUNCTION("googletranslate(E3002,""en"",""ja"")"),"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f>
        <v>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v>
      </c>
      <c r="I3002" s="3" t="str">
        <f ca="1">IFERROR(__xludf.DUMMYFUNCTION("googletranslate(F3002,""en"",""ja"")"),"後期ガドリニウム強化")</f>
        <v>後期ガドリニウム強化</v>
      </c>
    </row>
    <row r="3003" spans="1:9" ht="30">
      <c r="A3003" s="3" t="s">
        <v>81</v>
      </c>
      <c r="B3003" s="3" t="s">
        <v>12406</v>
      </c>
      <c r="C3003" s="3" t="s">
        <v>12407</v>
      </c>
      <c r="D3003" s="3" t="s">
        <v>12407</v>
      </c>
      <c r="E3003" s="3" t="s">
        <v>12408</v>
      </c>
      <c r="F3003" s="3" t="s">
        <v>12407</v>
      </c>
      <c r="G3003" s="3" t="str">
        <f ca="1">IFERROR(__xludf.DUMMYFUNCTION("googletranslate(D3003,""en"",""ja"")"),"後期ガドリニウム強化率")</f>
        <v>後期ガドリニウム強化率</v>
      </c>
      <c r="H3003" s="3" t="str">
        <f ca="1">IFERROR(__xludf.DUMMYFUNCTION("googletranslate(E3003,""en"",""ja"")"),"後期ガドリニウム増強の特徴を示す領域の割合。")</f>
        <v>後期ガドリニウム増強の特徴を示す領域の割合。</v>
      </c>
      <c r="I3003" s="3" t="str">
        <f ca="1">IFERROR(__xludf.DUMMYFUNCTION("googletranslate(F3003,""en"",""ja"")"),"後期ガドリニウム強化率")</f>
        <v>後期ガドリニウム強化率</v>
      </c>
    </row>
    <row r="3004" spans="1:9" ht="45">
      <c r="A3004" s="3" t="s">
        <v>81</v>
      </c>
      <c r="B3004" s="3" t="s">
        <v>12409</v>
      </c>
      <c r="C3004" s="3" t="s">
        <v>12410</v>
      </c>
      <c r="D3004" s="3" t="s">
        <v>12411</v>
      </c>
      <c r="E3004" s="3" t="s">
        <v>12412</v>
      </c>
      <c r="F3004" s="3" t="s">
        <v>12413</v>
      </c>
      <c r="G3004" s="3" t="str">
        <f ca="1">IFERROR(__xludf.DUMMYFUNCTION("googletranslate(D3004,""en"",""ja"")"),"後期ガドリニウム強化セグメント数。後期ガドリニウム増強セグメントCT")</f>
        <v>後期ガドリニウム強化セグメント数。後期ガドリニウム増強セグメントCT</v>
      </c>
      <c r="H3004" s="3" t="str">
        <f ca="1">IFERROR(__xludf.DUMMYFUNCTION("googletranslate(E3004,""en"",""ja"")"),"後期ガドリニウム強化の特性を示すセグメントの数。")</f>
        <v>後期ガドリニウム強化の特性を示すセグメントの数。</v>
      </c>
      <c r="I3004" s="3" t="str">
        <f ca="1">IFERROR(__xludf.DUMMYFUNCTION("googletranslate(F3004,""en"",""ja"")"),"後期ガドリニウム強化セグメント数")</f>
        <v>後期ガドリニウム強化セグメント数</v>
      </c>
    </row>
    <row r="3005" spans="1:9" ht="30">
      <c r="A3005" s="3" t="s">
        <v>1557</v>
      </c>
      <c r="B3005" s="3" t="s">
        <v>12414</v>
      </c>
      <c r="C3005" s="3" t="s">
        <v>12415</v>
      </c>
      <c r="D3005" s="3" t="s">
        <v>12415</v>
      </c>
      <c r="E3005" s="3" t="s">
        <v>12416</v>
      </c>
      <c r="F3005" s="3" t="s">
        <v>12415</v>
      </c>
      <c r="G3005" s="3" t="str">
        <f ca="1">IFERROR(__xludf.DUMMYFUNCTION("googletranslate(D3005,""en"",""ja"")"),"光知覚インジケーター")</f>
        <v>光知覚インジケーター</v>
      </c>
      <c r="H3005" s="3" t="str">
        <f ca="1">IFERROR(__xludf.DUMMYFUNCTION("googletranslate(E3005,""en"",""ja"")"),"被験者が目の前に置かれた光源からの光を知覚できるかどうかを示す指標。")</f>
        <v>被験者が目の前に置かれた光源からの光を知覚できるかどうかを示す指標。</v>
      </c>
      <c r="I3005" s="3" t="str">
        <f ca="1">IFERROR(__xludf.DUMMYFUNCTION("googletranslate(F3005,""en"",""ja"")"),"光知覚インジケーター")</f>
        <v>光知覚インジケーター</v>
      </c>
    </row>
    <row r="3006" spans="1:9" ht="30">
      <c r="A3006" s="3" t="s">
        <v>6</v>
      </c>
      <c r="B3006" s="3" t="s">
        <v>12417</v>
      </c>
      <c r="C3006" s="3" t="s">
        <v>12418</v>
      </c>
      <c r="D3006" s="3" t="s">
        <v>12418</v>
      </c>
      <c r="E3006" s="3" t="s">
        <v>12419</v>
      </c>
      <c r="F3006" s="3" t="s">
        <v>12420</v>
      </c>
      <c r="G3006" s="3" t="str">
        <f ca="1">IFERROR(__xludf.DUMMYFUNCTION("googletranslate(D3006,""en"",""ja"")"),"大きな未染色細胞/白血球")</f>
        <v>大きな未染色細胞/白血球</v>
      </c>
      <c r="H3006" s="3" t="str">
        <f ca="1">IFERROR(__xludf.DUMMYFUNCTION("googletranslate(E3006,""en"",""ja"")"),"生物学的標本中の白血球に対する大きな未染色細胞の相対的な尺度 (比率またはパーセンテージ)。")</f>
        <v>生物学的標本中の白血球に対する大きな未染色細胞の相対的な尺度 (比率またはパーセンテージ)。</v>
      </c>
      <c r="I3006" s="3" t="str">
        <f ca="1">IFERROR(__xludf.DUMMYFUNCTION("googletranslate(F3006,""en"",""ja"")"),"大きな未染色細胞と白血球の比率の測定")</f>
        <v>大きな未染色細胞と白血球の比率の測定</v>
      </c>
    </row>
    <row r="3007" spans="1:9" ht="30">
      <c r="A3007" s="3" t="s">
        <v>81</v>
      </c>
      <c r="B3007" s="3" t="s">
        <v>12421</v>
      </c>
      <c r="C3007" s="3" t="s">
        <v>12422</v>
      </c>
      <c r="D3007" s="3" t="s">
        <v>12423</v>
      </c>
      <c r="E3007" s="3" t="s">
        <v>12424</v>
      </c>
      <c r="F3007" s="3" t="s">
        <v>12425</v>
      </c>
      <c r="G3007" s="3" t="str">
        <f ca="1">IFERROR(__xludf.DUMMYFUNCTION("googletranslate(D3007,""en"",""ja"")"),"最大クロス秒厚さ。最大断面厚さ")</f>
        <v>最大クロス秒厚さ。最大断面厚さ</v>
      </c>
      <c r="H3007" s="3" t="str">
        <f ca="1">IFERROR(__xludf.DUMMYFUNCTION("googletranslate(E3007,""en"",""ja"")"),"組織の最大断面厚さの評価。")</f>
        <v>組織の最大断面厚さの評価。</v>
      </c>
      <c r="I3007" s="3" t="str">
        <f ca="1">IFERROR(__xludf.DUMMYFUNCTION("googletranslate(F3007,""en"",""ja"")"),"最大断面厚さ")</f>
        <v>最大断面厚さ</v>
      </c>
    </row>
    <row r="3008" spans="1:9" ht="60">
      <c r="A3008" s="3" t="s">
        <v>6</v>
      </c>
      <c r="B3008" s="3" t="s">
        <v>12426</v>
      </c>
      <c r="C3008" s="3" t="s">
        <v>12427</v>
      </c>
      <c r="D3008" s="3" t="s">
        <v>12427</v>
      </c>
      <c r="E3008" s="3" t="s">
        <v>12428</v>
      </c>
      <c r="F3008" s="3" t="s">
        <v>12429</v>
      </c>
      <c r="G3008" s="3" t="str">
        <f ca="1">IFERROR(__xludf.DUMMYFUNCTION("googletranslate(D3008,""en"",""ja"")"),"大きな未染色細胞")</f>
        <v>大きな未染色細胞</v>
      </c>
      <c r="H3008" s="3" t="str">
        <f ca="1">IFERROR(__xludf.DUMMYFUNCTION("googletranslate(E3008,""en"",""ja"")"),"生物学的標本中に存在する、それ以上特徴づけることができない（すなわち、大型のリンパ球、ウイルス細胞、または幹細胞として）ペルオキシダーゼ陰性の大型細胞の測定値。")</f>
        <v>生物学的標本中に存在する、それ以上特徴づけることができない（すなわち、大型のリンパ球、ウイルス細胞、または幹細胞として）ペルオキシダーゼ陰性の大型細胞の測定値。</v>
      </c>
      <c r="I3008" s="3" t="str">
        <f ca="1">IFERROR(__xludf.DUMMYFUNCTION("googletranslate(F3008,""en"",""ja"")"),"染色されていない細胞数が多い")</f>
        <v>染色されていない細胞数が多い</v>
      </c>
    </row>
    <row r="3009" spans="1:9" ht="30">
      <c r="A3009" s="3" t="s">
        <v>6</v>
      </c>
      <c r="B3009" s="3" t="s">
        <v>12430</v>
      </c>
      <c r="C3009" s="3" t="s">
        <v>12431</v>
      </c>
      <c r="D3009" s="3" t="s">
        <v>12432</v>
      </c>
      <c r="E3009" s="3" t="s">
        <v>12433</v>
      </c>
      <c r="F3009" s="3" t="s">
        <v>12434</v>
      </c>
      <c r="G3009" s="3" t="str">
        <f ca="1">IFERROR(__xludf.DUMMYFUNCTION("googletranslate(D3009,""en"",""ja"")"),"黄体形成ホルモン;ルトロピン")</f>
        <v>黄体形成ホルモン;ルトロピン</v>
      </c>
      <c r="H3009" s="3" t="str">
        <f ca="1">IFERROR(__xludf.DUMMYFUNCTION("googletranslate(E3009,""en"",""ja"")"),"生物学的標本中の黄体形成ホルモンの測定。")</f>
        <v>生物学的標本中の黄体形成ホルモンの測定。</v>
      </c>
      <c r="I3009" s="3" t="str">
        <f ca="1">IFERROR(__xludf.DUMMYFUNCTION("googletranslate(F3009,""en"",""ja"")"),"黄体形成ホルモンの測定")</f>
        <v>黄体形成ホルモンの測定</v>
      </c>
    </row>
    <row r="3010" spans="1:9" ht="30">
      <c r="A3010" s="3" t="s">
        <v>6</v>
      </c>
      <c r="B3010" s="3" t="s">
        <v>12435</v>
      </c>
      <c r="C3010" s="3" t="s">
        <v>12436</v>
      </c>
      <c r="D3010" s="3" t="s">
        <v>12436</v>
      </c>
      <c r="E3010" s="3" t="s">
        <v>12437</v>
      </c>
      <c r="F3010" s="3" t="s">
        <v>12438</v>
      </c>
      <c r="G3010" s="3" t="str">
        <f ca="1">IFERROR(__xludf.DUMMYFUNCTION("googletranslate(D3010,""en"",""ja"")"),"白血病抑制因子")</f>
        <v>白血病抑制因子</v>
      </c>
      <c r="H3010" s="3" t="str">
        <f ca="1">IFERROR(__xludf.DUMMYFUNCTION("googletranslate(E3010,""en"",""ja"")"),"生物学的検体中の白血病抑制因子の測定。")</f>
        <v>生物学的検体中の白血病抑制因子の測定。</v>
      </c>
      <c r="I3010" s="3" t="str">
        <f ca="1">IFERROR(__xludf.DUMMYFUNCTION("googletranslate(F3010,""en"",""ja"")"),"白血病抑制因子の測定")</f>
        <v>白血病抑制因子の測定</v>
      </c>
    </row>
    <row r="3011" spans="1:9" ht="30">
      <c r="A3011" s="3" t="s">
        <v>6</v>
      </c>
      <c r="B3011" s="3" t="s">
        <v>12439</v>
      </c>
      <c r="C3011" s="3" t="s">
        <v>12440</v>
      </c>
      <c r="D3011" s="3" t="s">
        <v>12441</v>
      </c>
      <c r="E3011" s="3" t="s">
        <v>12442</v>
      </c>
      <c r="F3011" s="3" t="s">
        <v>12443</v>
      </c>
      <c r="G3011" s="3" t="str">
        <f ca="1">IFERROR(__xludf.DUMMYFUNCTION("googletranslate(D3011,""en"",""ja"")"),"胃トリアシルグリセロールリパーゼ;リパーゼ、胃;リップフ")</f>
        <v>胃トリアシルグリセロールリパーゼ;リパーゼ、胃;リップフ</v>
      </c>
      <c r="H3011" s="3" t="str">
        <f ca="1">IFERROR(__xludf.DUMMYFUNCTION("googletranslate(E3011,""en"",""ja"")"),"生物学的検体中の胃トリアシルグリセロールリパーゼの測定。")</f>
        <v>生物学的検体中の胃トリアシルグリセロールリパーゼの測定。</v>
      </c>
      <c r="I3011" s="3" t="str">
        <f ca="1">IFERROR(__xludf.DUMMYFUNCTION("googletranslate(F3011,""en"",""ja"")"),"胃リパーゼ測定")</f>
        <v>胃リパーゼ測定</v>
      </c>
    </row>
    <row r="3012" spans="1:9" ht="45">
      <c r="A3012" s="3" t="s">
        <v>6</v>
      </c>
      <c r="B3012" s="3" t="s">
        <v>12444</v>
      </c>
      <c r="C3012" s="3" t="s">
        <v>12445</v>
      </c>
      <c r="D3012" s="3" t="s">
        <v>12446</v>
      </c>
      <c r="E3012" s="3" t="s">
        <v>12447</v>
      </c>
      <c r="F3012" s="3" t="s">
        <v>12448</v>
      </c>
      <c r="G3012" s="3" t="str">
        <f ca="1">IFERROR(__xludf.DUMMYFUNCTION("googletranslate(D3012,""en"",""ja"")"),"肝臓トリアシルグリセロールリパーゼ;リパーゼ、肝臓;リップ")</f>
        <v>肝臓トリアシルグリセロールリパーゼ;リパーゼ、肝臓;リップ</v>
      </c>
      <c r="H3012" s="3" t="str">
        <f ca="1">IFERROR(__xludf.DUMMYFUNCTION("googletranslate(E3012,""en"",""ja"")"),"生体試料中の肝臓トリアシルグリセロールリパーゼの測定。")</f>
        <v>生体試料中の肝臓トリアシルグリセロールリパーゼの測定。</v>
      </c>
      <c r="I3012" s="3" t="str">
        <f ca="1">IFERROR(__xludf.DUMMYFUNCTION("googletranslate(F3012,""en"",""ja"")"),"肝トリアシルグリセロールリパーゼの測定")</f>
        <v>肝トリアシルグリセロールリパーゼの測定</v>
      </c>
    </row>
    <row r="3013" spans="1:9" ht="30">
      <c r="A3013" s="3" t="s">
        <v>6</v>
      </c>
      <c r="B3013" s="3" t="s">
        <v>12449</v>
      </c>
      <c r="C3013" s="3" t="s">
        <v>12450</v>
      </c>
      <c r="D3013" s="3" t="s">
        <v>12451</v>
      </c>
      <c r="E3013" s="3" t="s">
        <v>12452</v>
      </c>
      <c r="F3013" s="3" t="s">
        <v>12453</v>
      </c>
      <c r="G3013" s="3" t="str">
        <f ca="1">IFERROR(__xludf.DUMMYFUNCTION("googletranslate(D3013,""en"",""ja"")"),"リパーゼ、膵臓;膵臓トリアシルグリセロールリパーゼ; PNLIP")</f>
        <v>リパーゼ、膵臓;膵臓トリアシルグリセロールリパーゼ; PNLIP</v>
      </c>
      <c r="H3013" s="3" t="str">
        <f ca="1">IFERROR(__xludf.DUMMYFUNCTION("googletranslate(E3013,""en"",""ja"")"),"生物学的標本中の膵臓トリアシルグリセロールリパーゼの測定。")</f>
        <v>生物学的標本中の膵臓トリアシルグリセロールリパーゼの測定。</v>
      </c>
      <c r="I3013" s="3" t="str">
        <f ca="1">IFERROR(__xludf.DUMMYFUNCTION("googletranslate(F3013,""en"",""ja"")"),"膵リパーゼの測定")</f>
        <v>膵リパーゼの測定</v>
      </c>
    </row>
    <row r="3014" spans="1:9" ht="30">
      <c r="A3014" s="3" t="s">
        <v>6</v>
      </c>
      <c r="B3014" s="3" t="s">
        <v>12454</v>
      </c>
      <c r="C3014" s="3" t="s">
        <v>12455</v>
      </c>
      <c r="D3014" s="3" t="s">
        <v>12456</v>
      </c>
      <c r="E3014" s="3" t="s">
        <v>12457</v>
      </c>
      <c r="F3014" s="3" t="s">
        <v>12458</v>
      </c>
      <c r="G3014" s="3" t="str">
        <f ca="1">IFERROR(__xludf.DUMMYFUNCTION("googletranslate(D3014,""en"",""ja"")"),"リパーゼ;総リパーゼ;トリアシルグリセロールリパーゼ")</f>
        <v>リパーゼ;総リパーゼ;トリアシルグリセロールリパーゼ</v>
      </c>
      <c r="H3014" s="3" t="str">
        <f ca="1">IFERROR(__xludf.DUMMYFUNCTION("googletranslate(E3014,""en"",""ja"")"),"生物学的標本中の総トリアシルグリセロールリパーゼの測定。")</f>
        <v>生物学的標本中の総トリアシルグリセロールリパーゼの測定。</v>
      </c>
      <c r="I3014" s="3" t="str">
        <f ca="1">IFERROR(__xludf.DUMMYFUNCTION("googletranslate(F3014,""en"",""ja"")"),"リパーゼ測定")</f>
        <v>リパーゼ測定</v>
      </c>
    </row>
    <row r="3015" spans="1:9" ht="60">
      <c r="A3015" s="3" t="s">
        <v>6</v>
      </c>
      <c r="B3015" s="3" t="s">
        <v>12459</v>
      </c>
      <c r="C3015" s="3" t="s">
        <v>12460</v>
      </c>
      <c r="D3015" s="3" t="s">
        <v>12461</v>
      </c>
      <c r="E3015" s="3" t="s">
        <v>12462</v>
      </c>
      <c r="F3015" s="3" t="s">
        <v>12463</v>
      </c>
      <c r="G3015" s="3" t="str">
        <f ca="1">IFERROR(__xludf.DUMMYFUNCTION("googletranslate(D3015,""en"",""ja"")"),"酸コレステリルエステル加水分解酵素;ラル;リパ;リパーゼ、リソソーム酸;リソソームリパーゼ")</f>
        <v>酸コレステリルエステル加水分解酵素;ラル;リパ;リパーゼ、リソソーム酸;リソソームリパーゼ</v>
      </c>
      <c r="H3015" s="3" t="str">
        <f ca="1">IFERROR(__xludf.DUMMYFUNCTION("googletranslate(E3015,""en"",""ja"")"),"生物学的標本中のリソソーム酸性リパーゼの測定。")</f>
        <v>生物学的標本中のリソソーム酸性リパーゼの測定。</v>
      </c>
      <c r="I3015" s="3" t="str">
        <f ca="1">IFERROR(__xludf.DUMMYFUNCTION("googletranslate(F3015,""en"",""ja"")"),"リソソーム酸リパーゼの測定")</f>
        <v>リソソーム酸リパーゼの測定</v>
      </c>
    </row>
    <row r="3016" spans="1:9" ht="30">
      <c r="A3016" s="3" t="s">
        <v>6</v>
      </c>
      <c r="B3016" s="3" t="s">
        <v>12464</v>
      </c>
      <c r="C3016" s="3" t="s">
        <v>12465</v>
      </c>
      <c r="D3016" s="3" t="s">
        <v>12466</v>
      </c>
      <c r="E3016" s="3" t="s">
        <v>12467</v>
      </c>
      <c r="F3016" s="3" t="s">
        <v>12465</v>
      </c>
      <c r="G3016" s="3" t="str">
        <f ca="1">IFERROR(__xludf.DUMMYFUNCTION("googletranslate(D3016,""en"",""ja"")"),"脂血症;高脂血症指数")</f>
        <v>脂血症;高脂血症指数</v>
      </c>
      <c r="H3016" s="3" t="str">
        <f ca="1">IFERROR(__xludf.DUMMYFUNCTION("googletranslate(E3016,""en"",""ja"")"),"生物学的標本中の異常に高い脂質濃度の測定。")</f>
        <v>生物学的標本中の異常に高い脂質濃度の測定。</v>
      </c>
      <c r="I3016" s="3" t="str">
        <f ca="1">IFERROR(__xludf.DUMMYFUNCTION("googletranslate(F3016,""en"",""ja"")"),"高脂血症指数")</f>
        <v>高脂血症指数</v>
      </c>
    </row>
    <row r="3017" spans="1:9" ht="30">
      <c r="A3017" s="3" t="s">
        <v>6</v>
      </c>
      <c r="B3017" s="3" t="s">
        <v>12468</v>
      </c>
      <c r="C3017" s="3" t="s">
        <v>12469</v>
      </c>
      <c r="D3017" s="3" t="s">
        <v>12470</v>
      </c>
      <c r="E3017" s="3" t="s">
        <v>12471</v>
      </c>
      <c r="F3017" s="3" t="s">
        <v>12472</v>
      </c>
      <c r="G3017" s="3" t="str">
        <f ca="1">IFERROR(__xludf.DUMMYFUNCTION("googletranslate(D3017,""en"",""ja"")"),"脂質;総脂質")</f>
        <v>脂質;総脂質</v>
      </c>
      <c r="H3017" s="3" t="str">
        <f ca="1">IFERROR(__xludf.DUMMYFUNCTION("googletranslate(E3017,""en"",""ja"")"),"生物学的標本の総脂質 (コレステロール、リポタンパク質、トリグリセリド) の測定。")</f>
        <v>生物学的標本の総脂質 (コレステロール、リポタンパク質、トリグリセリド) の測定。</v>
      </c>
      <c r="I3017" s="3" t="str">
        <f ca="1">IFERROR(__xludf.DUMMYFUNCTION("googletranslate(F3017,""en"",""ja"")"),"脂質測定")</f>
        <v>脂質測定</v>
      </c>
    </row>
    <row r="3018" spans="1:9" ht="30">
      <c r="A3018" s="3" t="s">
        <v>6</v>
      </c>
      <c r="B3018" s="3" t="s">
        <v>12473</v>
      </c>
      <c r="C3018" s="3" t="s">
        <v>12474</v>
      </c>
      <c r="D3018" s="3" t="s">
        <v>12474</v>
      </c>
      <c r="E3018" s="3" t="s">
        <v>12475</v>
      </c>
      <c r="F3018" s="3" t="s">
        <v>12476</v>
      </c>
      <c r="G3018" s="3" t="str">
        <f ca="1">IFERROR(__xludf.DUMMYFUNCTION("googletranslate(D3018,""en"",""ja"")"),"液状化時間")</f>
        <v>液状化時間</v>
      </c>
      <c r="H3018" s="3" t="str">
        <f ca="1">IFERROR(__xludf.DUMMYFUNCTION("googletranslate(E3018,""en"",""ja"")"),"ゼラチン状または半固体の物質が液体に変化するまでにかかる時間の測定値。")</f>
        <v>ゼラチン状または半固体の物質が液体に変化するまでにかかる時間の測定値。</v>
      </c>
      <c r="I3018" s="3" t="str">
        <f ca="1">IFERROR(__xludf.DUMMYFUNCTION("googletranslate(F3018,""en"",""ja"")"),"液状化時間測定")</f>
        <v>液状化時間測定</v>
      </c>
    </row>
    <row r="3019" spans="1:9">
      <c r="A3019" s="3" t="s">
        <v>6</v>
      </c>
      <c r="B3019" s="3" t="s">
        <v>12477</v>
      </c>
      <c r="C3019" s="3" t="s">
        <v>12478</v>
      </c>
      <c r="D3019" s="3" t="s">
        <v>12478</v>
      </c>
      <c r="E3019" s="3" t="s">
        <v>12479</v>
      </c>
      <c r="F3019" s="3" t="s">
        <v>12480</v>
      </c>
      <c r="G3019" s="3" t="str">
        <f ca="1">IFERROR(__xludf.DUMMYFUNCTION("googletranslate(D3019,""en"",""ja"")"),"リチウム")</f>
        <v>リチウム</v>
      </c>
      <c r="H3019" s="3" t="str">
        <f ca="1">IFERROR(__xludf.DUMMYFUNCTION("googletranslate(E3019,""en"",""ja"")"),"生体試料中のリチウムの測定。")</f>
        <v>生体試料中のリチウムの測定。</v>
      </c>
      <c r="I3019" s="3" t="str">
        <f ca="1">IFERROR(__xludf.DUMMYFUNCTION("googletranslate(F3019,""en"",""ja"")"),"リチウムの測定")</f>
        <v>リチウムの測定</v>
      </c>
    </row>
    <row r="3020" spans="1:9" ht="45">
      <c r="A3020" s="3" t="s">
        <v>6</v>
      </c>
      <c r="B3020" s="3" t="s">
        <v>12481</v>
      </c>
      <c r="C3020" s="3" t="s">
        <v>12482</v>
      </c>
      <c r="D3020" s="3" t="s">
        <v>12483</v>
      </c>
      <c r="E3020" s="3" t="s">
        <v>12484</v>
      </c>
      <c r="F3020" s="3" t="s">
        <v>12485</v>
      </c>
      <c r="G3020" s="3" t="str">
        <f ca="1">IFERROR(__xludf.DUMMYFUNCTION("googletranslate(D3020,""en"",""ja"")"),"ベンス・ジョーンズ、ラムダ。ラムダライトチェーン、無料")</f>
        <v>ベンス・ジョーンズ、ラムダ。ラムダライトチェーン、無料</v>
      </c>
      <c r="H3020" s="3" t="str">
        <f ca="1">IFERROR(__xludf.DUMMYFUNCTION("googletranslate(E3020,""en"",""ja"")"),"生物学的標本中の遊離ラムダ軽鎖の測定。")</f>
        <v>生物学的標本中の遊離ラムダ軽鎖の測定。</v>
      </c>
      <c r="I3020" s="3" t="str">
        <f ca="1">IFERROR(__xludf.DUMMYFUNCTION("googletranslate(F3020,""en"",""ja"")"),"無料のラムダライトチェーン測定")</f>
        <v>無料のラムダライトチェーン測定</v>
      </c>
    </row>
    <row r="3021" spans="1:9" ht="45">
      <c r="A3021" s="3" t="s">
        <v>81</v>
      </c>
      <c r="B3021" s="3" t="s">
        <v>12486</v>
      </c>
      <c r="C3021" s="3" t="s">
        <v>12487</v>
      </c>
      <c r="D3021" s="3" t="s">
        <v>12487</v>
      </c>
      <c r="E3021" s="3" t="s">
        <v>12488</v>
      </c>
      <c r="F3021" s="3" t="s">
        <v>12489</v>
      </c>
      <c r="G3021" s="3" t="str">
        <f ca="1">IFERROR(__xludf.DUMMYFUNCTION("googletranslate(D3021,""en"",""ja"")"),"後期ルーメン損失")</f>
        <v>後期ルーメン損失</v>
      </c>
      <c r="H3021" s="3" t="str">
        <f ca="1">IFERROR(__xludf.DUMMYFUNCTION("googletranslate(E3021,""en"",""ja"")"),"インデックス処置の直後に評価された平均最小内腔直径（MLD）とフォローアップ血管造影時に評価されたMLDとの間の差。")</f>
        <v>インデックス処置の直後に評価された平均最小内腔直径（MLD）とフォローアップ血管造影時に評価されたMLDとの間の差。</v>
      </c>
      <c r="I3021" s="3" t="str">
        <f ca="1">IFERROR(__xludf.DUMMYFUNCTION("googletranslate(F3021,""en"",""ja"")"),"後期ルーメン損失測定")</f>
        <v>後期ルーメン損失測定</v>
      </c>
    </row>
    <row r="3022" spans="1:9" ht="30">
      <c r="A3022" s="3" t="s">
        <v>67</v>
      </c>
      <c r="B3022" s="3" t="s">
        <v>12490</v>
      </c>
      <c r="C3022" s="3" t="s">
        <v>12491</v>
      </c>
      <c r="D3022" s="3" t="s">
        <v>12491</v>
      </c>
      <c r="E3022" s="3" t="s">
        <v>12492</v>
      </c>
      <c r="F3022" s="3" t="s">
        <v>12493</v>
      </c>
      <c r="G3022" s="3" t="str">
        <f ca="1">IFERROR(__xludf.DUMMYFUNCTION("googletranslate(D3022,""en"",""ja"")"),"レジオネラ・ロングビーチ DNA")</f>
        <v>レジオネラ・ロングビーチ DNA</v>
      </c>
      <c r="H3022" s="3" t="str">
        <f ca="1">IFERROR(__xludf.DUMMYFUNCTION("googletranslate(E3022,""en"",""ja"")"),"生物学的標本中のレジオネラ・ロングビーチ DNA の測定。")</f>
        <v>生物学的標本中のレジオネラ・ロングビーチ DNA の測定。</v>
      </c>
      <c r="I3022" s="3" t="str">
        <f ca="1">IFERROR(__xludf.DUMMYFUNCTION("googletranslate(F3022,""en"",""ja"")"),"レジオネラ・ロングビーチ DNA 測定")</f>
        <v>レジオネラ・ロングビーチ DNA 測定</v>
      </c>
    </row>
    <row r="3023" spans="1:9" ht="30">
      <c r="A3023" s="3" t="s">
        <v>6</v>
      </c>
      <c r="B3023" s="3" t="s">
        <v>12494</v>
      </c>
      <c r="C3023" s="3" t="s">
        <v>12495</v>
      </c>
      <c r="D3023" s="3" t="s">
        <v>12495</v>
      </c>
      <c r="E3023" s="3" t="s">
        <v>12496</v>
      </c>
      <c r="F3023" s="3" t="s">
        <v>12497</v>
      </c>
      <c r="G3023" s="3" t="str">
        <f ca="1">IFERROR(__xludf.DUMMYFUNCTION("googletranslate(D3023,""en"",""ja"")"),"ラムダライトチェーン")</f>
        <v>ラムダライトチェーン</v>
      </c>
      <c r="H3023" s="3" t="str">
        <f ca="1">IFERROR(__xludf.DUMMYFUNCTION("googletranslate(E3023,""en"",""ja"")"),"生物学的標本中の総ラムダ軽鎖の測定。")</f>
        <v>生物学的標本中の総ラムダ軽鎖の測定。</v>
      </c>
      <c r="I3023" s="3" t="str">
        <f ca="1">IFERROR(__xludf.DUMMYFUNCTION("googletranslate(F3023,""en"",""ja"")"),"ラムダ軽鎖の測定")</f>
        <v>ラムダ軽鎖の測定</v>
      </c>
    </row>
    <row r="3024" spans="1:9">
      <c r="A3024" s="3" t="s">
        <v>210</v>
      </c>
      <c r="B3024" s="3" t="s">
        <v>12498</v>
      </c>
      <c r="C3024" s="3" t="s">
        <v>12499</v>
      </c>
      <c r="D3024" s="3" t="s">
        <v>12499</v>
      </c>
      <c r="E3024" s="3" t="s">
        <v>12500</v>
      </c>
      <c r="F3024" s="3" t="s">
        <v>12499</v>
      </c>
      <c r="G3024" s="3" t="str">
        <f ca="1">IFERROR(__xludf.DUMMYFUNCTION("googletranslate(D3024,""en"",""ja"")"),"四肢障害インジケーター")</f>
        <v>四肢障害インジケーター</v>
      </c>
      <c r="H3024" s="3" t="str">
        <f ca="1">IFERROR(__xludf.DUMMYFUNCTION("googletranslate(E3024,""en"",""ja"")"),"四肢の故障が発生したかどうかを示す指標。")</f>
        <v>四肢の故障が発生したかどうかを示す指標。</v>
      </c>
      <c r="I3024" s="3" t="str">
        <f ca="1">IFERROR(__xludf.DUMMYFUNCTION("googletranslate(F3024,""en"",""ja"")"),"四肢障害インジケーター")</f>
        <v>四肢障害インジケーター</v>
      </c>
    </row>
    <row r="3025" spans="1:9" ht="30">
      <c r="A3025" s="3" t="s">
        <v>5519</v>
      </c>
      <c r="B3025" s="3" t="s">
        <v>12501</v>
      </c>
      <c r="C3025" s="3" t="s">
        <v>12502</v>
      </c>
      <c r="D3025" s="3" t="s">
        <v>12502</v>
      </c>
      <c r="E3025" s="3" t="s">
        <v>12503</v>
      </c>
      <c r="F3025" s="3" t="s">
        <v>12504</v>
      </c>
      <c r="G3025" s="3" t="str">
        <f ca="1">IFERROR(__xludf.DUMMYFUNCTION("googletranslate(D3025,""en"",""ja"")"),"四肢病変の特定")</f>
        <v>四肢病変の特定</v>
      </c>
      <c r="H3025" s="3" t="str">
        <f ca="1">IFERROR(__xludf.DUMMYFUNCTION("googletranslate(E3025,""en"",""ja"")"),"病変を含む四肢が選択され、特徴付けられたことを示します。")</f>
        <v>病変を含む四肢が選択され、特徴付けられたことを示します。</v>
      </c>
      <c r="I3025" s="3" t="str">
        <f ca="1">IFERROR(__xludf.DUMMYFUNCTION("googletranslate(F3025,""en"",""ja"")"),"四肢関連病変の特定")</f>
        <v>四肢関連病変の特定</v>
      </c>
    </row>
    <row r="3026" spans="1:9" ht="30">
      <c r="A3026" s="3" t="s">
        <v>210</v>
      </c>
      <c r="B3026" s="3" t="s">
        <v>12505</v>
      </c>
      <c r="C3026" s="3" t="s">
        <v>12506</v>
      </c>
      <c r="D3026" s="3" t="s">
        <v>12506</v>
      </c>
      <c r="E3026" s="3" t="s">
        <v>12507</v>
      </c>
      <c r="F3026" s="3" t="s">
        <v>12506</v>
      </c>
      <c r="G3026" s="3" t="str">
        <f ca="1">IFERROR(__xludf.DUMMYFUNCTION("googletranslate(D3026,""en"",""ja"")"),"検査されたリンパ節の数")</f>
        <v>検査されたリンパ節の数</v>
      </c>
      <c r="H3026" s="3" t="str">
        <f ca="1">IFERROR(__xludf.DUMMYFUNCTION("googletranslate(E3026,""en"",""ja"")"),"検査されたリンパ節の数。")</f>
        <v>検査されたリンパ節の数。</v>
      </c>
      <c r="I3026" s="3" t="str">
        <f ca="1">IFERROR(__xludf.DUMMYFUNCTION("googletranslate(F3026,""en"",""ja"")"),"検査されたリンパ節の数")</f>
        <v>検査されたリンパ節の数</v>
      </c>
    </row>
    <row r="3027" spans="1:9" ht="30">
      <c r="A3027" s="3" t="s">
        <v>210</v>
      </c>
      <c r="B3027" s="3" t="s">
        <v>12508</v>
      </c>
      <c r="C3027" s="3" t="s">
        <v>12509</v>
      </c>
      <c r="D3027" s="3" t="s">
        <v>12509</v>
      </c>
      <c r="E3027" s="3" t="s">
        <v>12510</v>
      </c>
      <c r="F3027" s="3" t="s">
        <v>12509</v>
      </c>
      <c r="G3027" s="3" t="str">
        <f ca="1">IFERROR(__xludf.DUMMYFUNCTION("googletranslate(D3027,""en"",""ja"")"),"陽性リンパ節の数")</f>
        <v>陽性リンパ節の数</v>
      </c>
      <c r="H3027" s="3" t="str">
        <f ca="1">IFERROR(__xludf.DUMMYFUNCTION("googletranslate(E3027,""en"",""ja"")"),"疾患の存在に関して陽性となった対象リンパ節の数。")</f>
        <v>疾患の存在に関して陽性となった対象リンパ節の数。</v>
      </c>
      <c r="I3027" s="3" t="str">
        <f ca="1">IFERROR(__xludf.DUMMYFUNCTION("googletranslate(F3027,""en"",""ja"")"),"陽性リンパ節の数")</f>
        <v>陽性リンパ節の数</v>
      </c>
    </row>
    <row r="3028" spans="1:9" ht="30">
      <c r="A3028" s="3" t="s">
        <v>67</v>
      </c>
      <c r="B3028" s="3" t="s">
        <v>12511</v>
      </c>
      <c r="C3028" s="3" t="s">
        <v>12512</v>
      </c>
      <c r="D3028" s="3" t="s">
        <v>12512</v>
      </c>
      <c r="E3028" s="3" t="s">
        <v>12513</v>
      </c>
      <c r="F3028" s="3" t="s">
        <v>12514</v>
      </c>
      <c r="G3028" s="3" t="str">
        <f ca="1">IFERROR(__xludf.DUMMYFUNCTION("googletranslate(D3028,""en"",""ja"")"),"リステリア・モノサイトゲネス")</f>
        <v>リステリア・モノサイトゲネス</v>
      </c>
      <c r="H3028" s="3" t="str">
        <f ca="1">IFERROR(__xludf.DUMMYFUNCTION("googletranslate(E3028,""en"",""ja"")"),"生物学的標本中のリステリア モノサイトゲネスの測定。")</f>
        <v>生物学的標本中のリステリア モノサイトゲネスの測定。</v>
      </c>
      <c r="I3028" s="3" t="str">
        <f ca="1">IFERROR(__xludf.DUMMYFUNCTION("googletranslate(F3028,""en"",""ja"")"),"リステリア・モノサイトゲネスの測定")</f>
        <v>リステリア・モノサイトゲネスの測定</v>
      </c>
    </row>
    <row r="3029" spans="1:9" ht="60">
      <c r="A3029" s="3" t="s">
        <v>6</v>
      </c>
      <c r="B3029" s="3" t="s">
        <v>12515</v>
      </c>
      <c r="C3029" s="3" t="s">
        <v>12516</v>
      </c>
      <c r="D3029" s="3" t="s">
        <v>12517</v>
      </c>
      <c r="E3029" s="3" t="s">
        <v>12518</v>
      </c>
      <c r="F3029" s="3" t="s">
        <v>12519</v>
      </c>
      <c r="G3029" s="3" t="str">
        <f ca="1">IFERROR(__xludf.DUMMYFUNCTION("googletranslate(D3029,""en"",""ja"")"),"ランプ2/GAPDH;リソソーム関連膜タンパク質 2/グリセルアルデヒド-3-リン酸デヒドロゲナーゼ")</f>
        <v>ランプ2/GAPDH;リソソーム関連膜タンパク質 2/グリセルアルデヒド-3-リン酸デヒドロゲナーゼ</v>
      </c>
      <c r="H3029" s="3" t="str">
        <f ca="1">IFERROR(__xludf.DUMMYFUNCTION("googletranslate(E3029,""en"",""ja"")"),"生物学的標本中のグリセルアルデヒド-3-リン酸デヒドロゲナーゼに対するリソソーム関連膜タンパク質 2 の相対測定値 (比)。")</f>
        <v>生物学的標本中のグリセルアルデヒド-3-リン酸デヒドロゲナーゼに対するリソソーム関連膜タンパク質 2 の相対測定値 (比)。</v>
      </c>
      <c r="I3029" s="3" t="str">
        <f ca="1">IFERROR(__xludf.DUMMYFUNCTION("googletranslate(F3029,""en"",""ja"")"),"リソソーム関連膜タンパク質 2 とグリセルアルデヒド-3-リン酸デヒドロゲナーゼの比の測定")</f>
        <v>リソソーム関連膜タンパク質 2 とグリセルアルデヒド-3-リン酸デヒドロゲナーゼの比の測定</v>
      </c>
    </row>
    <row r="3030" spans="1:9" ht="30">
      <c r="A3030" s="3" t="s">
        <v>142</v>
      </c>
      <c r="B3030" s="3" t="s">
        <v>12520</v>
      </c>
      <c r="C3030" s="3" t="s">
        <v>12521</v>
      </c>
      <c r="D3030" s="3" t="s">
        <v>12521</v>
      </c>
      <c r="E3030" s="3" t="s">
        <v>12522</v>
      </c>
      <c r="F3030" s="3" t="s">
        <v>12523</v>
      </c>
      <c r="G3030" s="3" t="str">
        <f ca="1">IFERROR(__xludf.DUMMYFUNCTION("googletranslate(D3030,""en"",""ja"")"),"LMP からの経過時間")</f>
        <v>LMP からの経過時間</v>
      </c>
      <c r="H3030" s="3" t="str">
        <f ca="1">IFERROR(__xludf.DUMMYFUNCTION("googletranslate(E3030,""en"",""ja"")"),"個人の最後の月経期間からの時間間隔。")</f>
        <v>個人の最後の月経期間からの時間間隔。</v>
      </c>
      <c r="I3030" s="3" t="str">
        <f ca="1">IFERROR(__xludf.DUMMYFUNCTION("googletranslate(F3030,""en"",""ja"")"),"最終月経からの経過時間")</f>
        <v>最終月経からの経過時間</v>
      </c>
    </row>
    <row r="3031" spans="1:9" ht="30">
      <c r="A3031" s="3" t="s">
        <v>142</v>
      </c>
      <c r="B3031" s="3" t="s">
        <v>12524</v>
      </c>
      <c r="C3031" s="3" t="s">
        <v>12525</v>
      </c>
      <c r="D3031" s="3" t="s">
        <v>12525</v>
      </c>
      <c r="E3031" s="3" t="s">
        <v>12526</v>
      </c>
      <c r="F3031" s="3" t="s">
        <v>12527</v>
      </c>
      <c r="G3031" s="3" t="str">
        <f ca="1">IFERROR(__xludf.DUMMYFUNCTION("googletranslate(D3031,""en"",""ja"")"),"最終月経開始日")</f>
        <v>最終月経開始日</v>
      </c>
      <c r="H3031" s="3" t="str">
        <f ca="1">IFERROR(__xludf.DUMMYFUNCTION("googletranslate(E3031,""en"",""ja"")"),"最新の月経周期の初日の日付。")</f>
        <v>最新の月経周期の初日の日付。</v>
      </c>
      <c r="I3031" s="3" t="str">
        <f ca="1">IFERROR(__xludf.DUMMYFUNCTION("googletranslate(F3031,""en"",""ja"")"),"最終月経期間")</f>
        <v>最終月経期間</v>
      </c>
    </row>
    <row r="3032" spans="1:9" ht="30">
      <c r="A3032" s="3" t="s">
        <v>503</v>
      </c>
      <c r="B3032" s="3" t="s">
        <v>12528</v>
      </c>
      <c r="C3032" s="3" t="s">
        <v>12529</v>
      </c>
      <c r="D3032" s="3" t="s">
        <v>12529</v>
      </c>
      <c r="E3032" s="3" t="s">
        <v>12530</v>
      </c>
      <c r="F3032" s="3" t="s">
        <v>12529</v>
      </c>
      <c r="G3032" s="3" t="str">
        <f ca="1">IFERROR(__xludf.DUMMYFUNCTION("googletranslate(D3032,""en"",""ja"")"),"話されている主な言語")</f>
        <v>話されている主な言語</v>
      </c>
      <c r="H3032" s="3" t="str">
        <f ca="1">IFERROR(__xludf.DUMMYFUNCTION("googletranslate(E3032,""en"",""ja"")"),"対象者によって最も頻繁に、または最も支配的に話される主な言語。")</f>
        <v>対象者によって最も頻繁に、または最も支配的に話される主な言語。</v>
      </c>
      <c r="I3032" s="3" t="str">
        <f ca="1">IFERROR(__xludf.DUMMYFUNCTION("googletranslate(F3032,""en"",""ja"")"),"話されている主な言語")</f>
        <v>話されている主な言語</v>
      </c>
    </row>
    <row r="3033" spans="1:9" ht="30">
      <c r="A3033" s="3" t="s">
        <v>503</v>
      </c>
      <c r="B3033" s="3" t="s">
        <v>12531</v>
      </c>
      <c r="C3033" s="3" t="s">
        <v>12532</v>
      </c>
      <c r="D3033" s="3" t="s">
        <v>12532</v>
      </c>
      <c r="E3033" s="3" t="s">
        <v>12533</v>
      </c>
      <c r="F3033" s="3" t="s">
        <v>12532</v>
      </c>
      <c r="G3033" s="3" t="str">
        <f ca="1">IFERROR(__xludf.DUMMYFUNCTION("googletranslate(D3033,""en"",""ja"")"),"第二言語で話される")</f>
        <v>第二言語で話される</v>
      </c>
      <c r="H3033" s="3" t="str">
        <f ca="1">IFERROR(__xludf.DUMMYFUNCTION("googletranslate(E3033,""en"",""ja"")"),"対象者によって話されるが、第一言語とはみなされない追加の言語。")</f>
        <v>対象者によって話されるが、第一言語とはみなされない追加の言語。</v>
      </c>
      <c r="I3033" s="3" t="str">
        <f ca="1">IFERROR(__xludf.DUMMYFUNCTION("googletranslate(F3033,""en"",""ja"")"),"第二言語で話される")</f>
        <v>第二言語で話される</v>
      </c>
    </row>
    <row r="3034" spans="1:9">
      <c r="A3034" s="3" t="s">
        <v>210</v>
      </c>
      <c r="B3034" s="3" t="s">
        <v>12534</v>
      </c>
      <c r="C3034" s="3" t="s">
        <v>12535</v>
      </c>
      <c r="D3034" s="3" t="s">
        <v>12535</v>
      </c>
      <c r="E3034" s="3" t="s">
        <v>12536</v>
      </c>
      <c r="F3034" s="3" t="s">
        <v>12535</v>
      </c>
      <c r="G3034" s="3" t="str">
        <f ca="1">IFERROR(__xludf.DUMMYFUNCTION("googletranslate(D3034,""en"",""ja"")"),"リンパ節の状態")</f>
        <v>リンパ節の状態</v>
      </c>
      <c r="H3034" s="3" t="str">
        <f ca="1">IFERROR(__xludf.DUMMYFUNCTION("googletranslate(E3034,""en"",""ja"")"),"特定の時点におけるリンパ節の状態または状態。")</f>
        <v>特定の時点におけるリンパ節の状態または状態。</v>
      </c>
      <c r="I3034" s="3" t="str">
        <f ca="1">IFERROR(__xludf.DUMMYFUNCTION("googletranslate(F3034,""en"",""ja"")"),"リンパ節の状態")</f>
        <v>リンパ節の状態</v>
      </c>
    </row>
    <row r="3035" spans="1:9" ht="30">
      <c r="A3035" s="3" t="s">
        <v>490</v>
      </c>
      <c r="B3035" s="3" t="s">
        <v>12537</v>
      </c>
      <c r="C3035" s="3" t="s">
        <v>12538</v>
      </c>
      <c r="D3035" s="3" t="s">
        <v>12538</v>
      </c>
      <c r="E3035" s="3" t="s">
        <v>12539</v>
      </c>
      <c r="F3035" s="3" t="s">
        <v>12538</v>
      </c>
      <c r="G3035" s="3" t="str">
        <f ca="1">IFERROR(__xludf.DUMMYFUNCTION("googletranslate(D3035,""en"",""ja"")"),"大葉体積")</f>
        <v>大葉体積</v>
      </c>
      <c r="H3035" s="3" t="str">
        <f ca="1">IFERROR(__xludf.DUMMYFUNCTION("googletranslate(E3035,""en"",""ja"")"),"呼吸周期中の指定された時点における肺葉内のガスの総量。")</f>
        <v>呼吸周期中の指定された時点における肺葉内のガスの総量。</v>
      </c>
      <c r="I3035" s="3" t="str">
        <f ca="1">IFERROR(__xludf.DUMMYFUNCTION("googletranslate(F3035,""en"",""ja"")"),"大葉体積")</f>
        <v>大葉体積</v>
      </c>
    </row>
    <row r="3036" spans="1:9" ht="45">
      <c r="A3036" s="3" t="s">
        <v>490</v>
      </c>
      <c r="B3036" s="3" t="s">
        <v>12540</v>
      </c>
      <c r="C3036" s="3" t="s">
        <v>12541</v>
      </c>
      <c r="D3036" s="3" t="s">
        <v>12541</v>
      </c>
      <c r="E3036" s="3" t="s">
        <v>12542</v>
      </c>
      <c r="F3036" s="3" t="s">
        <v>12541</v>
      </c>
      <c r="G3036" s="3" t="str">
        <f ca="1">IFERROR(__xludf.DUMMYFUNCTION("googletranslate(D3036,""en"",""ja"")"),"予測される脳葉体積のパーセント")</f>
        <v>予測される脳葉体積のパーセント</v>
      </c>
      <c r="H3036" s="3" t="str">
        <f ca="1">IFERROR(__xludf.DUMMYFUNCTION("googletranslate(E3036,""en"",""ja"")"),"予測された正常値の割合としての、呼吸周期中の指定された時点における肺葉内のガスの総量。")</f>
        <v>予測された正常値の割合としての、呼吸周期中の指定された時点における肺葉内のガスの総量。</v>
      </c>
      <c r="I3036" s="3" t="str">
        <f ca="1">IFERROR(__xludf.DUMMYFUNCTION("googletranslate(F3036,""en"",""ja"")"),"予測される脳葉体積のパーセント")</f>
        <v>予測される脳葉体積のパーセント</v>
      </c>
    </row>
    <row r="3037" spans="1:9" ht="30">
      <c r="A3037" s="3" t="s">
        <v>185</v>
      </c>
      <c r="B3037" s="3" t="s">
        <v>12543</v>
      </c>
      <c r="C3037" s="3" t="s">
        <v>12544</v>
      </c>
      <c r="D3037" s="3" t="s">
        <v>12544</v>
      </c>
      <c r="E3037" s="3" t="s">
        <v>12545</v>
      </c>
      <c r="F3037" s="3" t="s">
        <v>12546</v>
      </c>
      <c r="G3037" s="3" t="str">
        <f ca="1">IFERROR(__xludf.DUMMYFUNCTION("googletranslate(D3037,""en"",""ja"")"),"発症の局在化")</f>
        <v>発症の局在化</v>
      </c>
      <c r="H3037" s="3" t="str">
        <f ca="1">IFERROR(__xludf.DUMMYFUNCTION("googletranslate(E3037,""en"",""ja"")"),"病気の始まりまたは初期段階の解剖学的位置。")</f>
        <v>病気の始まりまたは初期段階の解剖学的位置。</v>
      </c>
      <c r="I3037" s="3" t="str">
        <f ca="1">IFERROR(__xludf.DUMMYFUNCTION("googletranslate(F3037,""en"",""ja"")"),"病気の発症場所")</f>
        <v>病気の発症場所</v>
      </c>
    </row>
    <row r="3038" spans="1:9" ht="30">
      <c r="A3038" s="3" t="s">
        <v>1557</v>
      </c>
      <c r="B3038" s="3" t="s">
        <v>12547</v>
      </c>
      <c r="C3038" s="3" t="s">
        <v>12548</v>
      </c>
      <c r="D3038" s="3" t="s">
        <v>12548</v>
      </c>
      <c r="E3038" s="3" t="s">
        <v>12549</v>
      </c>
      <c r="F3038" s="3" t="s">
        <v>12548</v>
      </c>
      <c r="G3038" s="3" t="str">
        <f ca="1">IFERROR(__xludf.DUMMYFUNCTION("googletranslate(D3038,""en"",""ja"")"),"ログスコア")</f>
        <v>ログスコア</v>
      </c>
      <c r="H3038" s="3" t="str">
        <f ca="1">IFERROR(__xludf.DUMMYFUNCTION("googletranslate(E3038,""en"",""ja"")"),"パフォーマンス、機能、品質、または能力を測定する対数スケール上の数値または数値の範囲。")</f>
        <v>パフォーマンス、機能、品質、または能力を測定する対数スケール上の数値または数値の範囲。</v>
      </c>
      <c r="I3038" s="3" t="str">
        <f ca="1">IFERROR(__xludf.DUMMYFUNCTION("googletranslate(F3038,""en"",""ja"")"),"ログスコア")</f>
        <v>ログスコア</v>
      </c>
    </row>
    <row r="3039" spans="1:9" ht="45">
      <c r="A3039" s="3" t="s">
        <v>185</v>
      </c>
      <c r="B3039" s="3" t="s">
        <v>12550</v>
      </c>
      <c r="C3039" s="3" t="s">
        <v>12551</v>
      </c>
      <c r="D3039" s="3" t="s">
        <v>12551</v>
      </c>
      <c r="E3039" s="3" t="s">
        <v>12552</v>
      </c>
      <c r="F3039" s="3" t="s">
        <v>12553</v>
      </c>
      <c r="G3039" s="3" t="str">
        <f ca="1">IFERROR(__xludf.DUMMYFUNCTION("googletranslate(D3039,""en"",""ja"")"),"縦走コース")</f>
        <v>縦走コース</v>
      </c>
      <c r="H3039" s="3" t="str">
        <f ca="1">IFERROR(__xludf.DUMMYFUNCTION("googletranslate(E3039,""en"",""ja"")"),"慢性疾患の経時的な経過を定義する、徴候や症状を含む一連の出来事の説明。")</f>
        <v>慢性疾患の経時的な経過を定義する、徴候や症状を含む一連の出来事の説明。</v>
      </c>
      <c r="I3039" s="3" t="str">
        <f ca="1">IFERROR(__xludf.DUMMYFUNCTION("googletranslate(F3039,""en"",""ja"")"),"病気の臨床経過")</f>
        <v>病気の臨床経過</v>
      </c>
    </row>
    <row r="3040" spans="1:9">
      <c r="A3040" s="3" t="s">
        <v>6</v>
      </c>
      <c r="B3040" s="3" t="s">
        <v>12554</v>
      </c>
      <c r="C3040" s="3" t="s">
        <v>12555</v>
      </c>
      <c r="D3040" s="3" t="s">
        <v>12555</v>
      </c>
      <c r="E3040" s="3" t="s">
        <v>12556</v>
      </c>
      <c r="F3040" s="3" t="s">
        <v>12557</v>
      </c>
      <c r="G3040" s="3" t="str">
        <f ca="1">IFERROR(__xludf.DUMMYFUNCTION("googletranslate(D3040,""en"",""ja"")"),"ロプラゾラム")</f>
        <v>ロプラゾラム</v>
      </c>
      <c r="H3040" s="3" t="str">
        <f ca="1">IFERROR(__xludf.DUMMYFUNCTION("googletranslate(E3040,""en"",""ja"")"),"生物学的標本中のロプラゾラムの測定。")</f>
        <v>生物学的標本中のロプラゾラムの測定。</v>
      </c>
      <c r="I3040" s="3" t="str">
        <f ca="1">IFERROR(__xludf.DUMMYFUNCTION("googletranslate(F3040,""en"",""ja"")"),"ロプラゾラムの測定")</f>
        <v>ロプラゾラムの測定</v>
      </c>
    </row>
    <row r="3041" spans="1:9">
      <c r="A3041" s="3" t="s">
        <v>6418</v>
      </c>
      <c r="B3041" s="3" t="s">
        <v>12558</v>
      </c>
      <c r="C3041" s="3" t="s">
        <v>12559</v>
      </c>
      <c r="D3041" s="3" t="s">
        <v>12559</v>
      </c>
      <c r="E3041" s="3" t="s">
        <v>12560</v>
      </c>
      <c r="F3041" s="3" t="s">
        <v>12559</v>
      </c>
      <c r="G3041" s="3" t="str">
        <f ca="1">IFERROR(__xludf.DUMMYFUNCTION("googletranslate(D3041,""en"",""ja"")"),"損失額")</f>
        <v>損失額</v>
      </c>
      <c r="H3041" s="3" t="str">
        <f ca="1">IFERROR(__xludf.DUMMYFUNCTION("googletranslate(E3041,""en"",""ja"")"),"紛失として報告された製品の数量。")</f>
        <v>紛失として報告された製品の数量。</v>
      </c>
      <c r="I3041" s="3" t="str">
        <f ca="1">IFERROR(__xludf.DUMMYFUNCTION("googletranslate(F3041,""en"",""ja"")"),"損失額")</f>
        <v>損失額</v>
      </c>
    </row>
    <row r="3042" spans="1:9" ht="45">
      <c r="A3042" s="3" t="s">
        <v>81</v>
      </c>
      <c r="B3042" s="3" t="s">
        <v>12561</v>
      </c>
      <c r="C3042" s="3" t="s">
        <v>12562</v>
      </c>
      <c r="D3042" s="3" t="s">
        <v>12563</v>
      </c>
      <c r="E3042" s="3" t="s">
        <v>12564</v>
      </c>
      <c r="F3042" s="3" t="s">
        <v>12565</v>
      </c>
      <c r="G3042" s="3" t="str">
        <f ca="1">IFERROR(__xludf.DUMMYFUNCTION("googletranslate(D3042,""en"",""ja"")"),"縦方向の変形。縦方向の短縮。縦ひずみ")</f>
        <v>縦方向の変形。縦方向の短縮。縦ひずみ</v>
      </c>
      <c r="H3042" s="3" t="str">
        <f ca="1">IFERROR(__xludf.DUMMYFUNCTION("googletranslate(E3042,""en"",""ja"")"),"心室または心房の長軸（基部から心尖部まで）に沿った心筋の長さの変化の測定値。")</f>
        <v>心室または心房の長軸（基部から心尖部まで）に沿った心筋の長さの変化の測定値。</v>
      </c>
      <c r="I3042" s="3" t="str">
        <f ca="1">IFERROR(__xludf.DUMMYFUNCTION("googletranslate(F3042,""en"",""ja"")"),"縦ひずみ測定")</f>
        <v>縦ひずみ測定</v>
      </c>
    </row>
    <row r="3043" spans="1:9" ht="75">
      <c r="A3043" s="3" t="s">
        <v>6</v>
      </c>
      <c r="B3043" s="3" t="s">
        <v>12566</v>
      </c>
      <c r="C3043" s="3" t="s">
        <v>12567</v>
      </c>
      <c r="D3043" s="3" t="s">
        <v>12568</v>
      </c>
      <c r="E3043" s="3" t="s">
        <v>12569</v>
      </c>
      <c r="F3043" s="3" t="s">
        <v>12570</v>
      </c>
      <c r="G3043" s="3" t="str">
        <f ca="1">IFERROR(__xludf.DUMMYFUNCTION("googletranslate(D3043,""en"",""ja"")"),"C タイプ レクチン ドメイン ファミリー 8 メンバー A; CLEC8A;レクチン様酸化LDL受容体-1; LOX-1;酸化LDL受容体1;酸化低密度リポタンパク質受容体 1")</f>
        <v>C タイプ レクチン ドメイン ファミリー 8 メンバー A; CLEC8A;レクチン様酸化LDL受容体-1; LOX-1;酸化LDL受容体1;酸化低密度リポタンパク質受容体 1</v>
      </c>
      <c r="H3043" s="3" t="str">
        <f ca="1">IFERROR(__xludf.DUMMYFUNCTION("googletranslate(E3043,""en"",""ja"")"),"生体標本中のレクチン様酸化型 LDL 受容体-1 の測定。")</f>
        <v>生体標本中のレクチン様酸化型 LDL 受容体-1 の測定。</v>
      </c>
      <c r="I3043" s="3" t="str">
        <f ca="1">IFERROR(__xludf.DUMMYFUNCTION("googletranslate(F3043,""en"",""ja"")"),"レクチン様酸化LDL受容体-1の測定")</f>
        <v>レクチン様酸化LDL受容体-1の測定</v>
      </c>
    </row>
    <row r="3044" spans="1:9">
      <c r="A3044" s="3" t="s">
        <v>6</v>
      </c>
      <c r="B3044" s="3" t="s">
        <v>12571</v>
      </c>
      <c r="C3044" s="3" t="s">
        <v>12572</v>
      </c>
      <c r="D3044" s="3" t="s">
        <v>12572</v>
      </c>
      <c r="E3044" s="3" t="s">
        <v>12573</v>
      </c>
      <c r="F3044" s="3" t="s">
        <v>12574</v>
      </c>
      <c r="G3044" s="3" t="str">
        <f ca="1">IFERROR(__xludf.DUMMYFUNCTION("googletranslate(D3044,""en"",""ja"")"),"ロキサピン")</f>
        <v>ロキサピン</v>
      </c>
      <c r="H3044" s="3" t="str">
        <f ca="1">IFERROR(__xludf.DUMMYFUNCTION("googletranslate(E3044,""en"",""ja"")"),"生物学的標本中のロキサピンの測定。")</f>
        <v>生物学的標本中のロキサピンの測定。</v>
      </c>
      <c r="I3044" s="3" t="str">
        <f ca="1">IFERROR(__xludf.DUMMYFUNCTION("googletranslate(F3044,""en"",""ja"")"),"ロキサピンの測定")</f>
        <v>ロキサピンの測定</v>
      </c>
    </row>
    <row r="3045" spans="1:9">
      <c r="A3045" s="3" t="s">
        <v>6</v>
      </c>
      <c r="B3045" s="3" t="s">
        <v>12575</v>
      </c>
      <c r="C3045" s="3" t="s">
        <v>12576</v>
      </c>
      <c r="D3045" s="3" t="s">
        <v>12576</v>
      </c>
      <c r="E3045" s="3" t="s">
        <v>12577</v>
      </c>
      <c r="F3045" s="3" t="s">
        <v>12578</v>
      </c>
      <c r="G3045" s="3" t="str">
        <f ca="1">IFERROR(__xludf.DUMMYFUNCTION("googletranslate(D3045,""en"",""ja"")"),"リポプロテイン-a")</f>
        <v>リポプロテイン-a</v>
      </c>
      <c r="H3045" s="3" t="str">
        <f ca="1">IFERROR(__xludf.DUMMYFUNCTION("googletranslate(E3045,""en"",""ja"")"),"生物学的標本中のリポプロテイン a の測定。")</f>
        <v>生物学的標本中のリポプロテイン a の測定。</v>
      </c>
      <c r="I3045" s="3" t="str">
        <f ca="1">IFERROR(__xludf.DUMMYFUNCTION("googletranslate(F3045,""en"",""ja"")"),"リポタンパク質aの測定")</f>
        <v>リポタンパク質aの測定</v>
      </c>
    </row>
    <row r="3046" spans="1:9" ht="30">
      <c r="A3046" s="3" t="s">
        <v>103</v>
      </c>
      <c r="B3046" s="3" t="s">
        <v>12579</v>
      </c>
      <c r="C3046" s="3" t="s">
        <v>12580</v>
      </c>
      <c r="D3046" s="3" t="s">
        <v>12581</v>
      </c>
      <c r="E3046" s="3" t="s">
        <v>12582</v>
      </c>
      <c r="F3046" s="3" t="s">
        <v>12583</v>
      </c>
      <c r="G3046" s="3" t="str">
        <f ca="1">IFERROR(__xludf.DUMMYFUNCTION("googletranslate(D3046,""en"",""ja"")"),"ラムダ+ PC;ラムダ+形質細胞")</f>
        <v>ラムダ+ PC;ラムダ+形質細胞</v>
      </c>
      <c r="H3046" s="3" t="str">
        <f ca="1">IFERROR(__xludf.DUMMYFUNCTION("googletranslate(E3046,""en"",""ja"")"),"生物学的標本中のラムダ + 形質細胞の測定。")</f>
        <v>生物学的標本中のラムダ + 形質細胞の測定。</v>
      </c>
      <c r="I3046" s="3" t="str">
        <f ca="1">IFERROR(__xludf.DUMMYFUNCTION("googletranslate(F3046,""en"",""ja"")"),"ラムダ陽性形質細胞数")</f>
        <v>ラムダ陽性形質細胞数</v>
      </c>
    </row>
    <row r="3047" spans="1:9" ht="30">
      <c r="A3047" s="3" t="s">
        <v>210</v>
      </c>
      <c r="B3047" s="3" t="s">
        <v>12584</v>
      </c>
      <c r="C3047" s="3" t="s">
        <v>12585</v>
      </c>
      <c r="D3047" s="3" t="s">
        <v>12586</v>
      </c>
      <c r="E3047" s="3" t="s">
        <v>12587</v>
      </c>
      <c r="F3047" s="3" t="s">
        <v>12585</v>
      </c>
      <c r="G3047" s="3" t="str">
        <f ca="1">IFERROR(__xludf.DUMMYFUNCTION("googletranslate(D3047,""en"",""ja"")"),"最長の垂線。短軸径")</f>
        <v>最長の垂線。短軸径</v>
      </c>
      <c r="H3047" s="3" t="str">
        <f ca="1">IFERROR(__xludf.DUMMYFUNCTION("googletranslate(E3047,""en"",""ja"")"),"特定の線または平面に対して直角で、物体または図形を通る可能な限り最長の直線または平面。")</f>
        <v>特定の線または平面に対して直角で、物体または図形を通る可能な限り最長の直線または平面。</v>
      </c>
      <c r="I3047" s="3" t="str">
        <f ca="1">IFERROR(__xludf.DUMMYFUNCTION("googletranslate(F3047,""en"",""ja"")"),"最長垂線")</f>
        <v>最長垂線</v>
      </c>
    </row>
    <row r="3048" spans="1:9" ht="30">
      <c r="A3048" s="3" t="s">
        <v>6</v>
      </c>
      <c r="B3048" s="3" t="s">
        <v>12588</v>
      </c>
      <c r="C3048" s="3" t="s">
        <v>12589</v>
      </c>
      <c r="D3048" s="3" t="s">
        <v>12589</v>
      </c>
      <c r="E3048" s="3" t="s">
        <v>12590</v>
      </c>
      <c r="F3048" s="3" t="s">
        <v>12591</v>
      </c>
      <c r="G3048" s="3" t="str">
        <f ca="1">IFERROR(__xludf.DUMMYFUNCTION("googletranslate(D3048,""en"",""ja"")"),"リポタンパク質リパーゼ")</f>
        <v>リポタンパク質リパーゼ</v>
      </c>
      <c r="H3048" s="3" t="str">
        <f ca="1">IFERROR(__xludf.DUMMYFUNCTION("googletranslate(E3048,""en"",""ja"")"),"生物学的標本中のリポタンパク質リパーゼの測定。")</f>
        <v>生物学的標本中のリポタンパク質リパーゼの測定。</v>
      </c>
      <c r="I3048" s="3" t="str">
        <f ca="1">IFERROR(__xludf.DUMMYFUNCTION("googletranslate(F3048,""en"",""ja"")"),"リポタンパク質リパーゼの測定")</f>
        <v>リポタンパク質リパーゼの測定</v>
      </c>
    </row>
    <row r="3049" spans="1:9" ht="30">
      <c r="A3049" s="3" t="s">
        <v>67</v>
      </c>
      <c r="B3049" s="3" t="s">
        <v>12592</v>
      </c>
      <c r="C3049" s="3" t="s">
        <v>12593</v>
      </c>
      <c r="D3049" s="3" t="s">
        <v>12593</v>
      </c>
      <c r="E3049" s="3" t="s">
        <v>12594</v>
      </c>
      <c r="F3049" s="3" t="s">
        <v>12595</v>
      </c>
      <c r="G3049" s="3" t="str">
        <f ca="1">IFERROR(__xludf.DUMMYFUNCTION("googletranslate(D3049,""en"",""ja"")"),"レジオネラ・ニューモフィラ")</f>
        <v>レジオネラ・ニューモフィラ</v>
      </c>
      <c r="H3049" s="3" t="str">
        <f ca="1">IFERROR(__xludf.DUMMYFUNCTION("googletranslate(E3049,""en"",""ja"")"),"生物学的標本中のレジオネラ・ニューモフィラの測定。")</f>
        <v>生物学的標本中のレジオネラ・ニューモフィラの測定。</v>
      </c>
      <c r="I3049" s="3" t="str">
        <f ca="1">IFERROR(__xludf.DUMMYFUNCTION("googletranslate(F3049,""en"",""ja"")"),"レジオネラ・ニューモフィラの測定")</f>
        <v>レジオネラ・ニューモフィラの測定</v>
      </c>
    </row>
    <row r="3050" spans="1:9" ht="30">
      <c r="A3050" s="3" t="s">
        <v>67</v>
      </c>
      <c r="B3050" s="3" t="s">
        <v>12596</v>
      </c>
      <c r="C3050" s="3" t="s">
        <v>12597</v>
      </c>
      <c r="D3050" s="3" t="s">
        <v>12597</v>
      </c>
      <c r="E3050" s="3" t="s">
        <v>12598</v>
      </c>
      <c r="F3050" s="3" t="s">
        <v>12599</v>
      </c>
      <c r="G3050" s="3" t="str">
        <f ca="1">IFERROR(__xludf.DUMMYFUNCTION("googletranslate(D3050,""en"",""ja"")"),"レジオネラ・ニューモフィラ抗原")</f>
        <v>レジオネラ・ニューモフィラ抗原</v>
      </c>
      <c r="H3050" s="3" t="str">
        <f ca="1">IFERROR(__xludf.DUMMYFUNCTION("googletranslate(E3050,""en"",""ja"")"),"生物学的検体中のレジオネラ・ニューモフィラ抗原の測定。")</f>
        <v>生物学的検体中のレジオネラ・ニューモフィラ抗原の測定。</v>
      </c>
      <c r="I3050" s="3" t="str">
        <f ca="1">IFERROR(__xludf.DUMMYFUNCTION("googletranslate(F3050,""en"",""ja"")"),"レジオネラ・ニューモフィラ抗原測定")</f>
        <v>レジオネラ・ニューモフィラ抗原測定</v>
      </c>
    </row>
    <row r="3051" spans="1:9" ht="30">
      <c r="A3051" s="3" t="s">
        <v>67</v>
      </c>
      <c r="B3051" s="3" t="s">
        <v>12600</v>
      </c>
      <c r="C3051" s="3" t="s">
        <v>12601</v>
      </c>
      <c r="D3051" s="3" t="s">
        <v>12601</v>
      </c>
      <c r="E3051" s="3" t="s">
        <v>12602</v>
      </c>
      <c r="F3051" s="3" t="s">
        <v>12603</v>
      </c>
      <c r="G3051" s="3" t="str">
        <f ca="1">IFERROR(__xludf.DUMMYFUNCTION("googletranslate(D3051,""en"",""ja"")"),"レジオネラ・ニューモフィラDNA")</f>
        <v>レジオネラ・ニューモフィラDNA</v>
      </c>
      <c r="H3051" s="3" t="str">
        <f ca="1">IFERROR(__xludf.DUMMYFUNCTION("googletranslate(E3051,""en"",""ja"")"),"生物学的標本中のレジオネラ ニューモフィラ DNA の測定。")</f>
        <v>生物学的標本中のレジオネラ ニューモフィラ DNA の測定。</v>
      </c>
      <c r="I3051" s="3" t="str">
        <f ca="1">IFERROR(__xludf.DUMMYFUNCTION("googletranslate(F3051,""en"",""ja"")"),"レジオネラ・ニューモフィラDNA測定")</f>
        <v>レジオネラ・ニューモフィラDNA測定</v>
      </c>
    </row>
    <row r="3052" spans="1:9" ht="45">
      <c r="A3052" s="3" t="s">
        <v>67</v>
      </c>
      <c r="B3052" s="3" t="s">
        <v>12604</v>
      </c>
      <c r="C3052" s="3" t="s">
        <v>12605</v>
      </c>
      <c r="D3052" s="3" t="s">
        <v>12606</v>
      </c>
      <c r="E3052" s="3" t="s">
        <v>12607</v>
      </c>
      <c r="F3052" s="3" t="s">
        <v>12608</v>
      </c>
      <c r="G3052" s="3" t="str">
        <f ca="1">IFERROR(__xludf.DUMMYFUNCTION("googletranslate(D3052,""en"",""ja"")"),"レジオネラ・ニューモフィラ血清群 1 抗原;レジオネラ・ニューモフィラ Sg 1 抗原")</f>
        <v>レジオネラ・ニューモフィラ血清群 1 抗原;レジオネラ・ニューモフィラ Sg 1 抗原</v>
      </c>
      <c r="H3052" s="3" t="str">
        <f ca="1">IFERROR(__xludf.DUMMYFUNCTION("googletranslate(E3052,""en"",""ja"")"),"生物学的検体中のレジオネラ ニューモフィラ血清群 1 抗原の測定。")</f>
        <v>生物学的検体中のレジオネラ ニューモフィラ血清群 1 抗原の測定。</v>
      </c>
      <c r="I3052" s="3" t="str">
        <f ca="1">IFERROR(__xludf.DUMMYFUNCTION("googletranslate(F3052,""en"",""ja"")"),"レジオネラ・ニューモフィラ血清群1抗原測定")</f>
        <v>レジオネラ・ニューモフィラ血清群1抗原測定</v>
      </c>
    </row>
    <row r="3053" spans="1:9" ht="30">
      <c r="A3053" s="3" t="s">
        <v>6</v>
      </c>
      <c r="B3053" s="3" t="s">
        <v>12609</v>
      </c>
      <c r="C3053" s="3" t="s">
        <v>12610</v>
      </c>
      <c r="D3053" s="3" t="s">
        <v>12610</v>
      </c>
      <c r="E3053" s="3" t="s">
        <v>12611</v>
      </c>
      <c r="F3053" s="3" t="s">
        <v>12612</v>
      </c>
      <c r="G3053" s="3" t="str">
        <f ca="1">IFERROR(__xludf.DUMMYFUNCTION("googletranslate(D3053,""en"",""ja"")"),"リポタンパク質関連ホスホリパーゼ A2")</f>
        <v>リポタンパク質関連ホスホリパーゼ A2</v>
      </c>
      <c r="H3053" s="3" t="str">
        <f ca="1">IFERROR(__xludf.DUMMYFUNCTION("googletranslate(E3053,""en"",""ja"")"),"生物学的標本中のリポタンパク質関連ホスホリパーゼ A2 の測定。")</f>
        <v>生物学的標本中のリポタンパク質関連ホスホリパーゼ A2 の測定。</v>
      </c>
      <c r="I3053" s="3" t="str">
        <f ca="1">IFERROR(__xludf.DUMMYFUNCTION("googletranslate(F3053,""en"",""ja"")"),"リポタンパク質関連ホスホリパーゼ A2 の測定")</f>
        <v>リポタンパク質関連ホスホリパーゼ A2 の測定</v>
      </c>
    </row>
    <row r="3054" spans="1:9" ht="30">
      <c r="A3054" s="3" t="s">
        <v>6</v>
      </c>
      <c r="B3054" s="3" t="s">
        <v>12613</v>
      </c>
      <c r="C3054" s="3" t="s">
        <v>12614</v>
      </c>
      <c r="D3054" s="3" t="s">
        <v>12615</v>
      </c>
      <c r="E3054" s="3" t="s">
        <v>12616</v>
      </c>
      <c r="F3054" s="3" t="s">
        <v>12617</v>
      </c>
      <c r="G3054" s="3" t="str">
        <f ca="1">IFERROR(__xludf.DUMMYFUNCTION("googletranslate(D3054,""en"",""ja"")"),"HMFT1766;ロイシン豊富なアルファ-2-糖タンパク質 1")</f>
        <v>HMFT1766;ロイシン豊富なアルファ-2-糖タンパク質 1</v>
      </c>
      <c r="H3054" s="3" t="str">
        <f ca="1">IFERROR(__xludf.DUMMYFUNCTION("googletranslate(E3054,""en"",""ja"")"),"生物学的標本中のロイシンが豊富なα-2-糖タンパク質 1 の測定。")</f>
        <v>生物学的標本中のロイシンが豊富なα-2-糖タンパク質 1 の測定。</v>
      </c>
      <c r="I3054" s="3" t="str">
        <f ca="1">IFERROR(__xludf.DUMMYFUNCTION("googletranslate(F3054,""en"",""ja"")"),"ロイシン豊富なアルファ-2-糖タンパク質 1 の測定")</f>
        <v>ロイシン豊富なアルファ-2-糖タンパク質 1 の測定</v>
      </c>
    </row>
    <row r="3055" spans="1:9" ht="30">
      <c r="A3055" s="3" t="s">
        <v>210</v>
      </c>
      <c r="B3055" s="3" t="s">
        <v>12618</v>
      </c>
      <c r="C3055" s="3" t="s">
        <v>12619</v>
      </c>
      <c r="D3055" s="3" t="s">
        <v>12619</v>
      </c>
      <c r="E3055" s="3" t="s">
        <v>12620</v>
      </c>
      <c r="F3055" s="3" t="s">
        <v>12621</v>
      </c>
      <c r="G3055" s="3" t="str">
        <f ca="1">IFERROR(__xludf.DUMMYFUNCTION("googletranslate(D3055,""en"",""ja"")"),"病変リーバス虚血インジケーター")</f>
        <v>病変リーバス虚血インジケーター</v>
      </c>
      <c r="H3055" s="3" t="str">
        <f ca="1">IFERROR(__xludf.DUMMYFUNCTION("googletranslate(E3055,""en"",""ja"")"),"病変の血行再建が起こる前に、臨床的虚血または機能的虚血が存在するかどうかに関する指標。")</f>
        <v>病変の血行再建が起こる前に、臨床的虚血または機能的虚血が存在するかどうかに関する指標。</v>
      </c>
      <c r="I3055" s="3" t="str">
        <f ca="1">IFERROR(__xludf.DUMMYFUNCTION("googletranslate(F3055,""en"",""ja"")"),"病変血管再生虚血インジケーター")</f>
        <v>病変血管再生虚血インジケーター</v>
      </c>
    </row>
    <row r="3056" spans="1:9" ht="30">
      <c r="A3056" s="3" t="s">
        <v>6</v>
      </c>
      <c r="B3056" s="3" t="s">
        <v>12622</v>
      </c>
      <c r="C3056" s="3" t="s">
        <v>12623</v>
      </c>
      <c r="D3056" s="3" t="s">
        <v>12623</v>
      </c>
      <c r="E3056" s="3" t="s">
        <v>12624</v>
      </c>
      <c r="F3056" s="3" t="s">
        <v>12625</v>
      </c>
      <c r="G3056" s="3" t="str">
        <f ca="1">IFERROR(__xludf.DUMMYFUNCTION("googletranslate(D3056,""en"",""ja"")"),"ロルメタゼパム")</f>
        <v>ロルメタゼパム</v>
      </c>
      <c r="H3056" s="3" t="str">
        <f ca="1">IFERROR(__xludf.DUMMYFUNCTION("googletranslate(E3056,""en"",""ja"")"),"生物学的標本中のロルメタゼパムの測定。")</f>
        <v>生物学的標本中のロルメタゼパムの測定。</v>
      </c>
      <c r="I3056" s="3" t="str">
        <f ca="1">IFERROR(__xludf.DUMMYFUNCTION("googletranslate(F3056,""en"",""ja"")"),"ロルメタゼパムの測定")</f>
        <v>ロルメタゼパムの測定</v>
      </c>
    </row>
    <row r="3057" spans="1:9" ht="60">
      <c r="A3057" s="3" t="s">
        <v>81</v>
      </c>
      <c r="B3057" s="3" t="s">
        <v>12626</v>
      </c>
      <c r="C3057" s="3" t="s">
        <v>12627</v>
      </c>
      <c r="D3057" s="3" t="s">
        <v>12627</v>
      </c>
      <c r="E3057" s="3" t="s">
        <v>12628</v>
      </c>
      <c r="F3057" s="3" t="s">
        <v>12627</v>
      </c>
      <c r="G3057" s="3" t="str">
        <f ca="1">IFERROR(__xludf.DUMMYFUNCTION("googletranslate(D3057,""en"",""ja"")"),"病変再狭窄インジケーター")</f>
        <v>病変再狭窄インジケーター</v>
      </c>
      <c r="H3057" s="3" t="str">
        <f ca="1">IFERROR(__xludf.DUMMYFUNCTION("googletranslate(E3057,""en"",""ja"")"),"以前の狭窄の治療後に、以前に治療された病変部位での直径が 50% を超える狭窄まで病変部位が再狭窄しているかどうかに関する指標。")</f>
        <v>以前の狭窄の治療後に、以前に治療された病変部位での直径が 50% を超える狭窄まで病変部位が再狭窄しているかどうかに関する指標。</v>
      </c>
      <c r="I3057" s="3" t="str">
        <f ca="1">IFERROR(__xludf.DUMMYFUNCTION("googletranslate(F3057,""en"",""ja"")"),"病変再狭窄インジケーター")</f>
        <v>病変再狭窄インジケーター</v>
      </c>
    </row>
    <row r="3058" spans="1:9" ht="30">
      <c r="A3058" s="3" t="s">
        <v>210</v>
      </c>
      <c r="B3058" s="3" t="s">
        <v>12629</v>
      </c>
      <c r="C3058" s="3" t="s">
        <v>12630</v>
      </c>
      <c r="D3058" s="3" t="s">
        <v>12630</v>
      </c>
      <c r="E3058" s="3" t="s">
        <v>12631</v>
      </c>
      <c r="F3058" s="3" t="s">
        <v>12632</v>
      </c>
      <c r="G3058" s="3" t="str">
        <f ca="1">IFERROR(__xludf.DUMMYFUNCTION("googletranslate(D3058,""en"",""ja"")"),"病変リーバスの臨床指標")</f>
        <v>病変リーバスの臨床指標</v>
      </c>
      <c r="H3058" s="3" t="str">
        <f ca="1">IFERROR(__xludf.DUMMYFUNCTION("googletranslate(E3058,""en"",""ja"")"),"病変の血行再建が起こる前に適切な臨床状況が存在したかどうかに関する指標。")</f>
        <v>病変の血行再建が起こる前に適切な臨床状況が存在したかどうかに関する指標。</v>
      </c>
      <c r="I3058" s="3" t="str">
        <f ca="1">IFERROR(__xludf.DUMMYFUNCTION("googletranslate(F3058,""en"",""ja"")"),"病変の血行再建の臨床指標")</f>
        <v>病変の血行再建の臨床指標</v>
      </c>
    </row>
    <row r="3059" spans="1:9" ht="30">
      <c r="A3059" s="3" t="s">
        <v>6</v>
      </c>
      <c r="B3059" s="3" t="s">
        <v>12633</v>
      </c>
      <c r="C3059" s="3" t="s">
        <v>12634</v>
      </c>
      <c r="D3059" s="3" t="s">
        <v>12634</v>
      </c>
      <c r="E3059" s="3" t="s">
        <v>12635</v>
      </c>
      <c r="F3059" s="3" t="s">
        <v>12636</v>
      </c>
      <c r="G3059" s="3" t="str">
        <f ca="1">IFERROR(__xludf.DUMMYFUNCTION("googletranslate(D3059,""en"",""ja"")"),"ロラゼパム")</f>
        <v>ロラゼパム</v>
      </c>
      <c r="H3059" s="3" t="str">
        <f ca="1">IFERROR(__xludf.DUMMYFUNCTION("googletranslate(E3059,""en"",""ja"")"),"生物学的標本中に存在するロラゼパムの測定。")</f>
        <v>生物学的標本中に存在するロラゼパムの測定。</v>
      </c>
      <c r="I3059" s="3" t="str">
        <f ca="1">IFERROR(__xludf.DUMMYFUNCTION("googletranslate(F3059,""en"",""ja"")"),"ロラゼパムの測定")</f>
        <v>ロラゼパムの測定</v>
      </c>
    </row>
    <row r="3060" spans="1:9" ht="45">
      <c r="A3060" s="3" t="s">
        <v>8558</v>
      </c>
      <c r="B3060" s="3" t="s">
        <v>12637</v>
      </c>
      <c r="C3060" s="3" t="s">
        <v>12638</v>
      </c>
      <c r="D3060" s="3" t="s">
        <v>12639</v>
      </c>
      <c r="E3060" s="3" t="s">
        <v>12640</v>
      </c>
      <c r="F3060" s="3" t="s">
        <v>12638</v>
      </c>
      <c r="G3060" s="3" t="str">
        <f ca="1">IFERROR(__xludf.DUMMYFUNCTION("googletranslate(D3060,""en"",""ja"")"),"最後に生存が確認された最新の日付。被験者の生存が確認された最新の日付")</f>
        <v>最後に生存が確認された最新の日付。被験者の生存が確認された最新の日付</v>
      </c>
      <c r="H3060" s="3" t="str">
        <f ca="1">IFERROR(__xludf.DUMMYFUNCTION("googletranslate(E3060,""en"",""ja"")"),"被験者が生存していることが判明した最新の日付。")</f>
        <v>被験者が生存していることが判明した最新の日付。</v>
      </c>
      <c r="I3060" s="3" t="str">
        <f ca="1">IFERROR(__xludf.DUMMYFUNCTION("googletranslate(F3060,""en"",""ja"")"),"被験者の生存が確認された最新の日付")</f>
        <v>被験者の生存が確認された最新の日付</v>
      </c>
    </row>
    <row r="3061" spans="1:9" ht="45">
      <c r="A3061" s="3" t="s">
        <v>6</v>
      </c>
      <c r="B3061" s="3" t="s">
        <v>12641</v>
      </c>
      <c r="C3061" s="3" t="s">
        <v>12642</v>
      </c>
      <c r="D3061" s="3" t="s">
        <v>12643</v>
      </c>
      <c r="E3061" s="3" t="s">
        <v>12644</v>
      </c>
      <c r="F3061" s="3" t="s">
        <v>12645</v>
      </c>
      <c r="G3061" s="3" t="str">
        <f ca="1">IFERROR(__xludf.DUMMYFUNCTION("googletranslate(D3061,""en"",""ja"")"),"酸;ライザーゲートジエチルアミド;リセルグ酸ジエチルアミド")</f>
        <v>酸;ライザーゲートジエチルアミド;リセルグ酸ジエチルアミド</v>
      </c>
      <c r="H3061" s="3" t="str">
        <f ca="1">IFERROR(__xludf.DUMMYFUNCTION("googletranslate(E3061,""en"",""ja"")"),"生物学的標本中のリゼルギン酸ジエチルアミン (LSD) の測定。")</f>
        <v>生物学的標本中のリゼルギン酸ジエチルアミン (LSD) の測定。</v>
      </c>
      <c r="I3061" s="3" t="str">
        <f ca="1">IFERROR(__xludf.DUMMYFUNCTION("googletranslate(F3061,""en"",""ja"")"),"リセルジドの測定")</f>
        <v>リセルジドの測定</v>
      </c>
    </row>
    <row r="3062" spans="1:9" ht="30">
      <c r="A3062" s="3" t="s">
        <v>6</v>
      </c>
      <c r="B3062" s="3" t="s">
        <v>12646</v>
      </c>
      <c r="C3062" s="3" t="s">
        <v>12647</v>
      </c>
      <c r="D3062" s="3" t="s">
        <v>12648</v>
      </c>
      <c r="E3062" s="3" t="s">
        <v>12649</v>
      </c>
      <c r="F3062" s="3" t="s">
        <v>12650</v>
      </c>
      <c r="G3062" s="3" t="str">
        <f ca="1">IFERROR(__xludf.DUMMYFUNCTION("googletranslate(D3062,""en"",""ja"")"),"sL-セレクチン;可溶性CD62L;可溶性L-セレクチン")</f>
        <v>sL-セレクチン;可溶性CD62L;可溶性L-セレクチン</v>
      </c>
      <c r="H3062" s="3" t="str">
        <f ca="1">IFERROR(__xludf.DUMMYFUNCTION("googletranslate(E3062,""en"",""ja"")"),"生体試料中の可溶性 L-セレクチンの測定。")</f>
        <v>生体試料中の可溶性 L-セレクチンの測定。</v>
      </c>
      <c r="I3062" s="3" t="str">
        <f ca="1">IFERROR(__xludf.DUMMYFUNCTION("googletranslate(F3062,""en"",""ja"")"),"可溶性L-セレクチンの測定")</f>
        <v>可溶性L-セレクチンの測定</v>
      </c>
    </row>
    <row r="3063" spans="1:9" ht="30">
      <c r="A3063" s="3" t="s">
        <v>67</v>
      </c>
      <c r="B3063" s="3" t="s">
        <v>12651</v>
      </c>
      <c r="C3063" s="3" t="s">
        <v>12652</v>
      </c>
      <c r="D3063" s="3" t="s">
        <v>12652</v>
      </c>
      <c r="E3063" s="3" t="s">
        <v>12653</v>
      </c>
      <c r="F3063" s="3" t="s">
        <v>12654</v>
      </c>
      <c r="G3063" s="3" t="str">
        <f ca="1">IFERROR(__xludf.DUMMYFUNCTION("googletranslate(D3063,""en"",""ja"")"),"リステリア・モノサイトゲネスのDNA")</f>
        <v>リステリア・モノサイトゲネスのDNA</v>
      </c>
      <c r="H3063" s="3" t="str">
        <f ca="1">IFERROR(__xludf.DUMMYFUNCTION("googletranslate(E3063,""en"",""ja"")"),"生物学的標本中のリステリア モノサイトゲネス DNA の測定。")</f>
        <v>生物学的標本中のリステリア モノサイトゲネス DNA の測定。</v>
      </c>
      <c r="I3063" s="3" t="str">
        <f ca="1">IFERROR(__xludf.DUMMYFUNCTION("googletranslate(F3063,""en"",""ja"")"),"リステリア・モノサイトゲネスDNA測定")</f>
        <v>リステリア・モノサイトゲネスDNA測定</v>
      </c>
    </row>
    <row r="3064" spans="1:9" ht="30">
      <c r="A3064" s="3" t="s">
        <v>6</v>
      </c>
      <c r="B3064" s="3" t="s">
        <v>12655</v>
      </c>
      <c r="C3064" s="3" t="s">
        <v>12656</v>
      </c>
      <c r="D3064" s="3" t="s">
        <v>12657</v>
      </c>
      <c r="E3064" s="3" t="s">
        <v>12658</v>
      </c>
      <c r="F3064" s="3" t="s">
        <v>12659</v>
      </c>
      <c r="G3064" s="3" t="str">
        <f ca="1">IFERROR(__xludf.DUMMYFUNCTION("googletranslate(D3064,""en"",""ja"")"),"リンホトキシンα; TNF-ベータ;腫瘍壊死因子ベータ")</f>
        <v>リンホトキシンα; TNF-ベータ;腫瘍壊死因子ベータ</v>
      </c>
      <c r="H3064" s="3" t="str">
        <f ca="1">IFERROR(__xludf.DUMMYFUNCTION("googletranslate(E3064,""en"",""ja"")"),"生物学的標本中のリンホトキシン アルファの測定。")</f>
        <v>生物学的標本中のリンホトキシン アルファの測定。</v>
      </c>
      <c r="I3064" s="3" t="str">
        <f ca="1">IFERROR(__xludf.DUMMYFUNCTION("googletranslate(F3064,""en"",""ja"")"),"リンホトキシンαの測定")</f>
        <v>リンホトキシンαの測定</v>
      </c>
    </row>
    <row r="3065" spans="1:9" ht="30">
      <c r="A3065" s="3" t="s">
        <v>6</v>
      </c>
      <c r="B3065" s="3" t="s">
        <v>12660</v>
      </c>
      <c r="C3065" s="3" t="s">
        <v>12661</v>
      </c>
      <c r="D3065" s="3" t="s">
        <v>12661</v>
      </c>
      <c r="E3065" s="3" t="s">
        <v>12662</v>
      </c>
      <c r="F3065" s="3" t="s">
        <v>12663</v>
      </c>
      <c r="G3065" s="3" t="str">
        <f ca="1">IFERROR(__xludf.DUMMYFUNCTION("googletranslate(D3065,""en"",""ja"")"),"ロイコトリエンB4")</f>
        <v>ロイコトリエンB4</v>
      </c>
      <c r="H3065" s="3" t="str">
        <f ca="1">IFERROR(__xludf.DUMMYFUNCTION("googletranslate(E3065,""en"",""ja"")"),"生物学的標本中のロイコトリエン B4 の測定。")</f>
        <v>生物学的標本中のロイコトリエン B4 の測定。</v>
      </c>
      <c r="I3065" s="3" t="str">
        <f ca="1">IFERROR(__xludf.DUMMYFUNCTION("googletranslate(F3065,""en"",""ja"")"),"ロイコトリエンB4の測定")</f>
        <v>ロイコトリエンB4の測定</v>
      </c>
    </row>
    <row r="3066" spans="1:9" ht="30">
      <c r="A3066" s="3" t="s">
        <v>6</v>
      </c>
      <c r="B3066" s="3" t="s">
        <v>12664</v>
      </c>
      <c r="C3066" s="3" t="s">
        <v>12665</v>
      </c>
      <c r="D3066" s="3" t="s">
        <v>12665</v>
      </c>
      <c r="E3066" s="3" t="s">
        <v>12666</v>
      </c>
      <c r="F3066" s="3" t="s">
        <v>12667</v>
      </c>
      <c r="G3066" s="3" t="str">
        <f ca="1">IFERROR(__xludf.DUMMYFUNCTION("googletranslate(D3066,""en"",""ja"")"),"ロイコトリエン C4 シンターゼ")</f>
        <v>ロイコトリエン C4 シンターゼ</v>
      </c>
      <c r="H3066" s="3" t="str">
        <f ca="1">IFERROR(__xludf.DUMMYFUNCTION("googletranslate(E3066,""en"",""ja"")"),"生物学的標本中のロイコトリエン C4 シンターゼの測定。")</f>
        <v>生物学的標本中のロイコトリエン C4 シンターゼの測定。</v>
      </c>
      <c r="I3066" s="3" t="str">
        <f ca="1">IFERROR(__xludf.DUMMYFUNCTION("googletranslate(F3066,""en"",""ja"")"),"ロイコトリエンC4合成酵素の測定")</f>
        <v>ロイコトリエンC4合成酵素の測定</v>
      </c>
    </row>
    <row r="3067" spans="1:9" ht="30">
      <c r="A3067" s="3" t="s">
        <v>6</v>
      </c>
      <c r="B3067" s="3" t="s">
        <v>12668</v>
      </c>
      <c r="C3067" s="3" t="s">
        <v>12669</v>
      </c>
      <c r="D3067" s="3" t="s">
        <v>12669</v>
      </c>
      <c r="E3067" s="3" t="s">
        <v>12670</v>
      </c>
      <c r="F3067" s="3" t="s">
        <v>12671</v>
      </c>
      <c r="G3067" s="3" t="str">
        <f ca="1">IFERROR(__xludf.DUMMYFUNCTION("googletranslate(D3067,""en"",""ja"")"),"ロイコトリエン D4")</f>
        <v>ロイコトリエン D4</v>
      </c>
      <c r="H3067" s="3" t="str">
        <f ca="1">IFERROR(__xludf.DUMMYFUNCTION("googletranslate(E3067,""en"",""ja"")"),"生物学的標本中のロイコトリエン D4 の測定。")</f>
        <v>生物学的標本中のロイコトリエン D4 の測定。</v>
      </c>
      <c r="I3067" s="3" t="str">
        <f ca="1">IFERROR(__xludf.DUMMYFUNCTION("googletranslate(F3067,""en"",""ja"")"),"ロイコトリエンD4測定")</f>
        <v>ロイコトリエンD4測定</v>
      </c>
    </row>
    <row r="3068" spans="1:9" ht="30">
      <c r="A3068" s="3" t="s">
        <v>6</v>
      </c>
      <c r="B3068" s="3" t="s">
        <v>12672</v>
      </c>
      <c r="C3068" s="3" t="s">
        <v>12673</v>
      </c>
      <c r="D3068" s="3" t="s">
        <v>12673</v>
      </c>
      <c r="E3068" s="3" t="s">
        <v>12674</v>
      </c>
      <c r="F3068" s="3" t="s">
        <v>12675</v>
      </c>
      <c r="G3068" s="3" t="str">
        <f ca="1">IFERROR(__xludf.DUMMYFUNCTION("googletranslate(D3068,""en"",""ja"")"),"ロイコトリエン E4")</f>
        <v>ロイコトリエン E4</v>
      </c>
      <c r="H3068" s="3" t="str">
        <f ca="1">IFERROR(__xludf.DUMMYFUNCTION("googletranslate(E3068,""en"",""ja"")"),"生物学的標本中のロイコトリエン E4 の測定。")</f>
        <v>生物学的標本中のロイコトリエン E4 の測定。</v>
      </c>
      <c r="I3068" s="3" t="str">
        <f ca="1">IFERROR(__xludf.DUMMYFUNCTION("googletranslate(F3068,""en"",""ja"")"),"ロイコトリエン E4 の測定")</f>
        <v>ロイコトリエン E4 の測定</v>
      </c>
    </row>
    <row r="3069" spans="1:9" ht="30">
      <c r="A3069" s="3" t="s">
        <v>6</v>
      </c>
      <c r="B3069" s="3" t="s">
        <v>12676</v>
      </c>
      <c r="C3069" s="3" t="s">
        <v>12677</v>
      </c>
      <c r="D3069" s="3" t="s">
        <v>12678</v>
      </c>
      <c r="E3069" s="3" t="s">
        <v>12679</v>
      </c>
      <c r="F3069" s="3" t="s">
        <v>12680</v>
      </c>
      <c r="G3069" s="3" t="str">
        <f ca="1">IFERROR(__xludf.DUMMYFUNCTION("googletranslate(D3069,""en"",""ja"")"),"ラクトフェリン;ラクトトランスフェリン")</f>
        <v>ラクトフェリン;ラクトトランスフェリン</v>
      </c>
      <c r="H3069" s="3" t="str">
        <f ca="1">IFERROR(__xludf.DUMMYFUNCTION("googletranslate(E3069,""en"",""ja"")"),"生物学的標本中のラクトフェリンの測定。")</f>
        <v>生物学的標本中のラクトフェリンの測定。</v>
      </c>
      <c r="I3069" s="3" t="str">
        <f ca="1">IFERROR(__xludf.DUMMYFUNCTION("googletranslate(F3069,""en"",""ja"")"),"ラクトフェリン測定")</f>
        <v>ラクトフェリン測定</v>
      </c>
    </row>
    <row r="3070" spans="1:9" ht="45">
      <c r="A3070" s="3" t="s">
        <v>118</v>
      </c>
      <c r="B3070" s="3" t="s">
        <v>12681</v>
      </c>
      <c r="C3070" s="3" t="s">
        <v>12682</v>
      </c>
      <c r="D3070" s="3" t="s">
        <v>12682</v>
      </c>
      <c r="E3070" s="3" t="s">
        <v>12683</v>
      </c>
      <c r="F3070" s="3" t="s">
        <v>12682</v>
      </c>
      <c r="G3070" s="3" t="str">
        <f ca="1">IFERROR(__xludf.DUMMYFUNCTION("googletranslate(D3070,""en"",""ja"")"),"除脂肪組織塊")</f>
        <v>除脂肪組織塊</v>
      </c>
      <c r="H3070" s="3" t="str">
        <f ca="1">IFERROR(__xludf.DUMMYFUNCTION("googletranslate(E3070,""en"",""ja"")"),"個人の組織部分または組織全体の重量から、その組織部分または組織全体内の個人の体脂肪の重量を引いたもの。")</f>
        <v>個人の組織部分または組織全体の重量から、その組織部分または組織全体内の個人の体脂肪の重量を引いたもの。</v>
      </c>
      <c r="I3070" s="3" t="str">
        <f ca="1">IFERROR(__xludf.DUMMYFUNCTION("googletranslate(F3070,""en"",""ja"")"),"除脂肪組織塊")</f>
        <v>除脂肪組織塊</v>
      </c>
    </row>
    <row r="3071" spans="1:9">
      <c r="A3071" s="3" t="s">
        <v>2904</v>
      </c>
      <c r="B3071" s="3" t="s">
        <v>12684</v>
      </c>
      <c r="C3071" s="3" t="s">
        <v>12685</v>
      </c>
      <c r="D3071" s="3" t="s">
        <v>12685</v>
      </c>
      <c r="E3071" s="3" t="s">
        <v>12686</v>
      </c>
      <c r="F3071" s="3" t="s">
        <v>12685</v>
      </c>
      <c r="G3071" s="3" t="str">
        <f ca="1">IFERROR(__xludf.DUMMYFUNCTION("googletranslate(D3071,""en"",""ja"")"),"発光タイプ")</f>
        <v>発光タイプ</v>
      </c>
      <c r="H3071" s="3" t="str">
        <f ca="1">IFERROR(__xludf.DUMMYFUNCTION("googletranslate(E3071,""en"",""ja"")"),"発光の分類。")</f>
        <v>発光の分類。</v>
      </c>
      <c r="I3071" s="3" t="str">
        <f ca="1">IFERROR(__xludf.DUMMYFUNCTION("googletranslate(F3071,""en"",""ja"")"),"発光タイプ")</f>
        <v>発光タイプ</v>
      </c>
    </row>
    <row r="3072" spans="1:9">
      <c r="A3072" s="3" t="s">
        <v>6</v>
      </c>
      <c r="B3072" s="3" t="s">
        <v>12687</v>
      </c>
      <c r="C3072" s="3" t="s">
        <v>12688</v>
      </c>
      <c r="D3072" s="3" t="s">
        <v>12688</v>
      </c>
      <c r="E3072" s="3" t="s">
        <v>12689</v>
      </c>
      <c r="F3072" s="3" t="s">
        <v>12690</v>
      </c>
      <c r="G3072" s="3" t="str">
        <f ca="1">IFERROR(__xludf.DUMMYFUNCTION("googletranslate(D3072,""en"",""ja"")"),"ルラシドン")</f>
        <v>ルラシドン</v>
      </c>
      <c r="H3072" s="3" t="str">
        <f ca="1">IFERROR(__xludf.DUMMYFUNCTION("googletranslate(E3072,""en"",""ja"")"),"生物学的標本中のルラシドンの測定。")</f>
        <v>生物学的標本中のルラシドンの測定。</v>
      </c>
      <c r="I3072" s="3" t="str">
        <f ca="1">IFERROR(__xludf.DUMMYFUNCTION("googletranslate(F3072,""en"",""ja"")"),"ルラシドンの測定")</f>
        <v>ルラシドンの測定</v>
      </c>
    </row>
    <row r="3073" spans="1:9" ht="45">
      <c r="A3073" s="3" t="s">
        <v>81</v>
      </c>
      <c r="B3073" s="3" t="s">
        <v>12691</v>
      </c>
      <c r="C3073" s="3" t="s">
        <v>12692</v>
      </c>
      <c r="D3073" s="3" t="s">
        <v>12692</v>
      </c>
      <c r="E3073" s="3" t="s">
        <v>12693</v>
      </c>
      <c r="F3073" s="3" t="s">
        <v>12692</v>
      </c>
      <c r="G3073" s="3" t="str">
        <f ca="1">IFERROR(__xludf.DUMMYFUNCTION("googletranslate(D3073,""en"",""ja"")"),"左心室駆出率")</f>
        <v>左心室駆出率</v>
      </c>
      <c r="H3073" s="3" t="str">
        <f ca="1">IFERROR(__xludf.DUMMYFUNCTION("googletranslate(E3073,""en"",""ja"")"),"視覚的推定または計算によって測定できる、収縮期中に駆出される左心室拡張末期容積のパーセントまたは割合。")</f>
        <v>視覚的推定または計算によって測定できる、収縮期中に駆出される左心室拡張末期容積のパーセントまたは割合。</v>
      </c>
      <c r="I3073" s="3" t="str">
        <f ca="1">IFERROR(__xludf.DUMMYFUNCTION("googletranslate(F3073,""en"",""ja"")"),"左心室駆出率")</f>
        <v>左心室駆出率</v>
      </c>
    </row>
    <row r="3074" spans="1:9" ht="60">
      <c r="A3074" s="3" t="s">
        <v>81</v>
      </c>
      <c r="B3074" s="3" t="s">
        <v>12694</v>
      </c>
      <c r="C3074" s="3" t="s">
        <v>12695</v>
      </c>
      <c r="D3074" s="3" t="s">
        <v>12696</v>
      </c>
      <c r="E3074" s="3" t="s">
        <v>12697</v>
      </c>
      <c r="F3074" s="3" t="s">
        <v>12698</v>
      </c>
      <c r="G3074" s="3" t="str">
        <f ca="1">IFERROR(__xludf.DUMMYFUNCTION("googletranslate(D3074,""en"",""ja"")"),"左心室駆出率、Cal;左心室駆出率、計算")</f>
        <v>左心室駆出率、Cal;左心室駆出率、計算</v>
      </c>
      <c r="H3074" s="3" t="str">
        <f ca="1">IFERROR(__xludf.DUMMYFUNCTION("googletranslate(E3074,""en"",""ja"")"),"左心室収縮期に左心室から駆出される血液量のパーセントまたは割合。左心室拍出量を左心室拡張終期容積で割ったものとして計算されます。")</f>
        <v>左心室収縮期に左心室から駆出される血液量のパーセントまたは割合。左心室拍出量を左心室拡張終期容積で割ったものとして計算されます。</v>
      </c>
      <c r="I3074" s="3" t="str">
        <f ca="1">IFERROR(__xludf.DUMMYFUNCTION("googletranslate(F3074,""en"",""ja"")"),"計算された左心室駆出率")</f>
        <v>計算された左心室駆出率</v>
      </c>
    </row>
    <row r="3075" spans="1:9" ht="45">
      <c r="A3075" s="3" t="s">
        <v>81</v>
      </c>
      <c r="B3075" s="3" t="s">
        <v>12699</v>
      </c>
      <c r="C3075" s="3" t="s">
        <v>12700</v>
      </c>
      <c r="D3075" s="3" t="s">
        <v>12701</v>
      </c>
      <c r="E3075" s="3" t="s">
        <v>12702</v>
      </c>
      <c r="F3075" s="3" t="s">
        <v>12703</v>
      </c>
      <c r="G3075" s="3" t="str">
        <f ca="1">IFERROR(__xludf.DUMMYFUNCTION("googletranslate(D3075,""en"",""ja"")"),"左心室駆出率、Est;左心室駆出率、推定値")</f>
        <v>左心室駆出率、Est;左心室駆出率、推定値</v>
      </c>
      <c r="H3075" s="3" t="str">
        <f ca="1">IFERROR(__xludf.DUMMYFUNCTION("googletranslate(E3075,""en"",""ja"")"),"左心室収縮期に左心室から駆出される血液量のパーセントまたは割合を視覚的に推定したもの。")</f>
        <v>左心室収縮期に左心室から駆出される血液量のパーセントまたは割合を視覚的に推定したもの。</v>
      </c>
      <c r="I3075" s="3" t="str">
        <f ca="1">IFERROR(__xludf.DUMMYFUNCTION("googletranslate(F3075,""en"",""ja"")"),"推定左心室駆出率")</f>
        <v>推定左心室駆出率</v>
      </c>
    </row>
    <row r="3076" spans="1:9" ht="60">
      <c r="A3076" s="3" t="s">
        <v>6</v>
      </c>
      <c r="B3076" s="3" t="s">
        <v>12704</v>
      </c>
      <c r="C3076" s="3" t="s">
        <v>12705</v>
      </c>
      <c r="D3076" s="3" t="s">
        <v>12705</v>
      </c>
      <c r="E3076" s="3" t="s">
        <v>12706</v>
      </c>
      <c r="F3076" s="3" t="s">
        <v>12705</v>
      </c>
      <c r="G3076" s="3" t="str">
        <f ca="1">IFERROR(__xludf.DUMMYFUNCTION("googletranslate(D3076,""en"",""ja"")"),"肝線維症スコア")</f>
        <v>肝線維症スコア</v>
      </c>
      <c r="H3076" s="3" t="str">
        <f ca="1">IFERROR(__xludf.DUMMYFUNCTION("googletranslate(E3076,""en"",""ja"")"),"被験者の年齢や性別などの追加の人口統計的要因を考慮に入れて、複数の血液検査パラメーターの評価を通じて肝臓の病状を評価するスコアリング システム。")</f>
        <v>被験者の年齢や性別などの追加の人口統計的要因を考慮に入れて、複数の血液検査パラメーターの評価を通じて肝臓の病状を評価するスコアリング システム。</v>
      </c>
      <c r="I3076" s="3" t="str">
        <f ca="1">IFERROR(__xludf.DUMMYFUNCTION("googletranslate(F3076,""en"",""ja"")"),"肝線維症スコア")</f>
        <v>肝線維症スコア</v>
      </c>
    </row>
    <row r="3077" spans="1:9" ht="75">
      <c r="A3077" s="3" t="s">
        <v>81</v>
      </c>
      <c r="B3077" s="3" t="s">
        <v>12707</v>
      </c>
      <c r="C3077" s="3" t="s">
        <v>12708</v>
      </c>
      <c r="D3077" s="3" t="s">
        <v>12708</v>
      </c>
      <c r="E3077" s="3" t="s">
        <v>12709</v>
      </c>
      <c r="F3077" s="3" t="s">
        <v>12708</v>
      </c>
      <c r="G3077" s="3" t="str">
        <f ca="1">IFERROR(__xludf.DUMMYFUNCTION("googletranslate(D3077,""en"",""ja"")"),"左心室短縮率")</f>
        <v>左心室短縮率</v>
      </c>
      <c r="H3077" s="3" t="str">
        <f ca="1">IFERROR(__xludf.DUMMYFUNCTION("googletranslate(E3077,""en"",""ja"")"),"収縮終期と拡張終期の間に生じる拡張終期直径寸法の長さの減少。拡張終期寸法の割合として表されます。左心室短縮率の計算は次のとおりです。")</f>
        <v>収縮終期と拡張終期の間に生じる拡張終期直径寸法の長さの減少。拡張終期寸法の割合として表されます。左心室短縮率の計算は次のとおりです。</v>
      </c>
      <c r="I3077" s="3" t="str">
        <f ca="1">IFERROR(__xludf.DUMMYFUNCTION("googletranslate(F3077,""en"",""ja"")"),"左心室短縮率")</f>
        <v>左心室短縮率</v>
      </c>
    </row>
    <row r="3078" spans="1:9" ht="75">
      <c r="A3078" s="3" t="s">
        <v>81</v>
      </c>
      <c r="B3078" s="3" t="s">
        <v>12710</v>
      </c>
      <c r="C3078" s="3" t="s">
        <v>12711</v>
      </c>
      <c r="D3078" s="3" t="s">
        <v>12711</v>
      </c>
      <c r="E3078" s="3" t="s">
        <v>12712</v>
      </c>
      <c r="F3078" s="3" t="s">
        <v>12713</v>
      </c>
      <c r="G3078" s="3" t="str">
        <f ca="1">IFERROR(__xludf.DUMMYFUNCTION("googletranslate(D3078,""en"",""ja"")"),"左心室質量、推定値")</f>
        <v>左心室質量、推定値</v>
      </c>
      <c r="H3078" s="3" t="str">
        <f ca="1">IFERROR(__xludf.DUMMYFUNCTION("googletranslate(E3078,""en"",""ja"")"),"心エコー検査からの推定測定値と心筋の比重などの定数を使用する式によって推定された左心室の重量 (グラム単位)。左心室質量は次の式を使用して推定されます。")</f>
        <v>心エコー検査からの推定測定値と心筋の比重などの定数を使用する式によって推定された左心室の重量 (グラム単位)。左心室質量は次の式を使用して推定されます。</v>
      </c>
      <c r="I3078" s="3" t="str">
        <f ca="1">IFERROR(__xludf.DUMMYFUNCTION("googletranslate(F3078,""en"",""ja"")"),"左心室の推定質量")</f>
        <v>左心室の推定質量</v>
      </c>
    </row>
    <row r="3079" spans="1:9" ht="30">
      <c r="A3079" s="3" t="s">
        <v>81</v>
      </c>
      <c r="B3079" s="3" t="s">
        <v>12714</v>
      </c>
      <c r="C3079" s="3" t="s">
        <v>12715</v>
      </c>
      <c r="D3079" s="3" t="s">
        <v>12715</v>
      </c>
      <c r="E3079" s="3" t="s">
        <v>12716</v>
      </c>
      <c r="F3079" s="3" t="s">
        <v>12715</v>
      </c>
      <c r="G3079" s="3" t="str">
        <f ca="1">IFERROR(__xludf.DUMMYFUNCTION("googletranslate(D3079,""en"",""ja"")"),"左心室質量指数")</f>
        <v>左心室質量指数</v>
      </c>
      <c r="H3079" s="3" t="str">
        <f ca="1">IFERROR(__xludf.DUMMYFUNCTION("googletranslate(E3079,""en"",""ja"")"),"左心室の質量を被験者の体表面積で割ったもの。")</f>
        <v>左心室の質量を被験者の体表面積で割ったもの。</v>
      </c>
      <c r="I3079" s="3" t="str">
        <f ca="1">IFERROR(__xludf.DUMMYFUNCTION("googletranslate(F3079,""en"",""ja"")"),"左心室質量指数")</f>
        <v>左心室質量指数</v>
      </c>
    </row>
    <row r="3080" spans="1:9" ht="45">
      <c r="A3080" s="3" t="s">
        <v>81</v>
      </c>
      <c r="B3080" s="3" t="s">
        <v>12717</v>
      </c>
      <c r="C3080" s="3" t="s">
        <v>12718</v>
      </c>
      <c r="D3080" s="3" t="s">
        <v>12719</v>
      </c>
      <c r="E3080" s="3" t="s">
        <v>12720</v>
      </c>
      <c r="F3080" s="3" t="s">
        <v>12721</v>
      </c>
      <c r="G3080" s="3" t="str">
        <f ca="1">IFERROR(__xludf.DUMMYFUNCTION("googletranslate(D3080,""en"",""ja"")"),"左心室流出路のピーク速度。 LVOT ピーク速度")</f>
        <v>左心室流出路のピーク速度。 LVOT ピーク速度</v>
      </c>
      <c r="H3080" s="3" t="str">
        <f ca="1">IFERROR(__xludf.DUMMYFUNCTION("googletranslate(E3080,""en"",""ja"")"),"左心室収縮期に左心室流出路で測定される血流の最大速度の測定値。")</f>
        <v>左心室収縮期に左心室流出路で測定される血流の最大速度の測定値。</v>
      </c>
      <c r="I3080" s="3" t="str">
        <f ca="1">IFERROR(__xludf.DUMMYFUNCTION("googletranslate(F3080,""en"",""ja"")"),"左心室流出路の最大速度")</f>
        <v>左心室流出路の最大速度</v>
      </c>
    </row>
    <row r="3081" spans="1:9" ht="45">
      <c r="A3081" s="3" t="s">
        <v>81</v>
      </c>
      <c r="B3081" s="3" t="s">
        <v>12722</v>
      </c>
      <c r="C3081" s="3" t="s">
        <v>12723</v>
      </c>
      <c r="D3081" s="3" t="s">
        <v>12724</v>
      </c>
      <c r="E3081" s="3" t="s">
        <v>12725</v>
      </c>
      <c r="F3081" s="3" t="s">
        <v>12726</v>
      </c>
      <c r="G3081" s="3" t="str">
        <f ca="1">IFERROR(__xludf.DUMMYFUNCTION("googletranslate(D3081,""en"",""ja"")"),"左心室流出路速度時間積分。 LVOT 速度時間積分")</f>
        <v>左心室流出路速度時間積分。 LVOT 速度時間積分</v>
      </c>
      <c r="H3081" s="3" t="str">
        <f ca="1">IFERROR(__xludf.DUMMYFUNCTION("googletranslate(E3081,""en"",""ja"")"),"左心室収縮期中の左心室流出路内のすべての瞬間流速の積分。")</f>
        <v>左心室収縮期中の左心室流出路内のすべての瞬間流速の積分。</v>
      </c>
      <c r="I3081" s="3" t="str">
        <f ca="1">IFERROR(__xludf.DUMMYFUNCTION("googletranslate(F3081,""en"",""ja"")"),"左心室流出路速度時間積分")</f>
        <v>左心室流出路速度時間積分</v>
      </c>
    </row>
    <row r="3082" spans="1:9">
      <c r="A3082" s="3" t="s">
        <v>6</v>
      </c>
      <c r="B3082" s="3" t="s">
        <v>12727</v>
      </c>
      <c r="C3082" s="3" t="s">
        <v>12728</v>
      </c>
      <c r="D3082" s="3" t="s">
        <v>12728</v>
      </c>
      <c r="E3082" s="3" t="s">
        <v>12729</v>
      </c>
      <c r="F3082" s="3" t="s">
        <v>12730</v>
      </c>
      <c r="G3082" s="3" t="str">
        <f ca="1">IFERROR(__xludf.DUMMYFUNCTION("googletranslate(D3082,""en"",""ja"")"),"レボルファノール")</f>
        <v>レボルファノール</v>
      </c>
      <c r="H3082" s="3" t="str">
        <f ca="1">IFERROR(__xludf.DUMMYFUNCTION("googletranslate(E3082,""en"",""ja"")"),"生物学的標本中のレボルファノールの測定。")</f>
        <v>生物学的標本中のレボルファノールの測定。</v>
      </c>
      <c r="I3082" s="3" t="str">
        <f ca="1">IFERROR(__xludf.DUMMYFUNCTION("googletranslate(F3082,""en"",""ja"")"),"レボルファノールの測定")</f>
        <v>レボルファノールの測定</v>
      </c>
    </row>
    <row r="3083" spans="1:9" ht="30">
      <c r="A3083" s="3" t="s">
        <v>503</v>
      </c>
      <c r="B3083" s="3" t="s">
        <v>12731</v>
      </c>
      <c r="C3083" s="3" t="s">
        <v>12732</v>
      </c>
      <c r="D3083" s="3" t="s">
        <v>12732</v>
      </c>
      <c r="E3083" s="3" t="s">
        <v>12733</v>
      </c>
      <c r="F3083" s="3" t="s">
        <v>12732</v>
      </c>
      <c r="G3083" s="3" t="str">
        <f ca="1">IFERROR(__xludf.DUMMYFUNCTION("googletranslate(D3083,""en"",""ja"")"),"主体と生きるインジケーター")</f>
        <v>主体と生きるインジケーター</v>
      </c>
      <c r="H3083" s="3" t="str">
        <f ca="1">IFERROR(__xludf.DUMMYFUNCTION("googletranslate(E3083,""en"",""ja"")"),"関連する人物が対象者と同居しているかどうかの指標。 (NCI)")</f>
        <v>関連する人物が対象者と同居しているかどうかの指標。 (NCI)</v>
      </c>
      <c r="I3083" s="3" t="str">
        <f ca="1">IFERROR(__xludf.DUMMYFUNCTION("googletranslate(F3083,""en"",""ja"")"),"主体と生きるインジケーター")</f>
        <v>主体と生きるインジケーター</v>
      </c>
    </row>
    <row r="3084" spans="1:9">
      <c r="A3084" s="3" t="s">
        <v>6</v>
      </c>
      <c r="B3084" s="3" t="s">
        <v>12734</v>
      </c>
      <c r="C3084" s="3" t="s">
        <v>12735</v>
      </c>
      <c r="D3084" s="3" t="s">
        <v>12735</v>
      </c>
      <c r="E3084" s="3" t="s">
        <v>12736</v>
      </c>
      <c r="F3084" s="3" t="s">
        <v>12737</v>
      </c>
      <c r="G3084" s="3" t="str">
        <f ca="1">IFERROR(__xludf.DUMMYFUNCTION("googletranslate(D3084,""en"",""ja"")"),"レベチラセタム")</f>
        <v>レベチラセタム</v>
      </c>
      <c r="H3084" s="3" t="str">
        <f ca="1">IFERROR(__xludf.DUMMYFUNCTION("googletranslate(E3084,""en"",""ja"")"),"生物学的標本中のレベチラセタムの測定。")</f>
        <v>生物学的標本中のレベチラセタムの測定。</v>
      </c>
      <c r="I3084" s="3" t="str">
        <f ca="1">IFERROR(__xludf.DUMMYFUNCTION("googletranslate(F3084,""en"",""ja"")"),"レベチラセタムの測定")</f>
        <v>レベチラセタムの測定</v>
      </c>
    </row>
    <row r="3085" spans="1:9" ht="30">
      <c r="A3085" s="3" t="s">
        <v>6</v>
      </c>
      <c r="B3085" s="3" t="s">
        <v>12738</v>
      </c>
      <c r="C3085" s="3" t="s">
        <v>12739</v>
      </c>
      <c r="D3085" s="3" t="s">
        <v>12740</v>
      </c>
      <c r="E3085" s="3" t="s">
        <v>12741</v>
      </c>
      <c r="F3085" s="3" t="s">
        <v>12742</v>
      </c>
      <c r="G3085" s="3" t="str">
        <f ca="1">IFERROR(__xludf.DUMMYFUNCTION("googletranslate(D3085,""en"",""ja"")"),"リンパ球抗原 6 ファミリーメンバー E;リンパ球抗原 6E")</f>
        <v>リンパ球抗原 6 ファミリーメンバー E;リンパ球抗原 6E</v>
      </c>
      <c r="H3085" s="3" t="str">
        <f ca="1">IFERROR(__xludf.DUMMYFUNCTION("googletranslate(E3085,""en"",""ja"")"),"生物学的標本中のリンパ球抗原 6E の測定。")</f>
        <v>生物学的標本中のリンパ球抗原 6E の測定。</v>
      </c>
      <c r="I3085" s="3" t="str">
        <f ca="1">IFERROR(__xludf.DUMMYFUNCTION("googletranslate(F3085,""en"",""ja"")"),"リンパ球抗原6E測定")</f>
        <v>リンパ球抗原6E測定</v>
      </c>
    </row>
    <row r="3086" spans="1:9">
      <c r="A3086" s="3" t="s">
        <v>103</v>
      </c>
      <c r="B3086" s="3" t="s">
        <v>12743</v>
      </c>
      <c r="C3086" s="3" t="s">
        <v>12744</v>
      </c>
      <c r="D3086" s="3" t="s">
        <v>12744</v>
      </c>
      <c r="E3086" s="3" t="s">
        <v>12745</v>
      </c>
      <c r="F3086" s="3" t="s">
        <v>12746</v>
      </c>
      <c r="G3086" s="3" t="str">
        <f ca="1">IFERROR(__xludf.DUMMYFUNCTION("googletranslate(D3086,""en"",""ja"")"),"リンパ球")</f>
        <v>リンパ球</v>
      </c>
      <c r="H3086" s="3" t="str">
        <f ca="1">IFERROR(__xludf.DUMMYFUNCTION("googletranslate(E3086,""en"",""ja"")"),"生物学的標本中のリンパ球の測定。")</f>
        <v>生物学的標本中のリンパ球の測定。</v>
      </c>
      <c r="I3086" s="3" t="str">
        <f ca="1">IFERROR(__xludf.DUMMYFUNCTION("googletranslate(F3086,""en"",""ja"")"),"リンパ球数")</f>
        <v>リンパ球数</v>
      </c>
    </row>
    <row r="3087" spans="1:9">
      <c r="A3087" s="3" t="s">
        <v>6</v>
      </c>
      <c r="B3087" s="3" t="s">
        <v>12743</v>
      </c>
      <c r="C3087" s="3" t="s">
        <v>12744</v>
      </c>
      <c r="D3087" s="3" t="s">
        <v>12744</v>
      </c>
      <c r="E3087" s="3" t="s">
        <v>12745</v>
      </c>
      <c r="F3087" s="3" t="s">
        <v>12746</v>
      </c>
      <c r="G3087" s="3" t="str">
        <f ca="1">IFERROR(__xludf.DUMMYFUNCTION("googletranslate(D3087,""en"",""ja"")"),"リンパ球")</f>
        <v>リンパ球</v>
      </c>
      <c r="H3087" s="3" t="str">
        <f ca="1">IFERROR(__xludf.DUMMYFUNCTION("googletranslate(E3087,""en"",""ja"")"),"生物学的標本中のリンパ球の測定。")</f>
        <v>生物学的標本中のリンパ球の測定。</v>
      </c>
      <c r="I3087" s="3" t="str">
        <f ca="1">IFERROR(__xludf.DUMMYFUNCTION("googletranslate(F3087,""en"",""ja"")"),"リンパ球数")</f>
        <v>リンパ球数</v>
      </c>
    </row>
    <row r="3088" spans="1:9" ht="30">
      <c r="A3088" s="3" t="s">
        <v>6</v>
      </c>
      <c r="B3088" s="3" t="s">
        <v>12747</v>
      </c>
      <c r="C3088" s="3" t="s">
        <v>12748</v>
      </c>
      <c r="D3088" s="3" t="s">
        <v>12748</v>
      </c>
      <c r="E3088" s="3" t="s">
        <v>12749</v>
      </c>
      <c r="F3088" s="3" t="s">
        <v>12750</v>
      </c>
      <c r="G3088" s="3" t="str">
        <f ca="1">IFERROR(__xludf.DUMMYFUNCTION("googletranslate(D3088,""en"",""ja"")"),"リンパ球の活性化")</f>
        <v>リンパ球の活性化</v>
      </c>
      <c r="H3088" s="3" t="str">
        <f ca="1">IFERROR(__xludf.DUMMYFUNCTION("googletranslate(E3088,""en"",""ja"")"),"生物学的標本中の総活性化リンパ球の測定。")</f>
        <v>生物学的標本中の総活性化リンパ球の測定。</v>
      </c>
      <c r="I3088" s="3" t="str">
        <f ca="1">IFERROR(__xludf.DUMMYFUNCTION("googletranslate(F3088,""en"",""ja"")"),"活性化リンパ球測定")</f>
        <v>活性化リンパ球測定</v>
      </c>
    </row>
    <row r="3089" spans="1:9" ht="45">
      <c r="A3089" s="3" t="s">
        <v>6</v>
      </c>
      <c r="B3089" s="3" t="s">
        <v>12751</v>
      </c>
      <c r="C3089" s="3" t="s">
        <v>12752</v>
      </c>
      <c r="D3089" s="3" t="s">
        <v>12753</v>
      </c>
      <c r="E3089" s="3" t="s">
        <v>12754</v>
      </c>
      <c r="F3089" s="3" t="s">
        <v>12755</v>
      </c>
      <c r="G3089" s="3" t="str">
        <f ca="1">IFERROR(__xludf.DUMMYFUNCTION("googletranslate(D3089,""en"",""ja"")"),"リンパ球が異型;リンパ球、変異体。反応性リンパ球")</f>
        <v>リンパ球が異型;リンパ球、変異体。反応性リンパ球</v>
      </c>
      <c r="H3089" s="3" t="str">
        <f ca="1">IFERROR(__xludf.DUMMYFUNCTION("googletranslate(E3089,""en"",""ja"")"),"生物学的標本中の異型リンパ球の測定。")</f>
        <v>生物学的標本中の異型リンパ球の測定。</v>
      </c>
      <c r="I3089" s="3" t="str">
        <f ca="1">IFERROR(__xludf.DUMMYFUNCTION("googletranslate(F3089,""en"",""ja"")"),"異型リンパ球数")</f>
        <v>異型リンパ球数</v>
      </c>
    </row>
    <row r="3090" spans="1:9" ht="45">
      <c r="A3090" s="3" t="s">
        <v>6</v>
      </c>
      <c r="B3090" s="3" t="s">
        <v>12756</v>
      </c>
      <c r="C3090" s="3" t="s">
        <v>12757</v>
      </c>
      <c r="D3090" s="3" t="s">
        <v>12758</v>
      </c>
      <c r="E3090" s="3" t="s">
        <v>12759</v>
      </c>
      <c r="F3090" s="3" t="s">
        <v>12760</v>
      </c>
      <c r="G3090" s="3" t="str">
        <f ca="1">IFERROR(__xludf.DUMMYFUNCTION("googletranslate(D3090,""en"",""ja"")"),"異型リンパ球/白血球;リンパ球、変異体/白血球;反応性リンパ球/白血球")</f>
        <v>異型リンパ球/白血球;リンパ球、変異体/白血球;反応性リンパ球/白血球</v>
      </c>
      <c r="H3090" s="3" t="str">
        <f ca="1">IFERROR(__xludf.DUMMYFUNCTION("googletranslate(E3090,""en"",""ja"")"),"生物学的標本中の白血球に対する異型リンパ球の相対測定値 (比率またはパーセンテージ)。")</f>
        <v>生物学的標本中の白血球に対する異型リンパ球の相対測定値 (比率またはパーセンテージ)。</v>
      </c>
      <c r="I3090" s="3" t="str">
        <f ca="1">IFERROR(__xludf.DUMMYFUNCTION("googletranslate(F3090,""en"",""ja"")"),"異型リンパ球と白血球の比率の測定")</f>
        <v>異型リンパ球と白血球の比率の測定</v>
      </c>
    </row>
    <row r="3091" spans="1:9" ht="90">
      <c r="A3091" s="3" t="s">
        <v>6</v>
      </c>
      <c r="B3091" s="3" t="s">
        <v>12761</v>
      </c>
      <c r="C3091" s="3" t="s">
        <v>12762</v>
      </c>
      <c r="D3091" s="3" t="s">
        <v>12763</v>
      </c>
      <c r="E3091" s="3" t="s">
        <v>12764</v>
      </c>
      <c r="F3091" s="3" t="s">
        <v>12765</v>
      </c>
      <c r="G3091" s="3" t="str">
        <f ca="1">IFERROR(__xludf.DUMMYFUNCTION("googletranslate(D3091,""en"",""ja"")"),"異型リンパ球/リンパ球;リンパ球 異型/リンパ球;反応性リンパ球/リンパ球;変異型リンパ球/リンパ球")</f>
        <v>異型リンパ球/リンパ球;リンパ球 異型/リンパ球;反応性リンパ球/リンパ球;変異型リンパ球/リンパ球</v>
      </c>
      <c r="H3091" s="3" t="str">
        <f ca="1">IFERROR(__xludf.DUMMYFUNCTION("googletranslate(E3091,""en"",""ja"")"),"生物学的標本中のすべてのリンパ球に対する異型リンパ球の相対測定値 (比率またはパーセンテージ)。")</f>
        <v>生物学的標本中のすべてのリンパ球に対する異型リンパ球の相対測定値 (比率またはパーセンテージ)。</v>
      </c>
      <c r="I3091" s="3" t="str">
        <f ca="1">IFERROR(__xludf.DUMMYFUNCTION("googletranslate(F3091,""en"",""ja"")"),"反応性リンパ球対リンパ球比の測定")</f>
        <v>反応性リンパ球対リンパ球比の測定</v>
      </c>
    </row>
    <row r="3092" spans="1:9" ht="45">
      <c r="A3092" s="3" t="s">
        <v>103</v>
      </c>
      <c r="B3092" s="3" t="s">
        <v>12766</v>
      </c>
      <c r="C3092" s="3" t="s">
        <v>12767</v>
      </c>
      <c r="D3092" s="3" t="s">
        <v>12767</v>
      </c>
      <c r="E3092" s="3" t="s">
        <v>12768</v>
      </c>
      <c r="F3092" s="3" t="s">
        <v>12769</v>
      </c>
      <c r="G3092" s="3" t="str">
        <f ca="1">IFERROR(__xludf.DUMMYFUNCTION("googletranslate(D3092,""en"",""ja"")"),"リンパ球/全細胞")</f>
        <v>リンパ球/全細胞</v>
      </c>
      <c r="H3092" s="3" t="str">
        <f ca="1">IFERROR(__xludf.DUMMYFUNCTION("googletranslate(E3092,""en"",""ja"")"),"生物学的標本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3092" s="3" t="str">
        <f ca="1">IFERROR(__xludf.DUMMYFUNCTION("googletranslate(F3092,""en"",""ja"")"),"リンパ球対総細胞比の測定")</f>
        <v>リンパ球対総細胞比の測定</v>
      </c>
    </row>
    <row r="3093" spans="1:9" ht="45">
      <c r="A3093" s="3" t="s">
        <v>6</v>
      </c>
      <c r="B3093" s="3" t="s">
        <v>12766</v>
      </c>
      <c r="C3093" s="3" t="s">
        <v>12767</v>
      </c>
      <c r="D3093" s="3" t="s">
        <v>12767</v>
      </c>
      <c r="E3093" s="3" t="s">
        <v>12768</v>
      </c>
      <c r="F3093" s="3" t="s">
        <v>12769</v>
      </c>
      <c r="G3093" s="3" t="str">
        <f ca="1">IFERROR(__xludf.DUMMYFUNCTION("googletranslate(D3093,""en"",""ja"")"),"リンパ球/全細胞")</f>
        <v>リンパ球/全細胞</v>
      </c>
      <c r="H3093" s="3" t="str">
        <f ca="1">IFERROR(__xludf.DUMMYFUNCTION("googletranslate(E3093,""en"",""ja"")"),"生物学的標本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3093" s="3" t="str">
        <f ca="1">IFERROR(__xludf.DUMMYFUNCTION("googletranslate(F3093,""en"",""ja"")"),"リンパ球対総細胞比の測定")</f>
        <v>リンパ球対総細胞比の測定</v>
      </c>
    </row>
    <row r="3094" spans="1:9" ht="30">
      <c r="A3094" s="3" t="s">
        <v>6</v>
      </c>
      <c r="B3094" s="3" t="s">
        <v>12770</v>
      </c>
      <c r="C3094" s="3" t="s">
        <v>12771</v>
      </c>
      <c r="D3094" s="3" t="s">
        <v>12771</v>
      </c>
      <c r="E3094" s="3" t="s">
        <v>12772</v>
      </c>
      <c r="F3094" s="3" t="s">
        <v>12773</v>
      </c>
      <c r="G3094" s="3" t="str">
        <f ca="1">IFERROR(__xludf.DUMMYFUNCTION("googletranslate(D3094,""en"",""ja"")"),"リンパ球、裂け目")</f>
        <v>リンパ球、裂け目</v>
      </c>
      <c r="H3094" s="3" t="str">
        <f ca="1">IFERROR(__xludf.DUMMYFUNCTION("googletranslate(E3094,""en"",""ja"")"),"生物学的標本中の裂けたリンパ球の測定。")</f>
        <v>生物学的標本中の裂けたリンパ球の測定。</v>
      </c>
      <c r="I3094" s="3" t="str">
        <f ca="1">IFERROR(__xludf.DUMMYFUNCTION("googletranslate(F3094,""en"",""ja"")"),"裂けたリンパ球の数")</f>
        <v>裂けたリンパ球の数</v>
      </c>
    </row>
    <row r="3095" spans="1:9" ht="30">
      <c r="A3095" s="3" t="s">
        <v>6</v>
      </c>
      <c r="B3095" s="3" t="s">
        <v>12774</v>
      </c>
      <c r="C3095" s="3" t="s">
        <v>12775</v>
      </c>
      <c r="D3095" s="3" t="s">
        <v>12775</v>
      </c>
      <c r="E3095" s="3" t="s">
        <v>12776</v>
      </c>
      <c r="F3095" s="3" t="s">
        <v>12777</v>
      </c>
      <c r="G3095" s="3" t="str">
        <f ca="1">IFERROR(__xludf.DUMMYFUNCTION("googletranslate(D3095,""en"",""ja"")"),"リンパ球、裂傷/白血球")</f>
        <v>リンパ球、裂傷/白血球</v>
      </c>
      <c r="H3095" s="3" t="str">
        <f ca="1">IFERROR(__xludf.DUMMYFUNCTION("googletranslate(E3095,""en"",""ja"")"),"生物学的標本中の全白血球に対する裂けたリンパ球の相対測定値 (比率またはパーセンテージ)。")</f>
        <v>生物学的標本中の全白血球に対する裂けたリンパ球の相対測定値 (比率またはパーセンテージ)。</v>
      </c>
      <c r="I3095" s="3" t="str">
        <f ca="1">IFERROR(__xludf.DUMMYFUNCTION("googletranslate(F3095,""en"",""ja"")"),"割れたリンパ球と白血球の比率の測定")</f>
        <v>割れたリンパ球と白血球の比率の測定</v>
      </c>
    </row>
    <row r="3096" spans="1:9" ht="30">
      <c r="A3096" s="3" t="s">
        <v>6</v>
      </c>
      <c r="B3096" s="3" t="s">
        <v>12778</v>
      </c>
      <c r="C3096" s="3" t="s">
        <v>12779</v>
      </c>
      <c r="D3096" s="3" t="s">
        <v>12779</v>
      </c>
      <c r="E3096" s="3" t="s">
        <v>12780</v>
      </c>
      <c r="F3096" s="3" t="s">
        <v>12781</v>
      </c>
      <c r="G3096" s="3" t="str">
        <f ca="1">IFERROR(__xludf.DUMMYFUNCTION("googletranslate(D3096,""en"",""ja"")"),"未熟リンパ球")</f>
        <v>未熟リンパ球</v>
      </c>
      <c r="H3096" s="3" t="str">
        <f ca="1">IFERROR(__xludf.DUMMYFUNCTION("googletranslate(E3096,""en"",""ja"")"),"生物学的標本中の未熟リンパ球の測定。")</f>
        <v>生物学的標本中の未熟リンパ球の測定。</v>
      </c>
      <c r="I3096" s="3" t="str">
        <f ca="1">IFERROR(__xludf.DUMMYFUNCTION("googletranslate(F3096,""en"",""ja"")"),"未熟リンパ球の測定")</f>
        <v>未熟リンパ球の測定</v>
      </c>
    </row>
    <row r="3097" spans="1:9" ht="30">
      <c r="A3097" s="3" t="s">
        <v>6</v>
      </c>
      <c r="B3097" s="3" t="s">
        <v>12782</v>
      </c>
      <c r="C3097" s="3" t="s">
        <v>12783</v>
      </c>
      <c r="D3097" s="3" t="s">
        <v>12783</v>
      </c>
      <c r="E3097" s="3" t="s">
        <v>12784</v>
      </c>
      <c r="F3097" s="3" t="s">
        <v>12785</v>
      </c>
      <c r="G3097" s="3" t="str">
        <f ca="1">IFERROR(__xludf.DUMMYFUNCTION("googletranslate(D3097,""en"",""ja"")"),"未熟リンパ球/白血球")</f>
        <v>未熟リンパ球/白血球</v>
      </c>
      <c r="H3097" s="3" t="str">
        <f ca="1">IFERROR(__xludf.DUMMYFUNCTION("googletranslate(E3097,""en"",""ja"")"),"生物学的標本中の白血球に対する未成熟リンパ球の相対的な測定値 (比率またはパーセンテージ)。")</f>
        <v>生物学的標本中の白血球に対する未成熟リンパ球の相対的な測定値 (比率またはパーセンテージ)。</v>
      </c>
      <c r="I3097" s="3" t="str">
        <f ca="1">IFERROR(__xludf.DUMMYFUNCTION("googletranslate(F3097,""en"",""ja"")"),"幼若リンパ球と白血球の比率測定")</f>
        <v>幼若リンパ球と白血球の比率測定</v>
      </c>
    </row>
    <row r="3098" spans="1:9" ht="30">
      <c r="A3098" s="3" t="s">
        <v>6</v>
      </c>
      <c r="B3098" s="3" t="s">
        <v>12786</v>
      </c>
      <c r="C3098" s="3" t="s">
        <v>12787</v>
      </c>
      <c r="D3098" s="3" t="s">
        <v>12787</v>
      </c>
      <c r="E3098" s="3" t="s">
        <v>12788</v>
      </c>
      <c r="F3098" s="3" t="s">
        <v>12789</v>
      </c>
      <c r="G3098" s="3" t="str">
        <f ca="1">IFERROR(__xludf.DUMMYFUNCTION("googletranslate(D3098,""en"",""ja"")"),"リンパ球/白血球")</f>
        <v>リンパ球/白血球</v>
      </c>
      <c r="H3098" s="3" t="str">
        <f ca="1">IFERROR(__xludf.DUMMYFUNCTION("googletranslate(E3098,""en"",""ja"")"),"生物学的標本における白血球に対するリンパ球の相対的な測定値 (比率またはパーセンテージ)。")</f>
        <v>生物学的標本における白血球に対するリンパ球の相対的な測定値 (比率またはパーセンテージ)。</v>
      </c>
      <c r="I3098" s="3" t="str">
        <f ca="1">IFERROR(__xludf.DUMMYFUNCTION("googletranslate(F3098,""en"",""ja"")"),"リンパ球と白血球の比率")</f>
        <v>リンパ球と白血球の比率</v>
      </c>
    </row>
    <row r="3099" spans="1:9" ht="30">
      <c r="A3099" s="3" t="s">
        <v>103</v>
      </c>
      <c r="B3099" s="3" t="s">
        <v>12786</v>
      </c>
      <c r="C3099" s="3" t="s">
        <v>12787</v>
      </c>
      <c r="D3099" s="3" t="s">
        <v>12787</v>
      </c>
      <c r="E3099" s="3" t="s">
        <v>12788</v>
      </c>
      <c r="F3099" s="3" t="s">
        <v>12789</v>
      </c>
      <c r="G3099" s="3" t="str">
        <f ca="1">IFERROR(__xludf.DUMMYFUNCTION("googletranslate(D3099,""en"",""ja"")"),"リンパ球/白血球")</f>
        <v>リンパ球/白血球</v>
      </c>
      <c r="H3099" s="3" t="str">
        <f ca="1">IFERROR(__xludf.DUMMYFUNCTION("googletranslate(E3099,""en"",""ja"")"),"生物学的標本における白血球に対するリンパ球の相対的な測定値 (比率またはパーセンテージ)。")</f>
        <v>生物学的標本における白血球に対するリンパ球の相対的な測定値 (比率またはパーセンテージ)。</v>
      </c>
      <c r="I3099" s="3" t="str">
        <f ca="1">IFERROR(__xludf.DUMMYFUNCTION("googletranslate(F3099,""en"",""ja"")"),"リンパ球と白血球の比率")</f>
        <v>リンパ球と白血球の比率</v>
      </c>
    </row>
    <row r="3100" spans="1:9" ht="45">
      <c r="A3100" s="3" t="s">
        <v>6</v>
      </c>
      <c r="B3100" s="3" t="s">
        <v>12790</v>
      </c>
      <c r="C3100" s="3" t="s">
        <v>12791</v>
      </c>
      <c r="D3100" s="3" t="s">
        <v>12791</v>
      </c>
      <c r="E3100" s="3" t="s">
        <v>12792</v>
      </c>
      <c r="F3100" s="3" t="s">
        <v>12793</v>
      </c>
      <c r="G3100" s="3" t="str">
        <f ca="1">IFERROR(__xludf.DUMMYFUNCTION("googletranslate(D3100,""en"",""ja"")"),"大型リンパ球")</f>
        <v>大型リンパ球</v>
      </c>
      <c r="H3100" s="3" t="str">
        <f ca="1">IFERROR(__xludf.DUMMYFUNCTION("googletranslate(E3100,""en"",""ja"")"),"生物学的標本中の大きなリンパ球 (直径約 10 μm ～ 20 μm) の測定値。")</f>
        <v>生物学的標本中の大きなリンパ球 (直径約 10 μm ～ 20 μm) の測定値。</v>
      </c>
      <c r="I3100" s="3" t="str">
        <f ca="1">IFERROR(__xludf.DUMMYFUNCTION("googletranslate(F3100,""en"",""ja"")"),"リンパ球数が多い")</f>
        <v>リンパ球数が多い</v>
      </c>
    </row>
    <row r="3101" spans="1:9" ht="30">
      <c r="A3101" s="3" t="s">
        <v>6</v>
      </c>
      <c r="B3101" s="3" t="s">
        <v>12794</v>
      </c>
      <c r="C3101" s="3" t="s">
        <v>12795</v>
      </c>
      <c r="D3101" s="3" t="s">
        <v>12795</v>
      </c>
      <c r="E3101" s="3" t="s">
        <v>12796</v>
      </c>
      <c r="F3101" s="3" t="s">
        <v>12797</v>
      </c>
      <c r="G3101" s="3" t="str">
        <f ca="1">IFERROR(__xludf.DUMMYFUNCTION("googletranslate(D3101,""en"",""ja"")"),"リンパ腫細胞")</f>
        <v>リンパ腫細胞</v>
      </c>
      <c r="H3101" s="3" t="str">
        <f ca="1">IFERROR(__xludf.DUMMYFUNCTION("googletranslate(E3101,""en"",""ja"")"),"生物学的標本中の悪性リンパ球の測定。")</f>
        <v>生物学的標本中の悪性リンパ球の測定。</v>
      </c>
      <c r="I3101" s="3" t="str">
        <f ca="1">IFERROR(__xludf.DUMMYFUNCTION("googletranslate(F3101,""en"",""ja"")"),"リンパ腫細胞数")</f>
        <v>リンパ腫細胞数</v>
      </c>
    </row>
    <row r="3102" spans="1:9" ht="30">
      <c r="A3102" s="3" t="s">
        <v>6</v>
      </c>
      <c r="B3102" s="3" t="s">
        <v>12798</v>
      </c>
      <c r="C3102" s="3" t="s">
        <v>12799</v>
      </c>
      <c r="D3102" s="3" t="s">
        <v>12799</v>
      </c>
      <c r="E3102" s="3" t="s">
        <v>12800</v>
      </c>
      <c r="F3102" s="3" t="s">
        <v>12801</v>
      </c>
      <c r="G3102" s="3" t="str">
        <f ca="1">IFERROR(__xludf.DUMMYFUNCTION("googletranslate(D3102,""en"",""ja"")"),"リンパ腫細胞/総細胞数")</f>
        <v>リンパ腫細胞/総細胞数</v>
      </c>
      <c r="H3102" s="3" t="str">
        <f ca="1">IFERROR(__xludf.DUMMYFUNCTION("googletranslate(E3102,""en"",""ja"")"),"生物学的標本の全細胞に対するリンパ腫細胞の相対的な測定値 (比率またはパーセンテージ)。")</f>
        <v>生物学的標本の全細胞に対するリンパ腫細胞の相対的な測定値 (比率またはパーセンテージ)。</v>
      </c>
      <c r="I3102" s="3" t="str">
        <f ca="1">IFERROR(__xludf.DUMMYFUNCTION("googletranslate(F3102,""en"",""ja"")"),"リンパ腫細胞対全細胞比の測定")</f>
        <v>リンパ腫細胞対全細胞比の測定</v>
      </c>
    </row>
    <row r="3103" spans="1:9" ht="45">
      <c r="A3103" s="3" t="s">
        <v>6</v>
      </c>
      <c r="B3103" s="3" t="s">
        <v>12802</v>
      </c>
      <c r="C3103" s="3" t="s">
        <v>12803</v>
      </c>
      <c r="D3103" s="3" t="s">
        <v>12803</v>
      </c>
      <c r="E3103" s="3" t="s">
        <v>12804</v>
      </c>
      <c r="F3103" s="3" t="s">
        <v>12805</v>
      </c>
      <c r="G3103" s="3" t="str">
        <f ca="1">IFERROR(__xludf.DUMMYFUNCTION("googletranslate(D3103,""en"",""ja"")"),"リンパ腫細胞/白血球")</f>
        <v>リンパ腫細胞/白血球</v>
      </c>
      <c r="H3103" s="3" t="str">
        <f ca="1">IFERROR(__xludf.DUMMYFUNCTION("googletranslate(E3103,""en"",""ja"")"),"生物学的標本中のすべての白血球に対する悪性リンパ球の相対測定値 (比率またはパーセンテージ)。")</f>
        <v>生物学的標本中のすべての白血球に対する悪性リンパ球の相対測定値 (比率またはパーセンテージ)。</v>
      </c>
      <c r="I3103" s="3" t="str">
        <f ca="1">IFERROR(__xludf.DUMMYFUNCTION("googletranslate(F3103,""en"",""ja"")"),"リンパ腫細胞と白血球の比率の測定")</f>
        <v>リンパ腫細胞と白血球の比率の測定</v>
      </c>
    </row>
    <row r="3104" spans="1:9" ht="45">
      <c r="A3104" s="3" t="s">
        <v>6</v>
      </c>
      <c r="B3104" s="3" t="s">
        <v>12806</v>
      </c>
      <c r="C3104" s="3" t="s">
        <v>12807</v>
      </c>
      <c r="D3104" s="3" t="s">
        <v>12807</v>
      </c>
      <c r="E3104" s="3" t="s">
        <v>12808</v>
      </c>
      <c r="F3104" s="3" t="s">
        <v>12809</v>
      </c>
      <c r="G3104" s="3" t="str">
        <f ca="1">IFERROR(__xludf.DUMMYFUNCTION("googletranslate(D3104,""en"",""ja"")"),"リンパ腫細胞/リンパ球")</f>
        <v>リンパ腫細胞/リンパ球</v>
      </c>
      <c r="H3104" s="3" t="str">
        <f ca="1">IFERROR(__xludf.DUMMYFUNCTION("googletranslate(E3104,""en"",""ja"")"),"生物学的標本中のすべてのリンパ球に対する悪性リンパ球の相対的な測定値 (比率またはパーセンテージ)。")</f>
        <v>生物学的標本中のすべてのリンパ球に対する悪性リンパ球の相対的な測定値 (比率またはパーセンテージ)。</v>
      </c>
      <c r="I3104" s="3" t="str">
        <f ca="1">IFERROR(__xludf.DUMMYFUNCTION("googletranslate(F3104,""en"",""ja"")"),"リンパ腫細胞対リンパ球比の測定")</f>
        <v>リンパ腫細胞対リンパ球比の測定</v>
      </c>
    </row>
    <row r="3105" spans="1:9" ht="30">
      <c r="A3105" s="3" t="s">
        <v>6</v>
      </c>
      <c r="B3105" s="3" t="s">
        <v>12810</v>
      </c>
      <c r="C3105" s="3" t="s">
        <v>12811</v>
      </c>
      <c r="D3105" s="3" t="s">
        <v>12811</v>
      </c>
      <c r="E3105" s="3" t="s">
        <v>12812</v>
      </c>
      <c r="F3105" s="3" t="s">
        <v>12813</v>
      </c>
      <c r="G3105" s="3" t="str">
        <f ca="1">IFERROR(__xludf.DUMMYFUNCTION("googletranslate(D3105,""en"",""ja"")"),"リンパ球/好中球")</f>
        <v>リンパ球/好中球</v>
      </c>
      <c r="H3105" s="3" t="str">
        <f ca="1">IFERROR(__xludf.DUMMYFUNCTION("googletranslate(E3105,""en"",""ja"")"),"生物学的標本における好中球に対するリンパ球の相対測定値 (比率)。")</f>
        <v>生物学的標本における好中球に対するリンパ球の相対測定値 (比率)。</v>
      </c>
      <c r="I3105" s="3" t="str">
        <f ca="1">IFERROR(__xludf.DUMMYFUNCTION("googletranslate(F3105,""en"",""ja"")"),"リンパ球と好中球の比率の測定")</f>
        <v>リンパ球と好中球の比率の測定</v>
      </c>
    </row>
    <row r="3106" spans="1:9" ht="45">
      <c r="A3106" s="3" t="s">
        <v>6</v>
      </c>
      <c r="B3106" s="3" t="s">
        <v>12814</v>
      </c>
      <c r="C3106" s="3" t="s">
        <v>12815</v>
      </c>
      <c r="D3106" s="3" t="s">
        <v>12815</v>
      </c>
      <c r="E3106" s="3" t="s">
        <v>12816</v>
      </c>
      <c r="F3106" s="3" t="s">
        <v>12817</v>
      </c>
      <c r="G3106" s="3" t="str">
        <f ca="1">IFERROR(__xludf.DUMMYFUNCTION("googletranslate(D3106,""en"",""ja"")"),"リンパ球/非扁平上皮細胞")</f>
        <v>リンパ球/非扁平上皮細胞</v>
      </c>
      <c r="H3106" s="3" t="str">
        <f ca="1">IFERROR(__xludf.DUMMYFUNCTION("googletranslate(E3106,""en"",""ja"")"),"生物学的標本中の非扁平上皮細胞に対するリンパ球の相対的な測定値 (比率またはパーセンテージ)。")</f>
        <v>生物学的標本中の非扁平上皮細胞に対するリンパ球の相対的な測定値 (比率またはパーセンテージ)。</v>
      </c>
      <c r="I3106" s="3" t="str">
        <f ca="1">IFERROR(__xludf.DUMMYFUNCTION("googletranslate(F3106,""en"",""ja"")"),"リンパ球と非扁平上皮細胞の比率の測定")</f>
        <v>リンパ球と非扁平上皮細胞の比率の測定</v>
      </c>
    </row>
    <row r="3107" spans="1:9" ht="30">
      <c r="A3107" s="3" t="s">
        <v>103</v>
      </c>
      <c r="B3107" s="3" t="s">
        <v>12818</v>
      </c>
      <c r="C3107" s="3" t="s">
        <v>12819</v>
      </c>
      <c r="D3107" s="3" t="s">
        <v>12820</v>
      </c>
      <c r="E3107" s="3" t="s">
        <v>12821</v>
      </c>
      <c r="F3107" s="3" t="s">
        <v>12822</v>
      </c>
      <c r="G3107" s="3" t="str">
        <f ca="1">IFERROR(__xludf.DUMMYFUNCTION("googletranslate(D3107,""en"",""ja"")"),"リム+モノ;リンパ球と単球")</f>
        <v>リム+モノ;リンパ球と単球</v>
      </c>
      <c r="H3107" s="3" t="str">
        <f ca="1">IFERROR(__xludf.DUMMYFUNCTION("googletranslate(E3107,""en"",""ja"")"),"生物学的標本中のリンパ球と単球の両方を含む細胞集団の測定。")</f>
        <v>生物学的標本中のリンパ球と単球の両方を含む細胞集団の測定。</v>
      </c>
      <c r="I3107" s="3" t="str">
        <f ca="1">IFERROR(__xludf.DUMMYFUNCTION("googletranslate(F3107,""en"",""ja"")"),"リンパ球と単球の数")</f>
        <v>リンパ球と単球の数</v>
      </c>
    </row>
    <row r="3108" spans="1:9" ht="45">
      <c r="A3108" s="3" t="s">
        <v>103</v>
      </c>
      <c r="B3108" s="3" t="s">
        <v>12823</v>
      </c>
      <c r="C3108" s="3" t="s">
        <v>12824</v>
      </c>
      <c r="D3108" s="3" t="s">
        <v>12825</v>
      </c>
      <c r="E3108" s="3" t="s">
        <v>12826</v>
      </c>
      <c r="F3108" s="3" t="s">
        <v>12827</v>
      </c>
      <c r="G3108" s="3" t="str">
        <f ca="1">IFERROR(__xludf.DUMMYFUNCTION("googletranslate(D3108,""en"",""ja"")"),"リンパ球と単球/白血球")</f>
        <v>リンパ球と単球/白血球</v>
      </c>
      <c r="H3108" s="3" t="str">
        <f ca="1">IFERROR(__xludf.DUMMYFUNCTION("googletranslate(E3108,""en"",""ja"")"),"生物学的標本中の総白血球に対するリンパ球と単球の相対測定値 (比率またはパーセンテージ)。")</f>
        <v>生物学的標本中の総白血球に対するリンパ球と単球の相対測定値 (比率またはパーセンテージ)。</v>
      </c>
      <c r="I3108" s="3" t="str">
        <f ca="1">IFERROR(__xludf.DUMMYFUNCTION("googletranslate(F3108,""en"",""ja"")"),"リンパ球および単球と白血球の比率の測定")</f>
        <v>リンパ球および単球と白血球の比率の測定</v>
      </c>
    </row>
    <row r="3109" spans="1:9" ht="30">
      <c r="A3109" s="3" t="s">
        <v>6</v>
      </c>
      <c r="B3109" s="3" t="s">
        <v>12828</v>
      </c>
      <c r="C3109" s="3" t="s">
        <v>12829</v>
      </c>
      <c r="D3109" s="3" t="s">
        <v>12829</v>
      </c>
      <c r="E3109" s="3" t="s">
        <v>12830</v>
      </c>
      <c r="F3109" s="3" t="s">
        <v>12831</v>
      </c>
      <c r="G3109" s="3" t="str">
        <f ca="1">IFERROR(__xludf.DUMMYFUNCTION("googletranslate(D3109,""en"",""ja"")"),"リンパ系細胞")</f>
        <v>リンパ系細胞</v>
      </c>
      <c r="H3109" s="3" t="str">
        <f ca="1">IFERROR(__xludf.DUMMYFUNCTION("googletranslate(E3109,""en"",""ja"")"),"生物学的標本中の全リンパ系細胞の測定。")</f>
        <v>生物学的標本中の全リンパ系細胞の測定。</v>
      </c>
      <c r="I3109" s="3" t="str">
        <f ca="1">IFERROR(__xludf.DUMMYFUNCTION("googletranslate(F3109,""en"",""ja"")"),"リンパ球数")</f>
        <v>リンパ球数</v>
      </c>
    </row>
    <row r="3110" spans="1:9" ht="30">
      <c r="A3110" s="3" t="s">
        <v>6</v>
      </c>
      <c r="B3110" s="3" t="s">
        <v>12832</v>
      </c>
      <c r="C3110" s="3" t="s">
        <v>12833</v>
      </c>
      <c r="D3110" s="3" t="s">
        <v>12834</v>
      </c>
      <c r="E3110" s="3" t="s">
        <v>12835</v>
      </c>
      <c r="F3110" s="3" t="s">
        <v>12836</v>
      </c>
      <c r="G3110" s="3" t="str">
        <f ca="1">IFERROR(__xludf.DUMMYFUNCTION("googletranslate(D3110,""en"",""ja"")"),"ケモカインリガンド 1;リンホタクチン")</f>
        <v>ケモカインリガンド 1;リンホタクチン</v>
      </c>
      <c r="H3110" s="3" t="str">
        <f ca="1">IFERROR(__xludf.DUMMYFUNCTION("googletranslate(E3110,""en"",""ja"")"),"生物学的標本中のリンホタクチンの測定。")</f>
        <v>生物学的標本中のリンホタクチンの測定。</v>
      </c>
      <c r="I3110" s="3" t="str">
        <f ca="1">IFERROR(__xludf.DUMMYFUNCTION("googletranslate(F3110,""en"",""ja"")"),"リンホタクチンの測定")</f>
        <v>リンホタクチンの測定</v>
      </c>
    </row>
    <row r="3111" spans="1:9" ht="60">
      <c r="A3111" s="3" t="s">
        <v>6</v>
      </c>
      <c r="B3111" s="3" t="s">
        <v>12837</v>
      </c>
      <c r="C3111" s="3" t="s">
        <v>12838</v>
      </c>
      <c r="D3111" s="3" t="s">
        <v>12839</v>
      </c>
      <c r="E3111" s="3" t="s">
        <v>12840</v>
      </c>
      <c r="F3111" s="3" t="s">
        <v>12841</v>
      </c>
      <c r="G3111" s="3" t="str">
        <f ca="1">IFERROR(__xludf.DUMMYFUNCTION("googletranslate(D3111,""en"",""ja"")"),"形質細胞様リンパ球;リンパ球")</f>
        <v>形質細胞様リンパ球;リンパ球</v>
      </c>
      <c r="H3111" s="3" t="str">
        <f ca="1">IFERROR(__xludf.DUMMYFUNCTION("googletranslate(E3111,""en"",""ja"")"),"生物学的標本中の形質細胞様リンパ球（末梢に凝集したクロマチンと多くの場合濃い青色の細胞質を持ち、形質細胞に似たリンパ球）の測定。")</f>
        <v>生物学的標本中の形質細胞様リンパ球（末梢に凝集したクロマチンと多くの場合濃い青色の細胞質を持ち、形質細胞に似たリンパ球）の測定。</v>
      </c>
      <c r="I3111" s="3" t="str">
        <f ca="1">IFERROR(__xludf.DUMMYFUNCTION("googletranslate(F3111,""en"",""ja"")"),"形質細胞様リンパ球数")</f>
        <v>形質細胞様リンパ球数</v>
      </c>
    </row>
    <row r="3112" spans="1:9" ht="45">
      <c r="A3112" s="3" t="s">
        <v>6</v>
      </c>
      <c r="B3112" s="3" t="s">
        <v>12842</v>
      </c>
      <c r="C3112" s="3" t="s">
        <v>12843</v>
      </c>
      <c r="D3112" s="3" t="s">
        <v>12843</v>
      </c>
      <c r="E3112" s="3" t="s">
        <v>12844</v>
      </c>
      <c r="F3112" s="3" t="s">
        <v>12845</v>
      </c>
      <c r="G3112" s="3" t="str">
        <f ca="1">IFERROR(__xludf.DUMMYFUNCTION("googletranslate(D3112,""en"",""ja"")"),"形質細胞様リンパ球/白血球")</f>
        <v>形質細胞様リンパ球/白血球</v>
      </c>
      <c r="H3112" s="3" t="str">
        <f ca="1">IFERROR(__xludf.DUMMYFUNCTION("googletranslate(E3112,""en"",""ja"")"),"生物学的標本中のすべての白血球に対する形質細胞様リンパ球の相対測定値 (比率またはパーセンテージ)。")</f>
        <v>生物学的標本中のすべての白血球に対する形質細胞様リンパ球の相対測定値 (比率またはパーセンテージ)。</v>
      </c>
      <c r="I3112" s="3" t="str">
        <f ca="1">IFERROR(__xludf.DUMMYFUNCTION("googletranslate(F3112,""en"",""ja"")"),"形質細胞様リンパ球と白血球の比率の測定")</f>
        <v>形質細胞様リンパ球と白血球の比率の測定</v>
      </c>
    </row>
    <row r="3113" spans="1:9" ht="75">
      <c r="A3113" s="3" t="s">
        <v>6</v>
      </c>
      <c r="B3113" s="3" t="s">
        <v>12846</v>
      </c>
      <c r="C3113" s="3" t="s">
        <v>12847</v>
      </c>
      <c r="D3113" s="3" t="s">
        <v>12847</v>
      </c>
      <c r="E3113" s="3" t="s">
        <v>12848</v>
      </c>
      <c r="F3113" s="3" t="s">
        <v>12849</v>
      </c>
      <c r="G3113" s="3" t="str">
        <f ca="1">IFERROR(__xludf.DUMMYFUNCTION("googletranslate(D3113,""en"",""ja"")"),"形質細胞様リンパ球/リンパ球")</f>
        <v>形質細胞様リンパ球/リンパ球</v>
      </c>
      <c r="H3113" s="3" t="str">
        <f ca="1">IFERROR(__xludf.DUMMYFUNCTION("googletranslate(E3113,""en"",""ja"")"),"生物学的標本中のすべてのリンパ球に対する形質細胞様リンパ球（末梢に凝集したクロマチンと多くの場合濃い青色の細胞質を持ち、形質細胞に似ているリンパ球）の相対測定値（比率またはパーセンテージ）。")</f>
        <v>生物学的標本中のすべてのリンパ球に対する形質細胞様リンパ球（末梢に凝集したクロマチンと多くの場合濃い青色の細胞質を持ち、形質細胞に似ているリンパ球）の相対測定値（比率またはパーセンテージ）。</v>
      </c>
      <c r="I3113" s="3" t="str">
        <f ca="1">IFERROR(__xludf.DUMMYFUNCTION("googletranslate(F3113,""en"",""ja"")"),"形質細胞様リンパ球とリンパ球の比率の測定")</f>
        <v>形質細胞様リンパ球とリンパ球の比率の測定</v>
      </c>
    </row>
    <row r="3114" spans="1:9" ht="30">
      <c r="A3114" s="3" t="s">
        <v>6</v>
      </c>
      <c r="B3114" s="3" t="s">
        <v>12850</v>
      </c>
      <c r="C3114" s="3" t="s">
        <v>12851</v>
      </c>
      <c r="D3114" s="3" t="s">
        <v>12851</v>
      </c>
      <c r="E3114" s="3" t="s">
        <v>12852</v>
      </c>
      <c r="F3114" s="3" t="s">
        <v>12853</v>
      </c>
      <c r="G3114" s="3" t="str">
        <f ca="1">IFERROR(__xludf.DUMMYFUNCTION("googletranslate(D3114,""en"",""ja"")"),"空胞化したリンパ球")</f>
        <v>空胞化したリンパ球</v>
      </c>
      <c r="H3114" s="3" t="str">
        <f ca="1">IFERROR(__xludf.DUMMYFUNCTION("googletranslate(E3114,""en"",""ja"")"),"生物学的標本中の空胞化リンパ球の測定。")</f>
        <v>生物学的標本中の空胞化リンパ球の測定。</v>
      </c>
      <c r="I3114" s="3" t="str">
        <f ca="1">IFERROR(__xludf.DUMMYFUNCTION("googletranslate(F3114,""en"",""ja"")"),"空胞化リンパ球数")</f>
        <v>空胞化リンパ球数</v>
      </c>
    </row>
    <row r="3115" spans="1:9" ht="45">
      <c r="A3115" s="3" t="s">
        <v>6</v>
      </c>
      <c r="B3115" s="3" t="s">
        <v>12854</v>
      </c>
      <c r="C3115" s="3" t="s">
        <v>12855</v>
      </c>
      <c r="D3115" s="3" t="s">
        <v>12855</v>
      </c>
      <c r="E3115" s="3" t="s">
        <v>12856</v>
      </c>
      <c r="F3115" s="3" t="s">
        <v>12857</v>
      </c>
      <c r="G3115" s="3" t="str">
        <f ca="1">IFERROR(__xludf.DUMMYFUNCTION("googletranslate(D3115,""en"",""ja"")"),"空胞化したリンパ球/白血球")</f>
        <v>空胞化したリンパ球/白血球</v>
      </c>
      <c r="H3115" s="3" t="str">
        <f ca="1">IFERROR(__xludf.DUMMYFUNCTION("googletranslate(E3115,""en"",""ja"")"),"生物学的標本中の白血球に対する空胞化リンパ球の相対測定値 (比率またはパーセンテージ)。")</f>
        <v>生物学的標本中の白血球に対する空胞化リンパ球の相対測定値 (比率またはパーセンテージ)。</v>
      </c>
      <c r="I3115" s="3" t="str">
        <f ca="1">IFERROR(__xludf.DUMMYFUNCTION("googletranslate(F3115,""en"",""ja"")"),"空胞化リンパ球と白血球の比率の測定")</f>
        <v>空胞化リンパ球と白血球の比率の測定</v>
      </c>
    </row>
    <row r="3116" spans="1:9" ht="30">
      <c r="A3116" s="3" t="s">
        <v>103</v>
      </c>
      <c r="B3116" s="3" t="s">
        <v>12858</v>
      </c>
      <c r="C3116" s="3" t="s">
        <v>12859</v>
      </c>
      <c r="D3116" s="3" t="s">
        <v>12860</v>
      </c>
      <c r="E3116" s="3" t="s">
        <v>12861</v>
      </c>
      <c r="F3116" s="3" t="s">
        <v>12862</v>
      </c>
      <c r="G3116" s="3" t="str">
        <f ca="1">IFERROR(__xludf.DUMMYFUNCTION("googletranslate(D3116,""en"",""ja"")"),"リム・サブ。リンパ球サブ;リンパ球部分集団")</f>
        <v>リム・サブ。リンパ球サブ;リンパ球部分集団</v>
      </c>
      <c r="H3116" s="3" t="str">
        <f ca="1">IFERROR(__xludf.DUMMYFUNCTION("googletranslate(E3116,""en"",""ja"")"),"生物学的標本中のリンパ球の部分集団の測定。")</f>
        <v>生物学的標本中のリンパ球の部分集団の測定。</v>
      </c>
      <c r="I3116" s="3" t="str">
        <f ca="1">IFERROR(__xludf.DUMMYFUNCTION("googletranslate(F3116,""en"",""ja"")"),"リンパ球部分集団数")</f>
        <v>リンパ球部分集団数</v>
      </c>
    </row>
    <row r="3117" spans="1:9">
      <c r="A3117" s="3" t="s">
        <v>6</v>
      </c>
      <c r="B3117" s="3" t="s">
        <v>12858</v>
      </c>
      <c r="C3117" s="3" t="s">
        <v>12863</v>
      </c>
      <c r="D3117" s="3" t="s">
        <v>12863</v>
      </c>
      <c r="E3117" s="3" t="s">
        <v>12864</v>
      </c>
      <c r="F3117" s="3" t="s">
        <v>12865</v>
      </c>
      <c r="G3117" s="3" t="str">
        <f ca="1">IFERROR(__xludf.DUMMYFUNCTION("googletranslate(D3117,""en"",""ja"")"),"リジン")</f>
        <v>リジン</v>
      </c>
      <c r="H3117" s="3" t="str">
        <f ca="1">IFERROR(__xludf.DUMMYFUNCTION("googletranslate(E3117,""en"",""ja"")"),"生物学的標本中のリジンの測定。")</f>
        <v>生物学的標本中のリジンの測定。</v>
      </c>
      <c r="I3117" s="3" t="str">
        <f ca="1">IFERROR(__xludf.DUMMYFUNCTION("googletranslate(F3117,""en"",""ja"")"),"リジンの測定")</f>
        <v>リジンの測定</v>
      </c>
    </row>
    <row r="3118" spans="1:9" ht="60">
      <c r="A3118" s="3" t="s">
        <v>103</v>
      </c>
      <c r="B3118" s="3" t="s">
        <v>12866</v>
      </c>
      <c r="C3118" s="3" t="s">
        <v>12867</v>
      </c>
      <c r="D3118" s="3" t="s">
        <v>12868</v>
      </c>
      <c r="E3118" s="3" t="s">
        <v>12869</v>
      </c>
      <c r="F3118" s="3" t="s">
        <v>12870</v>
      </c>
      <c r="G3118" s="3" t="str">
        <f ca="1">IFERROR(__xludf.DUMMYFUNCTION("googletranslate(D3118,""en"",""ja"")"),"リム・サブ/ロイク;リンパ球部分集団/白血球;赤血球部分集団/白血球;赤血球部分集団/白血球")</f>
        <v>リム・サブ/ロイク;リンパ球部分集団/白血球;赤血球部分集団/白血球;赤血球部分集団/白血球</v>
      </c>
      <c r="H3118" s="3" t="str">
        <f ca="1">IFERROR(__xludf.DUMMYFUNCTION("googletranslate(E3118,""en"",""ja"")"),"生物学的標本中の総白血球に対するリンパ球の部分集団の相対的な測定値 (比率またはパーセンテージ)。")</f>
        <v>生物学的標本中の総白血球に対するリンパ球の部分集団の相対的な測定値 (比率またはパーセンテージ)。</v>
      </c>
      <c r="I3118" s="3" t="str">
        <f ca="1">IFERROR(__xludf.DUMMYFUNCTION("googletranslate(F3118,""en"",""ja"")"),"リンパ球部分集団と白血球の比率の測定")</f>
        <v>リンパ球部分集団と白血球の比率の測定</v>
      </c>
    </row>
    <row r="3119" spans="1:9" ht="45">
      <c r="A3119" s="3" t="s">
        <v>103</v>
      </c>
      <c r="B3119" s="3" t="s">
        <v>12871</v>
      </c>
      <c r="C3119" s="3" t="s">
        <v>12872</v>
      </c>
      <c r="D3119" s="3" t="s">
        <v>12873</v>
      </c>
      <c r="E3119" s="3" t="s">
        <v>12874</v>
      </c>
      <c r="F3119" s="3" t="s">
        <v>12875</v>
      </c>
      <c r="G3119" s="3" t="str">
        <f ca="1">IFERROR(__xludf.DUMMYFUNCTION("googletranslate(D3119,""en"",""ja"")"),"リムサブ/リム;リンパ球部分集団/リンパ球;リンパ球サブ/リンパ球")</f>
        <v>リムサブ/リム;リンパ球部分集団/リンパ球;リンパ球サブ/リンパ球</v>
      </c>
      <c r="H3119" s="3" t="str">
        <f ca="1">IFERROR(__xludf.DUMMYFUNCTION("googletranslate(E3119,""en"",""ja"")"),"生物学的標本中のリンパ球に対するリンパ球の部分集団の相対的な測定値 (比率またはパーセンテージ)。")</f>
        <v>生物学的標本中のリンパ球に対するリンパ球の部分集団の相対的な測定値 (比率またはパーセンテージ)。</v>
      </c>
      <c r="I3119" s="3" t="str">
        <f ca="1">IFERROR(__xludf.DUMMYFUNCTION("googletranslate(F3119,""en"",""ja"")"),"総リンパ球に対するリンパ球部分集団の比率の測定")</f>
        <v>総リンパ球に対するリンパ球部分集団の比率の測定</v>
      </c>
    </row>
    <row r="3120" spans="1:9" ht="45">
      <c r="A3120" s="3" t="s">
        <v>103</v>
      </c>
      <c r="B3120" s="3" t="s">
        <v>12876</v>
      </c>
      <c r="C3120" s="3" t="s">
        <v>12877</v>
      </c>
      <c r="D3120" s="3" t="s">
        <v>12878</v>
      </c>
      <c r="E3120" s="3" t="s">
        <v>12879</v>
      </c>
      <c r="F3120" s="3" t="s">
        <v>12880</v>
      </c>
      <c r="G3120" s="3" t="str">
        <f ca="1">IFERROR(__xludf.DUMMYFUNCTION("googletranslate(D3120,""en"",""ja"")"),"リムサブ/リムサブ;リンパ球サブ集団/リンパ球サブ集団")</f>
        <v>リムサブ/リムサブ;リンパ球サブ集団/リンパ球サブ集団</v>
      </c>
      <c r="H3120" s="3" t="str">
        <f ca="1">IFERROR(__xludf.DUMMYFUNCTION("googletranslate(E3120,""en"",""ja"")"),"生物学的標本中のリンパ球の部分集団に対するリンパ球の部分集団の相対的な測定値 (比率またはパーセンテージ)。")</f>
        <v>生物学的標本中のリンパ球の部分集団に対するリンパ球の部分集団の相対的な測定値 (比率またはパーセンテージ)。</v>
      </c>
      <c r="I3120" s="3" t="str">
        <f ca="1">IFERROR(__xludf.DUMMYFUNCTION("googletranslate(F3120,""en"",""ja"")"),"リンパ球部分集団対リンパ球部分集団の比率の測定")</f>
        <v>リンパ球部分集団対リンパ球部分集団の比率の測定</v>
      </c>
    </row>
    <row r="3121" spans="1:9" ht="30">
      <c r="A3121" s="3" t="s">
        <v>6</v>
      </c>
      <c r="B3121" s="3" t="s">
        <v>12881</v>
      </c>
      <c r="C3121" s="3" t="s">
        <v>12882</v>
      </c>
      <c r="D3121" s="3" t="s">
        <v>12883</v>
      </c>
      <c r="E3121" s="3" t="s">
        <v>12884</v>
      </c>
      <c r="F3121" s="3" t="s">
        <v>12885</v>
      </c>
      <c r="G3121" s="3" t="str">
        <f ca="1">IFERROR(__xludf.DUMMYFUNCTION("googletranslate(D3121,""en"",""ja"")"),"グロボトリアオシルスフィンゴシン;リソ-Gb3;リソ-GL3")</f>
        <v>グロボトリアオシルスフィンゴシン;リソ-Gb3;リソ-GL3</v>
      </c>
      <c r="H3121" s="3" t="str">
        <f ca="1">IFERROR(__xludf.DUMMYFUNCTION("googletranslate(E3121,""en"",""ja"")"),"生物学的標本中のグロボトリアオシルスフィンゴシンの測定。")</f>
        <v>生物学的標本中のグロボトリアオシルスフィンゴシンの測定。</v>
      </c>
      <c r="I3121" s="3" t="str">
        <f ca="1">IFERROR(__xludf.DUMMYFUNCTION("googletranslate(F3121,""en"",""ja"")"),"グロボトリアオシルスフィンゴシンの測定")</f>
        <v>グロボトリアオシルスフィンゴシンの測定</v>
      </c>
    </row>
    <row r="3122" spans="1:9" ht="30">
      <c r="A3122" s="3" t="s">
        <v>6</v>
      </c>
      <c r="B3122" s="3" t="s">
        <v>12886</v>
      </c>
      <c r="C3122" s="3" t="s">
        <v>12887</v>
      </c>
      <c r="D3122" s="3" t="s">
        <v>12888</v>
      </c>
      <c r="E3122" s="3" t="s">
        <v>12889</v>
      </c>
      <c r="F3122" s="3" t="s">
        <v>12890</v>
      </c>
      <c r="G3122" s="3" t="str">
        <f ca="1">IFERROR(__xludf.DUMMYFUNCTION("googletranslate(D3122,""en"",""ja"")"),"グルコサイコシン;グルコシルスフィンゴシン;リソ-GL1")</f>
        <v>グルコサイコシン;グルコシルスフィンゴシン;リソ-GL1</v>
      </c>
      <c r="H3122" s="3" t="str">
        <f ca="1">IFERROR(__xludf.DUMMYFUNCTION("googletranslate(E3122,""en"",""ja"")"),"生物学的標本中のグルコサイコシンの測定。")</f>
        <v>生物学的標本中のグルコサイコシンの測定。</v>
      </c>
      <c r="I3122" s="3" t="str">
        <f ca="1">IFERROR(__xludf.DUMMYFUNCTION("googletranslate(F3122,""en"",""ja"")"),"グルコサイコシンの測定")</f>
        <v>グルコサイコシンの測定</v>
      </c>
    </row>
    <row r="3123" spans="1:9">
      <c r="A3123" s="3" t="s">
        <v>6</v>
      </c>
      <c r="B3123" s="3" t="s">
        <v>12891</v>
      </c>
      <c r="C3123" s="3" t="s">
        <v>12892</v>
      </c>
      <c r="D3123" s="3" t="s">
        <v>12892</v>
      </c>
      <c r="E3123" s="3" t="s">
        <v>12893</v>
      </c>
      <c r="F3123" s="3" t="s">
        <v>12894</v>
      </c>
      <c r="G3123" s="3" t="str">
        <f ca="1">IFERROR(__xludf.DUMMYFUNCTION("googletranslate(D3123,""en"",""ja"")"),"リゾチーム")</f>
        <v>リゾチーム</v>
      </c>
      <c r="H3123" s="3" t="str">
        <f ca="1">IFERROR(__xludf.DUMMYFUNCTION("googletranslate(E3123,""en"",""ja"")"),"生物学的標本中のリゾチームの測定。")</f>
        <v>生物学的標本中のリゾチームの測定。</v>
      </c>
      <c r="I3123" s="3" t="str">
        <f ca="1">IFERROR(__xludf.DUMMYFUNCTION("googletranslate(F3123,""en"",""ja"")"),"リゾチームの測定")</f>
        <v>リゾチームの測定</v>
      </c>
    </row>
    <row r="3124" spans="1:9" ht="75">
      <c r="A3124" s="3" t="s">
        <v>6</v>
      </c>
      <c r="B3124" s="3" t="s">
        <v>12895</v>
      </c>
      <c r="C3124" s="3" t="s">
        <v>12896</v>
      </c>
      <c r="D3124" s="3" t="s">
        <v>12897</v>
      </c>
      <c r="E3124" s="3" t="s">
        <v>12898</v>
      </c>
      <c r="F3124" s="3" t="s">
        <v>12899</v>
      </c>
      <c r="G3124" s="3" t="str">
        <f ca="1">IFERROR(__xludf.DUMMYFUNCTION("googletranslate(D3124,""en"",""ja"")"),"スカベンジャー受け取り Cys-Rich Type1 Prot M130;スカベンジャー受容体システイン豊富なタイプ 1 タンパク質 M130;可溶性CD163;可溶性CD163a")</f>
        <v>スカベンジャー受け取り Cys-Rich Type1 Prot M130;スカベンジャー受容体システイン豊富なタイプ 1 タンパク質 M130;可溶性CD163;可溶性CD163a</v>
      </c>
      <c r="H3124" s="3" t="str">
        <f ca="1">IFERROR(__xludf.DUMMYFUNCTION("googletranslate(E3124,""en"",""ja"")"),"生物学的標本中のスカベンジャー受容体システインに富んだタイプ 1 タンパク質 M130 の測定。")</f>
        <v>生物学的標本中のスカベンジャー受容体システインに富んだタイプ 1 タンパク質 M130 の測定。</v>
      </c>
      <c r="I3124" s="3" t="str">
        <f ca="1">IFERROR(__xludf.DUMMYFUNCTION("googletranslate(F3124,""en"",""ja"")"),"スカベンジャー受容体システイン豊富なタイプ 1 タンパク質 M130 の測定")</f>
        <v>スカベンジャー受容体システイン豊富なタイプ 1 タンパク質 M130 の測定</v>
      </c>
    </row>
    <row r="3125" spans="1:9" ht="30">
      <c r="A3125" s="3" t="s">
        <v>67</v>
      </c>
      <c r="B3125" s="3" t="s">
        <v>12900</v>
      </c>
      <c r="C3125" s="3" t="s">
        <v>12901</v>
      </c>
      <c r="D3125" s="3" t="s">
        <v>12901</v>
      </c>
      <c r="E3125" s="3" t="s">
        <v>12902</v>
      </c>
      <c r="F3125" s="3" t="s">
        <v>12903</v>
      </c>
      <c r="G3125" s="3" t="str">
        <f ca="1">IFERROR(__xludf.DUMMYFUNCTION("googletranslate(D3125,""en"",""ja"")"),"膿瘍菌")</f>
        <v>膿瘍菌</v>
      </c>
      <c r="H3125" s="3" t="str">
        <f ca="1">IFERROR(__xludf.DUMMYFUNCTION("googletranslate(E3125,""en"",""ja"")"),"生物学的標本中のマイコバクテリウム・アブセサスの測定。")</f>
        <v>生物学的標本中のマイコバクテリウム・アブセサスの測定。</v>
      </c>
      <c r="I3125" s="3" t="str">
        <f ca="1">IFERROR(__xludf.DUMMYFUNCTION("googletranslate(F3125,""en"",""ja"")"),"膿瘍菌の測定")</f>
        <v>膿瘍菌の測定</v>
      </c>
    </row>
    <row r="3126" spans="1:9" ht="30">
      <c r="A3126" s="3" t="s">
        <v>6</v>
      </c>
      <c r="B3126" s="3" t="s">
        <v>12904</v>
      </c>
      <c r="C3126" s="3" t="s">
        <v>12905</v>
      </c>
      <c r="D3126" s="3" t="s">
        <v>12905</v>
      </c>
      <c r="E3126" s="3" t="s">
        <v>12906</v>
      </c>
      <c r="F3126" s="3" t="s">
        <v>12907</v>
      </c>
      <c r="G3126" s="3" t="str">
        <f ca="1">IFERROR(__xludf.DUMMYFUNCTION("googletranslate(D3126,""en"",""ja"")"),"マブ・チミナカ")</f>
        <v>マブ・チミナカ</v>
      </c>
      <c r="H3126" s="3" t="str">
        <f ca="1">IFERROR(__xludf.DUMMYFUNCTION("googletranslate(E3126,""en"",""ja"")"),"生物学的標本中の合成カンナビノイド MAB-CHMINACA の測定。")</f>
        <v>生物学的標本中の合成カンナビノイド MAB-CHMINACA の測定。</v>
      </c>
      <c r="I3126" s="3" t="str">
        <f ca="1">IFERROR(__xludf.DUMMYFUNCTION("googletranslate(F3126,""en"",""ja"")"),"MAB-CHMINACAの測定")</f>
        <v>MAB-CHMINACAの測定</v>
      </c>
    </row>
    <row r="3127" spans="1:9" ht="45">
      <c r="A3127" s="3" t="s">
        <v>180</v>
      </c>
      <c r="B3127" s="3" t="s">
        <v>12908</v>
      </c>
      <c r="C3127" s="3" t="s">
        <v>12909</v>
      </c>
      <c r="D3127" s="3" t="s">
        <v>12910</v>
      </c>
      <c r="E3127" s="3" t="s">
        <v>12911</v>
      </c>
      <c r="F3127" s="3" t="s">
        <v>12912</v>
      </c>
      <c r="G3127" s="3" t="str">
        <f ca="1">IFERROR(__xludf.DUMMYFUNCTION("googletranslate(D3127,""en"",""ja"")"),"Autoab/合計 Autoab を調整します。自己抗体の調節/総自己抗体")</f>
        <v>Autoab/合計 Autoab を調整します。自己抗体の調節/総自己抗体</v>
      </c>
      <c r="H3127" s="3" t="str">
        <f ca="1">IFERROR(__xludf.DUMMYFUNCTION("googletranslate(E3127,""en"",""ja"")"),"生物学的検体中の総自己抗体に対する調節自己抗体の相対測定値 (比率またはパーセンテージ)。")</f>
        <v>生物学的検体中の総自己抗体に対する調節自己抗体の相対測定値 (比率またはパーセンテージ)。</v>
      </c>
      <c r="I3127" s="3" t="str">
        <f ca="1">IFERROR(__xludf.DUMMYFUNCTION("googletranslate(F3127,""en"",""ja"")"),"自己抗体対自己抗体比測定の調節")</f>
        <v>自己抗体対自己抗体比測定の調節</v>
      </c>
    </row>
    <row r="3128" spans="1:9" ht="30">
      <c r="A3128" s="3" t="s">
        <v>6</v>
      </c>
      <c r="B3128" s="3" t="s">
        <v>12913</v>
      </c>
      <c r="C3128" s="3" t="s">
        <v>12914</v>
      </c>
      <c r="D3128" s="3" t="s">
        <v>12915</v>
      </c>
      <c r="E3128" s="3" t="s">
        <v>12916</v>
      </c>
      <c r="F3128" s="3" t="s">
        <v>12917</v>
      </c>
      <c r="G3128" s="3" t="str">
        <f ca="1">IFERROR(__xludf.DUMMYFUNCTION("googletranslate(D3128,""en"",""ja"")"),"肉眼で見える血液。目に見える血")</f>
        <v>肉眼で見える血液。目に見える血</v>
      </c>
      <c r="H3128" s="3" t="str">
        <f ca="1">IFERROR(__xludf.DUMMYFUNCTION("googletranslate(E3128,""en"",""ja"")"),"尿や便のサンプルなどの体内の血液の測定値で、肉眼検査で視覚的に検出できます。")</f>
        <v>尿や便のサンプルなどの体内の血液の測定値で、肉眼検査で視覚的に検出できます。</v>
      </c>
      <c r="I3128" s="3" t="str">
        <f ca="1">IFERROR(__xludf.DUMMYFUNCTION("googletranslate(F3128,""en"",""ja"")"),"肉眼的血液測定")</f>
        <v>肉眼的血液測定</v>
      </c>
    </row>
    <row r="3129" spans="1:9">
      <c r="A3129" s="3" t="s">
        <v>6</v>
      </c>
      <c r="B3129" s="3" t="s">
        <v>12918</v>
      </c>
      <c r="C3129" s="3" t="s">
        <v>12919</v>
      </c>
      <c r="D3129" s="3" t="s">
        <v>12919</v>
      </c>
      <c r="E3129" s="3" t="s">
        <v>12920</v>
      </c>
      <c r="F3129" s="3" t="s">
        <v>12921</v>
      </c>
      <c r="G3129" s="3" t="str">
        <f ca="1">IFERROR(__xludf.DUMMYFUNCTION("googletranslate(D3129,""en"",""ja"")"),"大球")</f>
        <v>大球</v>
      </c>
      <c r="H3129" s="3" t="str">
        <f ca="1">IFERROR(__xludf.DUMMYFUNCTION("googletranslate(E3129,""en"",""ja"")"),"生物学的標本中の大球の測定。")</f>
        <v>生物学的標本中の大球の測定。</v>
      </c>
      <c r="I3129" s="3" t="str">
        <f ca="1">IFERROR(__xludf.DUMMYFUNCTION("googletranslate(F3129,""en"",""ja"")"),"大球数")</f>
        <v>大球数</v>
      </c>
    </row>
    <row r="3130" spans="1:9" ht="45">
      <c r="A3130" s="3" t="s">
        <v>2904</v>
      </c>
      <c r="B3130" s="3" t="s">
        <v>12922</v>
      </c>
      <c r="C3130" s="3" t="s">
        <v>12923</v>
      </c>
      <c r="D3130" s="3" t="s">
        <v>12923</v>
      </c>
      <c r="E3130" s="3" t="s">
        <v>12924</v>
      </c>
      <c r="F3130" s="3" t="s">
        <v>12923</v>
      </c>
      <c r="G3130" s="3" t="str">
        <f ca="1">IFERROR(__xludf.DUMMYFUNCTION("googletranslate(D3130,""en"",""ja"")"),"磁場の強さ")</f>
        <v>磁場の強さ</v>
      </c>
      <c r="H3130" s="3" t="str">
        <f ca="1">IFERROR(__xludf.DUMMYFUNCTION("googletranslate(E3130,""en"",""ja"")"),"磁性材料または移動する電荷の周囲の領域に作用する磁気の力の測定値。")</f>
        <v>磁性材料または移動する電荷の周囲の領域に作用する磁気の力の測定値。</v>
      </c>
      <c r="I3130" s="3" t="str">
        <f ca="1">IFERROR(__xludf.DUMMYFUNCTION("googletranslate(F3130,""en"",""ja"")"),"磁場の強さ")</f>
        <v>磁場の強さ</v>
      </c>
    </row>
    <row r="3131" spans="1:9" ht="75">
      <c r="A3131" s="3" t="s">
        <v>103</v>
      </c>
      <c r="B3131" s="3" t="s">
        <v>12925</v>
      </c>
      <c r="C3131" s="3" t="s">
        <v>12926</v>
      </c>
      <c r="D3131" s="3" t="s">
        <v>12927</v>
      </c>
      <c r="E3131" s="3" t="s">
        <v>12928</v>
      </c>
      <c r="F3131" s="3" t="s">
        <v>12929</v>
      </c>
      <c r="G3131" s="3" t="str">
        <f ca="1">IFERROR(__xludf.DUMMYFUNCTION("googletranslate(D3131,""en"",""ja"")"),"メイド; MAIT細胞。粘膜関連インバリアント T 細胞;粘膜関連不変 T-Lym。粘膜関連インバリアント T リンパ球")</f>
        <v>メイド; MAIT細胞。粘膜関連インバリアント T 細胞;粘膜関連不変 T-Lym。粘膜関連インバリアント T リンパ球</v>
      </c>
      <c r="H3131" s="3" t="str">
        <f ca="1">IFERROR(__xludf.DUMMYFUNCTION("googletranslate(E3131,""en"",""ja"")"),"生物学的標本中の粘膜関連インバリアント T リンパ球の測定。")</f>
        <v>生物学的標本中の粘膜関連インバリアント T リンパ球の測定。</v>
      </c>
      <c r="I3131" s="3" t="str">
        <f ca="1">IFERROR(__xludf.DUMMYFUNCTION("googletranslate(F3131,""en"",""ja"")"),"粘膜関連の不変 T リンパ球数")</f>
        <v>粘膜関連の不変 T リンパ球数</v>
      </c>
    </row>
    <row r="3132" spans="1:9" ht="45">
      <c r="A3132" s="3" t="s">
        <v>103</v>
      </c>
      <c r="B3132" s="3" t="s">
        <v>12930</v>
      </c>
      <c r="C3132" s="3" t="s">
        <v>12931</v>
      </c>
      <c r="D3132" s="3" t="s">
        <v>12932</v>
      </c>
      <c r="E3132" s="3" t="s">
        <v>12933</v>
      </c>
      <c r="F3132" s="3" t="s">
        <v>12934</v>
      </c>
      <c r="G3132" s="3" t="str">
        <f ca="1">IFERROR(__xludf.DUMMYFUNCTION("googletranslate(D3132,""en"",""ja"")"),"MAIT細胞/白血球; MAIT/ロイク;粘膜関連の不変 T リンパ球/白血球")</f>
        <v>MAIT細胞/白血球; MAIT/ロイク;粘膜関連の不変 T リンパ球/白血球</v>
      </c>
      <c r="H3132" s="3" t="str">
        <f ca="1">IFERROR(__xludf.DUMMYFUNCTION("googletranslate(E3132,""en"",""ja"")"),"生物学的標本中の白血球に対する粘膜関連不変 T リンパ球の相対測定値 (比率またはパーセンテージ)。")</f>
        <v>生物学的標本中の白血球に対する粘膜関連不変 T リンパ球の相対測定値 (比率またはパーセンテージ)。</v>
      </c>
      <c r="I3132" s="3" t="str">
        <f ca="1">IFERROR(__xludf.DUMMYFUNCTION("googletranslate(F3132,""en"",""ja"")"),"粘膜関連の不変Tリンパ球対白血球比測定")</f>
        <v>粘膜関連の不変Tリンパ球対白血球比測定</v>
      </c>
    </row>
    <row r="3133" spans="1:9" ht="120">
      <c r="A3133" s="3" t="s">
        <v>103</v>
      </c>
      <c r="B3133" s="3" t="s">
        <v>12935</v>
      </c>
      <c r="C3133" s="3" t="s">
        <v>12936</v>
      </c>
      <c r="D3133" s="3" t="s">
        <v>12937</v>
      </c>
      <c r="E3133" s="3" t="s">
        <v>12938</v>
      </c>
      <c r="F3133" s="3" t="s">
        <v>12939</v>
      </c>
      <c r="G3133" s="3" t="str">
        <f ca="1">IFERROR(__xludf.DUMMYFUNCTION("googletranslate(D3133,""en"",""ja"")"),"MAIT セル サブ/MAIT セル。 MAITサブ/MAIT;粘膜関連不変 T 細胞サブ集団/粘膜関連不変 T 細胞;粘膜関連インバリアント T リンパ球サブ集団/粘膜関連インバリアント T リンパ球")</f>
        <v>MAIT セル サブ/MAIT セル。 MAITサブ/MAIT;粘膜関連不変 T 細胞サブ集団/粘膜関連不変 T 細胞;粘膜関連インバリアント T リンパ球サブ集団/粘膜関連インバリアント T リンパ球</v>
      </c>
      <c r="H3133" s="3" t="str">
        <f ca="1">IFERROR(__xludf.DUMMYFUNCTION("googletranslate(E3133,""en"",""ja"")"),"生物学的標本中のすべての粘膜関連 T リンパ球に対する粘膜関連インバリアント T リンパ球の部分集団の相対測定。")</f>
        <v>生物学的標本中のすべての粘膜関連 T リンパ球に対する粘膜関連インバリアント T リンパ球の部分集団の相対測定。</v>
      </c>
      <c r="I3133" s="3" t="str">
        <f ca="1">IFERROR(__xludf.DUMMYFUNCTION("googletranslate(F3133,""en"",""ja"")"),"粘膜関連不変 T リンパ球部分集団と粘膜関連 T リンパ球の比率の測定")</f>
        <v>粘膜関連不変 T リンパ球部分集団と粘膜関連 T リンパ球の比率の測定</v>
      </c>
    </row>
    <row r="3134" spans="1:9" ht="75">
      <c r="A3134" s="3" t="s">
        <v>103</v>
      </c>
      <c r="B3134" s="3" t="s">
        <v>12940</v>
      </c>
      <c r="C3134" s="3" t="s">
        <v>12941</v>
      </c>
      <c r="D3134" s="3" t="s">
        <v>12942</v>
      </c>
      <c r="E3134" s="3" t="s">
        <v>12943</v>
      </c>
      <c r="F3134" s="3" t="s">
        <v>12944</v>
      </c>
      <c r="G3134" s="3" t="str">
        <f ca="1">IFERROR(__xludf.DUMMYFUNCTION("googletranslate(D3134,""en"",""ja"")"),"MAIT細胞/T細胞; MAIT/Tリム;粘膜関連不変性 T 細胞/T リンパ球;粘膜関連不変 T リンパ球/T リンパ球")</f>
        <v>MAIT細胞/T細胞; MAIT/Tリム;粘膜関連不変性 T 細胞/T リンパ球;粘膜関連不変 T リンパ球/T リンパ球</v>
      </c>
      <c r="H3134" s="3" t="str">
        <f ca="1">IFERROR(__xludf.DUMMYFUNCTION("googletranslate(E3134,""en"",""ja"")"),"生物学的標本中の T リンパ球に対する粘膜関連インバリアント T リンパ球の相対測定値 (比率またはパーセンテージ)。")</f>
        <v>生物学的標本中の T リンパ球に対する粘膜関連インバリアント T リンパ球の相対測定値 (比率またはパーセンテージ)。</v>
      </c>
      <c r="I3134" s="3" t="str">
        <f ca="1">IFERROR(__xludf.DUMMYFUNCTION("googletranslate(F3134,""en"",""ja"")"),"粘膜関連の不変 T リンパ球対 T リンパ球比の測定")</f>
        <v>粘膜関連の不変 T リンパ球対 T リンパ球比の測定</v>
      </c>
    </row>
    <row r="3135" spans="1:9" ht="30">
      <c r="A3135" s="3" t="s">
        <v>490</v>
      </c>
      <c r="B3135" s="3" t="s">
        <v>12945</v>
      </c>
      <c r="C3135" s="3" t="s">
        <v>12946</v>
      </c>
      <c r="D3135" s="3" t="s">
        <v>12946</v>
      </c>
      <c r="E3135" s="3" t="s">
        <v>12947</v>
      </c>
      <c r="F3135" s="3" t="s">
        <v>12948</v>
      </c>
      <c r="G3135" s="3" t="str">
        <f ca="1">IFERROR(__xludf.DUMMYFUNCTION("googletranslate(D3135,""en"",""ja"")"),"悪性腫瘍の証拠の説明")</f>
        <v>悪性腫瘍の証拠の説明</v>
      </c>
      <c r="H3135" s="3" t="str">
        <f ca="1">IFERROR(__xludf.DUMMYFUNCTION("googletranslate(E3135,""en"",""ja"")"),"悪性腫瘍が存在するという判断の根拠。")</f>
        <v>悪性腫瘍が存在するという判断の根拠。</v>
      </c>
      <c r="I3135" s="3" t="str">
        <f ca="1">IFERROR(__xludf.DUMMYFUNCTION("googletranslate(F3135,""en"",""ja"")"),"悪性疾患の証拠の説明")</f>
        <v>悪性疾患の証拠の説明</v>
      </c>
    </row>
    <row r="3136" spans="1:9">
      <c r="A3136" s="3" t="s">
        <v>490</v>
      </c>
      <c r="B3136" s="3" t="s">
        <v>12949</v>
      </c>
      <c r="C3136" s="3" t="s">
        <v>12950</v>
      </c>
      <c r="D3136" s="3" t="s">
        <v>12950</v>
      </c>
      <c r="E3136" s="3" t="s">
        <v>12951</v>
      </c>
      <c r="F3136" s="3" t="s">
        <v>12952</v>
      </c>
      <c r="G3136" s="3" t="str">
        <f ca="1">IFERROR(__xludf.DUMMYFUNCTION("googletranslate(D3136,""en"",""ja"")"),"悪性腫瘍の指標")</f>
        <v>悪性腫瘍の指標</v>
      </c>
      <c r="H3136" s="3" t="str">
        <f ca="1">IFERROR(__xludf.DUMMYFUNCTION("googletranslate(E3136,""en"",""ja"")"),"悪性腫瘍が存在するかどうかの指標。")</f>
        <v>悪性腫瘍が存在するかどうかの指標。</v>
      </c>
      <c r="I3136" s="3" t="str">
        <f ca="1">IFERROR(__xludf.DUMMYFUNCTION("googletranslate(F3136,""en"",""ja"")"),"悪性疾患の指標")</f>
        <v>悪性疾患の指標</v>
      </c>
    </row>
    <row r="3137" spans="1:9">
      <c r="A3137" s="3" t="s">
        <v>118</v>
      </c>
      <c r="B3137" s="3" t="s">
        <v>12953</v>
      </c>
      <c r="C3137" s="3" t="s">
        <v>12954</v>
      </c>
      <c r="D3137" s="3" t="s">
        <v>12954</v>
      </c>
      <c r="E3137" s="3" t="s">
        <v>12955</v>
      </c>
      <c r="F3137" s="3" t="s">
        <v>12954</v>
      </c>
      <c r="G3137" s="3" t="str">
        <f ca="1">IFERROR(__xludf.DUMMYFUNCTION("googletranslate(D3137,""en"",""ja"")"),"下顎の長さ")</f>
        <v>下顎の長さ</v>
      </c>
      <c r="H3137" s="3" t="str">
        <f ca="1">IFERROR(__xludf.DUMMYFUNCTION("googletranslate(E3137,""en"",""ja"")"),"下顎の長さの測定。")</f>
        <v>下顎の長さの測定。</v>
      </c>
      <c r="I3137" s="3" t="str">
        <f ca="1">IFERROR(__xludf.DUMMYFUNCTION("googletranslate(F3137,""en"",""ja"")"),"下顎の長さ")</f>
        <v>下顎の長さ</v>
      </c>
    </row>
    <row r="3138" spans="1:9">
      <c r="A3138" s="3" t="s">
        <v>6</v>
      </c>
      <c r="B3138" s="3" t="s">
        <v>12956</v>
      </c>
      <c r="C3138" s="3" t="s">
        <v>12957</v>
      </c>
      <c r="D3138" s="3" t="s">
        <v>12957</v>
      </c>
      <c r="E3138" s="3" t="s">
        <v>12958</v>
      </c>
      <c r="F3138" s="3" t="s">
        <v>12959</v>
      </c>
      <c r="G3138" s="3" t="str">
        <f ca="1">IFERROR(__xludf.DUMMYFUNCTION("googletranslate(D3138,""en"",""ja"")"),"マンニトール")</f>
        <v>マンニトール</v>
      </c>
      <c r="H3138" s="3" t="str">
        <f ca="1">IFERROR(__xludf.DUMMYFUNCTION("googletranslate(E3138,""en"",""ja"")"),"生物学的標本中のマンニトールの測定。")</f>
        <v>生物学的標本中のマンニトールの測定。</v>
      </c>
      <c r="I3138" s="3" t="str">
        <f ca="1">IFERROR(__xludf.DUMMYFUNCTION("googletranslate(F3138,""en"",""ja"")"),"マンニトールの測定")</f>
        <v>マンニトールの測定</v>
      </c>
    </row>
    <row r="3139" spans="1:9">
      <c r="A3139" s="3" t="s">
        <v>118</v>
      </c>
      <c r="B3139" s="3" t="s">
        <v>12960</v>
      </c>
      <c r="C3139" s="3" t="s">
        <v>12961</v>
      </c>
      <c r="D3139" s="3" t="s">
        <v>12961</v>
      </c>
      <c r="E3139" s="3" t="s">
        <v>12962</v>
      </c>
      <c r="F3139" s="3" t="s">
        <v>12961</v>
      </c>
      <c r="G3139" s="3" t="str">
        <f ca="1">IFERROR(__xludf.DUMMYFUNCTION("googletranslate(D3139,""en"",""ja"")"),"平均動脈圧")</f>
        <v>平均動脈圧</v>
      </c>
      <c r="H3139" s="3" t="str">
        <f ca="1">IFERROR(__xludf.DUMMYFUNCTION("googletranslate(E3139,""en"",""ja"")"),"動脈循環内の血液の平均圧力。")</f>
        <v>動脈循環内の血液の平均圧力。</v>
      </c>
      <c r="I3139" s="3" t="str">
        <f ca="1">IFERROR(__xludf.DUMMYFUNCTION("googletranslate(F3139,""en"",""ja"")"),"平均動脈圧")</f>
        <v>平均動脈圧</v>
      </c>
    </row>
    <row r="3140" spans="1:9">
      <c r="A3140" s="3" t="s">
        <v>503</v>
      </c>
      <c r="B3140" s="3" t="s">
        <v>12963</v>
      </c>
      <c r="C3140" s="3" t="s">
        <v>12964</v>
      </c>
      <c r="D3140" s="3" t="s">
        <v>12964</v>
      </c>
      <c r="E3140" s="3" t="s">
        <v>12965</v>
      </c>
      <c r="F3140" s="3" t="s">
        <v>12964</v>
      </c>
      <c r="G3140" s="3" t="str">
        <f ca="1">IFERROR(__xludf.DUMMYFUNCTION("googletranslate(D3140,""en"",""ja"")"),"配偶者の有無")</f>
        <v>配偶者の有無</v>
      </c>
      <c r="H3140" s="3" t="str">
        <f ca="1">IFERROR(__xludf.DUMMYFUNCTION("googletranslate(E3140,""en"",""ja"")"),"個人の婚姻状況の状態または状態。")</f>
        <v>個人の婚姻状況の状態または状態。</v>
      </c>
      <c r="I3140" s="3" t="str">
        <f ca="1">IFERROR(__xludf.DUMMYFUNCTION("googletranslate(F3140,""en"",""ja"")"),"配偶者の有無")</f>
        <v>配偶者の有無</v>
      </c>
    </row>
    <row r="3141" spans="1:9">
      <c r="A3141" s="3" t="s">
        <v>33</v>
      </c>
      <c r="B3141" s="3" t="s">
        <v>12966</v>
      </c>
      <c r="C3141" s="3" t="s">
        <v>12967</v>
      </c>
      <c r="D3141" s="3" t="s">
        <v>12967</v>
      </c>
      <c r="E3141" s="3" t="s">
        <v>12968</v>
      </c>
      <c r="F3141" s="3" t="s">
        <v>12967</v>
      </c>
      <c r="G3141" s="3" t="str">
        <f ca="1">IFERROR(__xludf.DUMMYFUNCTION("googletranslate(D3141,""en"",""ja"")"),"質量")</f>
        <v>質量</v>
      </c>
      <c r="H3141" s="3" t="str">
        <f ca="1">IFERROR(__xludf.DUMMYFUNCTION("googletranslate(E3141,""en"",""ja"")"),"物体内の物質の量。")</f>
        <v>物体内の物質の量。</v>
      </c>
      <c r="I3141" s="3" t="str">
        <f ca="1">IFERROR(__xludf.DUMMYFUNCTION("googletranslate(F3141,""en"",""ja"")"),"質量")</f>
        <v>質量</v>
      </c>
    </row>
    <row r="3142" spans="1:9">
      <c r="A3142" s="3" t="s">
        <v>81</v>
      </c>
      <c r="B3142" s="3" t="s">
        <v>12966</v>
      </c>
      <c r="C3142" s="3" t="s">
        <v>12967</v>
      </c>
      <c r="D3142" s="3" t="s">
        <v>12967</v>
      </c>
      <c r="E3142" s="3" t="s">
        <v>12968</v>
      </c>
      <c r="F3142" s="3" t="s">
        <v>12967</v>
      </c>
      <c r="G3142" s="3" t="str">
        <f ca="1">IFERROR(__xludf.DUMMYFUNCTION("googletranslate(D3142,""en"",""ja"")"),"質量")</f>
        <v>質量</v>
      </c>
      <c r="H3142" s="3" t="str">
        <f ca="1">IFERROR(__xludf.DUMMYFUNCTION("googletranslate(E3142,""en"",""ja"")"),"物体内の物質の量。")</f>
        <v>物体内の物質の量。</v>
      </c>
      <c r="I3142" s="3" t="str">
        <f ca="1">IFERROR(__xludf.DUMMYFUNCTION("googletranslate(F3142,""en"",""ja"")"),"質量")</f>
        <v>質量</v>
      </c>
    </row>
    <row r="3143" spans="1:9">
      <c r="A3143" s="3" t="s">
        <v>142</v>
      </c>
      <c r="B3143" s="3" t="s">
        <v>12969</v>
      </c>
      <c r="C3143" s="3" t="s">
        <v>12970</v>
      </c>
      <c r="D3143" s="3" t="s">
        <v>12970</v>
      </c>
      <c r="E3143" s="3" t="s">
        <v>12971</v>
      </c>
      <c r="F3143" s="3" t="s">
        <v>12970</v>
      </c>
      <c r="G3143" s="3" t="str">
        <f ca="1">IFERROR(__xludf.DUMMYFUNCTION("googletranslate(D3143,""en"",""ja"")"),"質量インジケーター")</f>
        <v>質量インジケーター</v>
      </c>
      <c r="H3143" s="3" t="str">
        <f ca="1">IFERROR(__xludf.DUMMYFUNCTION("googletranslate(E3143,""en"",""ja"")"),"塊が存在するかどうかを示す指標。")</f>
        <v>塊が存在するかどうかを示す指標。</v>
      </c>
      <c r="I3143" s="3" t="str">
        <f ca="1">IFERROR(__xludf.DUMMYFUNCTION("googletranslate(F3143,""en"",""ja"")"),"質量インジケーター")</f>
        <v>質量インジケーター</v>
      </c>
    </row>
    <row r="3144" spans="1:9">
      <c r="A3144" s="3" t="s">
        <v>6</v>
      </c>
      <c r="B3144" s="3" t="s">
        <v>12972</v>
      </c>
      <c r="C3144" s="3" t="s">
        <v>12973</v>
      </c>
      <c r="D3144" s="3" t="s">
        <v>12974</v>
      </c>
      <c r="E3144" s="3" t="s">
        <v>12975</v>
      </c>
      <c r="F3144" s="3" t="s">
        <v>12976</v>
      </c>
      <c r="G3144" s="3" t="str">
        <f ca="1">IFERROR(__xludf.DUMMYFUNCTION("googletranslate(D3144,""en"",""ja"")"),"マスト細胞;肥満細胞")</f>
        <v>マスト細胞;肥満細胞</v>
      </c>
      <c r="H3144" s="3" t="str">
        <f ca="1">IFERROR(__xludf.DUMMYFUNCTION("googletranslate(E3144,""en"",""ja"")"),"生物学的標本中の肥満細胞の測定。")</f>
        <v>生物学的標本中の肥満細胞の測定。</v>
      </c>
      <c r="I3144" s="3" t="str">
        <f ca="1">IFERROR(__xludf.DUMMYFUNCTION("googletranslate(F3144,""en"",""ja"")"),"肥満細胞数")</f>
        <v>肥満細胞数</v>
      </c>
    </row>
    <row r="3145" spans="1:9">
      <c r="A3145" s="3" t="s">
        <v>103</v>
      </c>
      <c r="B3145" s="3" t="s">
        <v>12972</v>
      </c>
      <c r="C3145" s="3" t="s">
        <v>12973</v>
      </c>
      <c r="D3145" s="3" t="s">
        <v>12974</v>
      </c>
      <c r="E3145" s="3" t="s">
        <v>12975</v>
      </c>
      <c r="F3145" s="3" t="s">
        <v>12976</v>
      </c>
      <c r="G3145" s="3" t="str">
        <f ca="1">IFERROR(__xludf.DUMMYFUNCTION("googletranslate(D3145,""en"",""ja"")"),"マスト細胞;肥満細胞")</f>
        <v>マスト細胞;肥満細胞</v>
      </c>
      <c r="H3145" s="3" t="str">
        <f ca="1">IFERROR(__xludf.DUMMYFUNCTION("googletranslate(E3145,""en"",""ja"")"),"生物学的標本中の肥満細胞の測定。")</f>
        <v>生物学的標本中の肥満細胞の測定。</v>
      </c>
      <c r="I3145" s="3" t="str">
        <f ca="1">IFERROR(__xludf.DUMMYFUNCTION("googletranslate(F3145,""en"",""ja"")"),"肥満細胞数")</f>
        <v>肥満細胞数</v>
      </c>
    </row>
    <row r="3146" spans="1:9" ht="30">
      <c r="A3146" s="3" t="s">
        <v>103</v>
      </c>
      <c r="B3146" s="3" t="s">
        <v>12977</v>
      </c>
      <c r="C3146" s="3" t="s">
        <v>12978</v>
      </c>
      <c r="D3146" s="3" t="s">
        <v>12978</v>
      </c>
      <c r="E3146" s="3" t="s">
        <v>12979</v>
      </c>
      <c r="F3146" s="3" t="s">
        <v>12980</v>
      </c>
      <c r="G3146" s="3" t="str">
        <f ca="1">IFERROR(__xludf.DUMMYFUNCTION("googletranslate(D3146,""en"",""ja"")"),"マスト細胞/総細胞数")</f>
        <v>マスト細胞/総細胞数</v>
      </c>
      <c r="H3146" s="3" t="str">
        <f ca="1">IFERROR(__xludf.DUMMYFUNCTION("googletranslate(E3146,""en"",""ja"")"),"生物学的標本の全細胞に対するマスト細胞の相対的な測定値 (比率またはパーセンテージ)。")</f>
        <v>生物学的標本の全細胞に対するマスト細胞の相対的な測定値 (比率またはパーセンテージ)。</v>
      </c>
      <c r="I3146" s="3" t="str">
        <f ca="1">IFERROR(__xludf.DUMMYFUNCTION("googletranslate(F3146,""en"",""ja"")"),"マストセルと総セルの比率の測定")</f>
        <v>マストセルと総セルの比率の測定</v>
      </c>
    </row>
    <row r="3147" spans="1:9" ht="30">
      <c r="A3147" s="3" t="s">
        <v>6</v>
      </c>
      <c r="B3147" s="3" t="s">
        <v>12977</v>
      </c>
      <c r="C3147" s="3" t="s">
        <v>12978</v>
      </c>
      <c r="D3147" s="3" t="s">
        <v>12978</v>
      </c>
      <c r="E3147" s="3" t="s">
        <v>12979</v>
      </c>
      <c r="F3147" s="3" t="s">
        <v>12980</v>
      </c>
      <c r="G3147" s="3" t="str">
        <f ca="1">IFERROR(__xludf.DUMMYFUNCTION("googletranslate(D3147,""en"",""ja"")"),"マスト細胞/総細胞数")</f>
        <v>マスト細胞/総細胞数</v>
      </c>
      <c r="H3147" s="3" t="str">
        <f ca="1">IFERROR(__xludf.DUMMYFUNCTION("googletranslate(E3147,""en"",""ja"")"),"生物学的標本の全細胞に対するマスト細胞の相対的な測定値 (比率またはパーセンテージ)。")</f>
        <v>生物学的標本の全細胞に対するマスト細胞の相対的な測定値 (比率またはパーセンテージ)。</v>
      </c>
      <c r="I3147" s="3" t="str">
        <f ca="1">IFERROR(__xludf.DUMMYFUNCTION("googletranslate(F3147,""en"",""ja"")"),"マストセルと総セルの比率の測定")</f>
        <v>マストセルと総セルの比率の測定</v>
      </c>
    </row>
    <row r="3148" spans="1:9" ht="30">
      <c r="A3148" s="3" t="s">
        <v>6</v>
      </c>
      <c r="B3148" s="3" t="s">
        <v>12981</v>
      </c>
      <c r="C3148" s="3" t="s">
        <v>12982</v>
      </c>
      <c r="D3148" s="3" t="s">
        <v>12982</v>
      </c>
      <c r="E3148" s="3" t="s">
        <v>12983</v>
      </c>
      <c r="F3148" s="3" t="s">
        <v>12984</v>
      </c>
      <c r="G3148" s="3" t="str">
        <f ca="1">IFERROR(__xludf.DUMMYFUNCTION("googletranslate(D3148,""en"",""ja"")"),"肥満細胞/白血球")</f>
        <v>肥満細胞/白血球</v>
      </c>
      <c r="H3148" s="3" t="str">
        <f ca="1">IFERROR(__xludf.DUMMYFUNCTION("googletranslate(E3148,""en"",""ja"")"),"生物学的標本中の総白血球に対するマスト細胞の相対的な測定値 (比率またはパーセンテージ)。")</f>
        <v>生物学的標本中の総白血球に対するマスト細胞の相対的な測定値 (比率またはパーセンテージ)。</v>
      </c>
      <c r="I3148" s="3" t="str">
        <f ca="1">IFERROR(__xludf.DUMMYFUNCTION("googletranslate(F3148,""en"",""ja"")"),"マスト細胞と白血球の比率の測定")</f>
        <v>マスト細胞と白血球の比率の測定</v>
      </c>
    </row>
    <row r="3149" spans="1:9" ht="45">
      <c r="A3149" s="3" t="s">
        <v>67</v>
      </c>
      <c r="B3149" s="3" t="s">
        <v>12985</v>
      </c>
      <c r="C3149" s="3" t="s">
        <v>12986</v>
      </c>
      <c r="D3149" s="3" t="s">
        <v>12986</v>
      </c>
      <c r="E3149" s="3" t="s">
        <v>12987</v>
      </c>
      <c r="F3149" s="3" t="s">
        <v>12988</v>
      </c>
      <c r="G3149" s="3" t="str">
        <f ca="1">IFERROR(__xludf.DUMMYFUNCTION("googletranslate(D3149,""en"",""ja"")"),"マイコバクテリウム・アビウム複合体")</f>
        <v>マイコバクテリウム・アビウム複合体</v>
      </c>
      <c r="H3149" s="3" t="str">
        <f ca="1">IFERROR(__xludf.DUMMYFUNCTION("googletranslate(E3149,""en"",""ja"")"),"生物学的標本中の Mycobacterium avium 複合体に割り当てられる細菌種のグループの測定値。")</f>
        <v>生物学的標本中の Mycobacterium avium 複合体に割り当てられる細菌種のグループの測定値。</v>
      </c>
      <c r="I3149" s="3" t="str">
        <f ca="1">IFERROR(__xludf.DUMMYFUNCTION("googletranslate(F3149,""en"",""ja"")"),"マイコバクテリウム・アビウム複合体測定")</f>
        <v>マイコバクテリウム・アビウム複合体測定</v>
      </c>
    </row>
    <row r="3150" spans="1:9" ht="30">
      <c r="A3150" s="3" t="s">
        <v>1255</v>
      </c>
      <c r="B3150" s="3" t="s">
        <v>12989</v>
      </c>
      <c r="C3150" s="3" t="s">
        <v>12990</v>
      </c>
      <c r="D3150" s="3" t="s">
        <v>12991</v>
      </c>
      <c r="E3150" s="3" t="s">
        <v>12992</v>
      </c>
      <c r="F3150" s="3" t="s">
        <v>12993</v>
      </c>
      <c r="G3150" s="3" t="str">
        <f ca="1">IFERROR(__xludf.DUMMYFUNCTION("googletranslate(D3150,""en"",""ja"")"),"最大ボーラス;最大ボーラス量")</f>
        <v>最大ボーラス;最大ボーラス量</v>
      </c>
      <c r="H3150" s="3" t="str">
        <f ca="1">IFERROR(__xludf.DUMMYFUNCTION("googletranslate(E3150,""en"",""ja"")"),"1 回のボーラスで投与される物質の最大量を制御するための装置の設定および安全機能。")</f>
        <v>1 回のボーラスで投与される物質の最大量を制御するための装置の設定および安全機能。</v>
      </c>
      <c r="I3150" s="3" t="str">
        <f ca="1">IFERROR(__xludf.DUMMYFUNCTION("googletranslate(F3150,""en"",""ja"")"),"最大ボーラスデバイス設定")</f>
        <v>最大ボーラスデバイス設定</v>
      </c>
    </row>
    <row r="3151" spans="1:9" ht="30">
      <c r="A3151" s="3" t="s">
        <v>81</v>
      </c>
      <c r="B3151" s="3" t="s">
        <v>12994</v>
      </c>
      <c r="C3151" s="3" t="s">
        <v>12995</v>
      </c>
      <c r="D3151" s="3" t="s">
        <v>12995</v>
      </c>
      <c r="E3151" s="3" t="s">
        <v>12996</v>
      </c>
      <c r="F3151" s="3" t="s">
        <v>12995</v>
      </c>
      <c r="G3151" s="3" t="str">
        <f ca="1">IFERROR(__xludf.DUMMYFUNCTION("googletranslate(D3151,""en"",""ja"")"),"最大心膜浸出幅")</f>
        <v>最大心膜浸出幅</v>
      </c>
      <c r="H3151" s="3" t="str">
        <f ca="1">IFERROR(__xludf.DUMMYFUNCTION("googletranslate(E3151,""en"",""ja"")"),"拡張期における頭頂心膜と内臓心膜の間の最大分離の定量的測定。")</f>
        <v>拡張期における頭頂心膜と内臓心膜の間の最大分離の定量的測定。</v>
      </c>
      <c r="I3151" s="3" t="str">
        <f ca="1">IFERROR(__xludf.DUMMYFUNCTION("googletranslate(F3151,""en"",""ja"")"),"最大心膜浸出幅")</f>
        <v>最大心膜浸出幅</v>
      </c>
    </row>
    <row r="3152" spans="1:9" ht="45">
      <c r="A3152" s="3" t="s">
        <v>118</v>
      </c>
      <c r="B3152" s="3" t="s">
        <v>12997</v>
      </c>
      <c r="C3152" s="3" t="s">
        <v>12998</v>
      </c>
      <c r="D3152" s="3" t="s">
        <v>12998</v>
      </c>
      <c r="E3152" s="3" t="s">
        <v>12999</v>
      </c>
      <c r="F3152" s="3" t="s">
        <v>12998</v>
      </c>
      <c r="G3152" s="3" t="str">
        <f ca="1">IFERROR(__xludf.DUMMYFUNCTION("googletranslate(D3152,""en"",""ja"")"),"最大予測心拍数")</f>
        <v>最大予測心拍数</v>
      </c>
      <c r="H3152" s="3" t="str">
        <f ca="1">IFERROR(__xludf.DUMMYFUNCTION("googletranslate(E3152,""en"",""ja"")"),"個人の心拍数の予測上限。男性の場合は 220 から被験者の年齢を引いた値、女性の場合は 210 から被験者の年齢を引いた値として計算されます。")</f>
        <v>個人の心拍数の予測上限。男性の場合は 220 から被験者の年齢を引いた値、女性の場合は 210 から被験者の年齢を引いた値として計算されます。</v>
      </c>
      <c r="I3152" s="3" t="str">
        <f ca="1">IFERROR(__xludf.DUMMYFUNCTION("googletranslate(F3152,""en"",""ja"")"),"最大予測心拍数")</f>
        <v>最大予測心拍数</v>
      </c>
    </row>
    <row r="3153" spans="1:9" ht="45">
      <c r="A3153" s="3" t="s">
        <v>6</v>
      </c>
      <c r="B3153" s="3" t="s">
        <v>13000</v>
      </c>
      <c r="C3153" s="3" t="s">
        <v>13001</v>
      </c>
      <c r="D3153" s="3" t="s">
        <v>13001</v>
      </c>
      <c r="E3153" s="3" t="s">
        <v>13002</v>
      </c>
      <c r="F3153" s="3" t="s">
        <v>13003</v>
      </c>
      <c r="G3153" s="3" t="str">
        <f ca="1">IFERROR(__xludf.DUMMYFUNCTION("googletranslate(D3153,""en"",""ja"")"),"メイ・ヘグリン異常")</f>
        <v>メイ・ヘグリン異常</v>
      </c>
      <c r="H3153" s="3" t="str">
        <f ca="1">IFERROR(__xludf.DUMMYFUNCTION("googletranslate(E3153,""en"",""ja"")"),"血液サンプルにおけるメイ・ヘグリン異常の測定。この異常は、大きくて変形した血小板と白血球内のドール小体の存在が特徴です。")</f>
        <v>血液サンプルにおけるメイ・ヘグリン異常の測定。この異常は、大きくて変形した血小板と白血球内のドール小体の存在が特徴です。</v>
      </c>
      <c r="I3153" s="3" t="str">
        <f ca="1">IFERROR(__xludf.DUMMYFUNCTION("googletranslate(F3153,""en"",""ja"")"),"メイ・ヘグリン異常測定")</f>
        <v>メイ・ヘグリン異常測定</v>
      </c>
    </row>
    <row r="3154" spans="1:9">
      <c r="A3154" s="3" t="s">
        <v>6</v>
      </c>
      <c r="B3154" s="3" t="s">
        <v>13004</v>
      </c>
      <c r="C3154" s="3" t="s">
        <v>13005</v>
      </c>
      <c r="D3154" s="3" t="s">
        <v>13005</v>
      </c>
      <c r="E3154" s="3" t="s">
        <v>13006</v>
      </c>
      <c r="F3154" s="3" t="s">
        <v>13007</v>
      </c>
      <c r="G3154" s="3" t="str">
        <f ca="1">IFERROR(__xludf.DUMMYFUNCTION("googletranslate(D3154,""en"",""ja"")"),"マジンドル")</f>
        <v>マジンドル</v>
      </c>
      <c r="H3154" s="3" t="str">
        <f ca="1">IFERROR(__xludf.DUMMYFUNCTION("googletranslate(E3154,""en"",""ja"")"),"生物学的標本中のマジンドールの測定。")</f>
        <v>生物学的標本中のマジンドールの測定。</v>
      </c>
      <c r="I3154" s="3" t="str">
        <f ca="1">IFERROR(__xludf.DUMMYFUNCTION("googletranslate(F3154,""en"",""ja"")"),"マジンドル測定")</f>
        <v>マジンドル測定</v>
      </c>
    </row>
    <row r="3155" spans="1:9" ht="90">
      <c r="A3155" s="3" t="s">
        <v>180</v>
      </c>
      <c r="B3155" s="3" t="s">
        <v>13008</v>
      </c>
      <c r="C3155" s="3" t="s">
        <v>13009</v>
      </c>
      <c r="D3155" s="3" t="s">
        <v>13009</v>
      </c>
      <c r="E3155" s="3" t="s">
        <v>13010</v>
      </c>
      <c r="F3155" s="3" t="s">
        <v>13011</v>
      </c>
      <c r="G3155" s="3" t="str">
        <f ca="1">IFERROR(__xludf.DUMMYFUNCTION("googletranslate(D3155,""en"",""ja"")"),"微生物誘導性抗体")</f>
        <v>微生物誘導性抗体</v>
      </c>
      <c r="H3155" s="3" t="str">
        <f ca="1">IFERROR(__xludf.DUMMYFUNCTION("googletranslate(E3155,""en"",""ja"")"),"生物学的標本中の微生物誘導性抗体の結合の測定。この抗体の産生は、自然に発生する感染症、ワクチン接種、および/または微生物全体またはウイルスの成分を使用したウイルスベクターベースの治療によって引き起こされる可能性があります。")</f>
        <v>生物学的標本中の微生物誘導性抗体の結合の測定。この抗体の産生は、自然に発生する感染症、ワクチン接種、および/または微生物全体またはウイルスの成分を使用したウイルスベクターベースの治療によって引き起こされる可能性があります。</v>
      </c>
      <c r="I3155" s="3" t="str">
        <f ca="1">IFERROR(__xludf.DUMMYFUNCTION("googletranslate(F3155,""en"",""ja"")"),"微生物誘導抗体測定")</f>
        <v>微生物誘導抗体測定</v>
      </c>
    </row>
    <row r="3156" spans="1:9" ht="75">
      <c r="A3156" s="3" t="s">
        <v>180</v>
      </c>
      <c r="B3156" s="3" t="s">
        <v>13012</v>
      </c>
      <c r="C3156" s="3" t="s">
        <v>13013</v>
      </c>
      <c r="D3156" s="3" t="s">
        <v>13013</v>
      </c>
      <c r="E3156" s="3" t="s">
        <v>13014</v>
      </c>
      <c r="F3156" s="3" t="s">
        <v>13015</v>
      </c>
      <c r="G3156" s="3" t="str">
        <f ca="1">IFERROR(__xludf.DUMMYFUNCTION("googletranslate(D3156,""en"",""ja"")"),"機能性微生物誘導抗体")</f>
        <v>機能性微生物誘導抗体</v>
      </c>
      <c r="H3156" s="3" t="str">
        <f ca="1">IFERROR(__xludf.DUMMYFUNCTION("googletranslate(E3156,""en"",""ja"")"),"生物学的標本中の微生物誘導抗体の機能的結合の測定。機能的な微生物誘導性抗体は、他の効果の存在下で病原体またはその毒素に対してアゴニストまたはアンタゴニスト効果を持つ抗体として定義されます。")</f>
        <v>生物学的標本中の微生物誘導抗体の機能的結合の測定。機能的な微生物誘導性抗体は、他の効果の存在下で病原体またはその毒素に対してアゴニストまたはアンタゴニスト効果を持つ抗体として定義されます。</v>
      </c>
      <c r="I3156" s="3" t="str">
        <f ca="1">IFERROR(__xludf.DUMMYFUNCTION("googletranslate(F3156,""en"",""ja"")"),"機能性微生物誘導抗体測定")</f>
        <v>機能性微生物誘導抗体測定</v>
      </c>
    </row>
    <row r="3157" spans="1:9" ht="30">
      <c r="A3157" s="3" t="s">
        <v>81</v>
      </c>
      <c r="B3157" s="3" t="s">
        <v>13016</v>
      </c>
      <c r="C3157" s="3" t="s">
        <v>13017</v>
      </c>
      <c r="D3157" s="3" t="s">
        <v>13017</v>
      </c>
      <c r="E3157" s="3" t="s">
        <v>13018</v>
      </c>
      <c r="F3157" s="3" t="s">
        <v>13017</v>
      </c>
      <c r="G3157" s="3" t="str">
        <f ca="1">IFERROR(__xludf.DUMMYFUNCTION("googletranslate(D3157,""en"",""ja"")"),"平均血流速度")</f>
        <v>平均血流速度</v>
      </c>
      <c r="H3157" s="3" t="str">
        <f ca="1">IFERROR(__xludf.DUMMYFUNCTION("googletranslate(E3157,""en"",""ja"")"),"領域または組織を横切る血液の平均速度の測定値。")</f>
        <v>領域または組織を横切る血液の平均速度の測定値。</v>
      </c>
      <c r="I3157" s="3" t="str">
        <f ca="1">IFERROR(__xludf.DUMMYFUNCTION("googletranslate(F3157,""en"",""ja"")"),"平均血流速度")</f>
        <v>平均血流速度</v>
      </c>
    </row>
    <row r="3158" spans="1:9" ht="90">
      <c r="A3158" s="3" t="s">
        <v>180</v>
      </c>
      <c r="B3158" s="3" t="s">
        <v>13019</v>
      </c>
      <c r="C3158" s="3" t="s">
        <v>13020</v>
      </c>
      <c r="D3158" s="3" t="s">
        <v>13020</v>
      </c>
      <c r="E3158" s="3" t="s">
        <v>13021</v>
      </c>
      <c r="F3158" s="3" t="s">
        <v>13022</v>
      </c>
      <c r="G3158" s="3" t="str">
        <f ca="1">IFERROR(__xludf.DUMMYFUNCTION("googletranslate(D3158,""en"",""ja"")"),"微生物誘導性 IgA/IgM 抗体")</f>
        <v>微生物誘導性 IgA/IgM 抗体</v>
      </c>
      <c r="H3158" s="3" t="str">
        <f ca="1">IFERROR(__xludf.DUMMYFUNCTION("googletranslate(E3158,""en"",""ja"")"),"生物学的検体中の微生物誘導性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158" s="3" t="str">
        <f ca="1">IFERROR(__xludf.DUMMYFUNCTION("googletranslate(F3158,""en"",""ja"")"),"微生物誘導性 IgA および/または IgM 抗体の測定")</f>
        <v>微生物誘導性 IgA および/または IgM 抗体の測定</v>
      </c>
    </row>
    <row r="3159" spans="1:9" ht="90">
      <c r="A3159" s="3" t="s">
        <v>180</v>
      </c>
      <c r="B3159" s="3" t="s">
        <v>13023</v>
      </c>
      <c r="C3159" s="3" t="s">
        <v>13024</v>
      </c>
      <c r="D3159" s="3" t="s">
        <v>13024</v>
      </c>
      <c r="E3159" s="3" t="s">
        <v>13025</v>
      </c>
      <c r="F3159" s="3" t="s">
        <v>13026</v>
      </c>
      <c r="G3159" s="3" t="str">
        <f ca="1">IFERROR(__xludf.DUMMYFUNCTION("googletranslate(D3159,""en"",""ja"")"),"微生物誘導性 IgG + IgM 抗体")</f>
        <v>微生物誘導性 IgG + IgM 抗体</v>
      </c>
      <c r="H3159" s="3" t="str">
        <f ca="1">IFERROR(__xludf.DUMMYFUNCTION("googletranslate(E3159,""en"",""ja"")"),"生物学的検体中の微生物誘導性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f>
        <v>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v>
      </c>
      <c r="I3159" s="3" t="str">
        <f ca="1">IFERROR(__xludf.DUMMYFUNCTION("googletranslate(F3159,""en"",""ja"")"),"微生物誘導性 IgG および IgM 抗体の測定")</f>
        <v>微生物誘導性 IgG および IgM 抗体の測定</v>
      </c>
    </row>
    <row r="3160" spans="1:9" ht="90">
      <c r="A3160" s="3" t="s">
        <v>180</v>
      </c>
      <c r="B3160" s="3" t="s">
        <v>13027</v>
      </c>
      <c r="C3160" s="3" t="s">
        <v>13028</v>
      </c>
      <c r="D3160" s="3" t="s">
        <v>13028</v>
      </c>
      <c r="E3160" s="3" t="s">
        <v>13029</v>
      </c>
      <c r="F3160" s="3" t="s">
        <v>13030</v>
      </c>
      <c r="G3160" s="3" t="str">
        <f ca="1">IFERROR(__xludf.DUMMYFUNCTION("googletranslate(D3160,""en"",""ja"")"),"微生物誘導性 IgA 抗体")</f>
        <v>微生物誘導性 IgA 抗体</v>
      </c>
      <c r="H3160" s="3" t="str">
        <f ca="1">IFERROR(__xludf.DUMMYFUNCTION("googletranslate(E3160,""en"",""ja"")"),"生物学的検体中の微生物誘導性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v>
      </c>
      <c r="I3160" s="3" t="str">
        <f ca="1">IFERROR(__xludf.DUMMYFUNCTION("googletranslate(F3160,""en"",""ja"")"),"微生物誘導性 IgA 抗体の測定")</f>
        <v>微生物誘導性 IgA 抗体の測定</v>
      </c>
    </row>
    <row r="3161" spans="1:9" ht="90">
      <c r="A3161" s="3" t="s">
        <v>180</v>
      </c>
      <c r="B3161" s="3" t="s">
        <v>13031</v>
      </c>
      <c r="C3161" s="3" t="s">
        <v>13032</v>
      </c>
      <c r="D3161" s="3" t="s">
        <v>13032</v>
      </c>
      <c r="E3161" s="3" t="s">
        <v>13033</v>
      </c>
      <c r="F3161" s="3" t="s">
        <v>13034</v>
      </c>
      <c r="G3161" s="3" t="str">
        <f ca="1">IFERROR(__xludf.DUMMYFUNCTION("googletranslate(D3161,""en"",""ja"")"),"微生物誘導性 IgE 抗体")</f>
        <v>微生物誘導性 IgE 抗体</v>
      </c>
      <c r="H3161" s="3" t="str">
        <f ca="1">IFERROR(__xludf.DUMMYFUNCTION("googletranslate(E3161,""en"",""ja"")"),"生物学的検体中の微生物誘導性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v>
      </c>
      <c r="I3161" s="3" t="str">
        <f ca="1">IFERROR(__xludf.DUMMYFUNCTION("googletranslate(F3161,""en"",""ja"")"),"微生物誘導IgE抗体測定")</f>
        <v>微生物誘導IgE抗体測定</v>
      </c>
    </row>
    <row r="3162" spans="1:9" ht="90">
      <c r="A3162" s="3" t="s">
        <v>180</v>
      </c>
      <c r="B3162" s="3" t="s">
        <v>13035</v>
      </c>
      <c r="C3162" s="3" t="s">
        <v>13036</v>
      </c>
      <c r="D3162" s="3" t="s">
        <v>13036</v>
      </c>
      <c r="E3162" s="3" t="s">
        <v>13037</v>
      </c>
      <c r="F3162" s="3" t="s">
        <v>13038</v>
      </c>
      <c r="G3162" s="3" t="str">
        <f ca="1">IFERROR(__xludf.DUMMYFUNCTION("googletranslate(D3162,""en"",""ja"")"),"微生物誘導性 IgG 抗体")</f>
        <v>微生物誘導性 IgG 抗体</v>
      </c>
      <c r="H3162" s="3" t="str">
        <f ca="1">IFERROR(__xludf.DUMMYFUNCTION("googletranslate(E3162,""en"",""ja"")"),"生物学的検体中の微生物誘導性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v>
      </c>
      <c r="I3162" s="3" t="str">
        <f ca="1">IFERROR(__xludf.DUMMYFUNCTION("googletranslate(F3162,""en"",""ja"")"),"微生物誘導IgG抗体測定")</f>
        <v>微生物誘導IgG抗体測定</v>
      </c>
    </row>
    <row r="3163" spans="1:9" ht="90">
      <c r="A3163" s="3" t="s">
        <v>180</v>
      </c>
      <c r="B3163" s="3" t="s">
        <v>13039</v>
      </c>
      <c r="C3163" s="3" t="s">
        <v>13040</v>
      </c>
      <c r="D3163" s="3" t="s">
        <v>13040</v>
      </c>
      <c r="E3163" s="3" t="s">
        <v>13041</v>
      </c>
      <c r="F3163" s="3" t="s">
        <v>13042</v>
      </c>
      <c r="G3163" s="3" t="str">
        <f ca="1">IFERROR(__xludf.DUMMYFUNCTION("googletranslate(D3163,""en"",""ja"")"),"微生物誘導性 IgG/IgM 抗体")</f>
        <v>微生物誘導性 IgG/IgM 抗体</v>
      </c>
      <c r="H3163" s="3" t="str">
        <f ca="1">IFERROR(__xludf.DUMMYFUNCTION("googletranslate(E3163,""en"",""ja"")"),"生物学的検体中の微生物誘導性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163" s="3" t="str">
        <f ca="1">IFERROR(__xludf.DUMMYFUNCTION("googletranslate(F3163,""en"",""ja"")"),"微生物誘導性 IgG および/または IgM 抗体の測定")</f>
        <v>微生物誘導性 IgG および/または IgM 抗体の測定</v>
      </c>
    </row>
    <row r="3164" spans="1:9" ht="90">
      <c r="A3164" s="3" t="s">
        <v>180</v>
      </c>
      <c r="B3164" s="3" t="s">
        <v>13043</v>
      </c>
      <c r="C3164" s="3" t="s">
        <v>13044</v>
      </c>
      <c r="D3164" s="3" t="s">
        <v>13044</v>
      </c>
      <c r="E3164" s="3" t="s">
        <v>13045</v>
      </c>
      <c r="F3164" s="3" t="s">
        <v>13046</v>
      </c>
      <c r="G3164" s="3" t="str">
        <f ca="1">IFERROR(__xludf.DUMMYFUNCTION("googletranslate(D3164,""en"",""ja"")"),"微生物誘導性 IgM 抗体")</f>
        <v>微生物誘導性 IgM 抗体</v>
      </c>
      <c r="H3164" s="3" t="str">
        <f ca="1">IFERROR(__xludf.DUMMYFUNCTION("googletranslate(E3164,""en"",""ja"")"),"生物学的検体中の微生物誘導性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v>
      </c>
      <c r="I3164" s="3" t="str">
        <f ca="1">IFERROR(__xludf.DUMMYFUNCTION("googletranslate(F3164,""en"",""ja"")"),"微生物誘導性 IgM 抗体の測定")</f>
        <v>微生物誘導性 IgM 抗体の測定</v>
      </c>
    </row>
    <row r="3165" spans="1:9" ht="90">
      <c r="A3165" s="3" t="s">
        <v>180</v>
      </c>
      <c r="B3165" s="3" t="s">
        <v>13047</v>
      </c>
      <c r="C3165" s="3" t="s">
        <v>13048</v>
      </c>
      <c r="D3165" s="3" t="s">
        <v>13048</v>
      </c>
      <c r="E3165" s="3" t="s">
        <v>13049</v>
      </c>
      <c r="F3165" s="3" t="s">
        <v>13050</v>
      </c>
      <c r="G3165" s="3" t="str">
        <f ca="1">IFERROR(__xludf.DUMMYFUNCTION("googletranslate(D3165,""en"",""ja"")"),"微生物誘導性 IgM/IgA/IgG 抗体")</f>
        <v>微生物誘導性 IgM/IgA/IgG 抗体</v>
      </c>
      <c r="H3165" s="3" t="str">
        <f ca="1">IFERROR(__xludf.DUMMYFUNCTION("googletranslate(E3165,""en"",""ja"")"),"生物学的検体中の微生物誘導性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f>
        <v>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v>
      </c>
      <c r="I3165" s="3" t="str">
        <f ca="1">IFERROR(__xludf.DUMMYFUNCTION("googletranslate(F3165,""en"",""ja"")"),"微生物による IgM、IgA、および/または IgG 抗体の測定")</f>
        <v>微生物による IgM、IgA、および/または IgG 抗体の測定</v>
      </c>
    </row>
    <row r="3166" spans="1:9" ht="75">
      <c r="A3166" s="3" t="s">
        <v>180</v>
      </c>
      <c r="B3166" s="3" t="s">
        <v>13051</v>
      </c>
      <c r="C3166" s="3" t="s">
        <v>13052</v>
      </c>
      <c r="D3166" s="3" t="s">
        <v>13052</v>
      </c>
      <c r="E3166" s="3" t="s">
        <v>13053</v>
      </c>
      <c r="F3166" s="3" t="s">
        <v>13054</v>
      </c>
      <c r="G3166" s="3" t="str">
        <f ca="1">IFERROR(__xludf.DUMMYFUNCTION("googletranslate(D3166,""en"",""ja"")"),"微生物誘導性抗体の中和")</f>
        <v>微生物誘導性抗体の中和</v>
      </c>
      <c r="H3166" s="3" t="str">
        <f ca="1">IFERROR(__xludf.DUMMYFUNCTION("googletranslate(E3166,""en"",""ja"")"),"生物学的検体中の微生物誘導性抗体の中和結合の測定。微生物誘導性中和抗体は機能性抗体の一種であり、微生物に結合し、微生物の感染を阻止して感染を防ぐ抗体として定義されています。")</f>
        <v>生物学的検体中の微生物誘導性抗体の中和結合の測定。微生物誘導性中和抗体は機能性抗体の一種であり、微生物に結合し、微生物の感染を阻止して感染を防ぐ抗体として定義されています。</v>
      </c>
      <c r="I3166" s="3" t="str">
        <f ca="1">IFERROR(__xludf.DUMMYFUNCTION("googletranslate(F3166,""en"",""ja"")"),"中和微生物誘導抗体の測定")</f>
        <v>中和微生物誘導抗体の測定</v>
      </c>
    </row>
    <row r="3167" spans="1:9" ht="30">
      <c r="A3167" s="3" t="s">
        <v>6</v>
      </c>
      <c r="B3167" s="3" t="s">
        <v>13055</v>
      </c>
      <c r="C3167" s="3" t="s">
        <v>13056</v>
      </c>
      <c r="D3167" s="3" t="s">
        <v>13056</v>
      </c>
      <c r="E3167" s="3" t="s">
        <v>13057</v>
      </c>
      <c r="F3167" s="3" t="s">
        <v>13058</v>
      </c>
      <c r="G3167" s="3" t="str">
        <f ca="1">IFERROR(__xludf.DUMMYFUNCTION("googletranslate(D3167,""en"",""ja"")"),"ミエリンベーシックプロテイン")</f>
        <v>ミエリンベーシックプロテイン</v>
      </c>
      <c r="H3167" s="3" t="str">
        <f ca="1">IFERROR(__xludf.DUMMYFUNCTION("googletranslate(E3167,""en"",""ja"")"),"生物学的標本中のミエリン塩基性タンパク質の測定。")</f>
        <v>生物学的標本中のミエリン塩基性タンパク質の測定。</v>
      </c>
      <c r="I3167" s="3" t="str">
        <f ca="1">IFERROR(__xludf.DUMMYFUNCTION("googletranslate(F3167,""en"",""ja"")"),"ミエリン基礎タンパク質測定")</f>
        <v>ミエリン基礎タンパク質測定</v>
      </c>
    </row>
    <row r="3168" spans="1:9" ht="45">
      <c r="A3168" s="3" t="s">
        <v>1255</v>
      </c>
      <c r="B3168" s="3" t="s">
        <v>13059</v>
      </c>
      <c r="C3168" s="3" t="s">
        <v>13060</v>
      </c>
      <c r="D3168" s="3" t="s">
        <v>13060</v>
      </c>
      <c r="E3168" s="3" t="s">
        <v>13061</v>
      </c>
      <c r="F3168" s="3" t="s">
        <v>13060</v>
      </c>
      <c r="G3168" s="3" t="str">
        <f ca="1">IFERROR(__xludf.DUMMYFUNCTION("googletranslate(D3168,""en"",""ja"")"),"ボーラス不足リマインダーステータス")</f>
        <v>ボーラス不足リマインダーステータス</v>
      </c>
      <c r="H3168" s="3" t="str">
        <f ca="1">IFERROR(__xludf.DUMMYFUNCTION("googletranslate(E3168,""en"",""ja"")"),"事前に指定された期間内にボーラスが投与されなかった場合にアラートを有効にする設定のステータス。 (NCI)")</f>
        <v>事前に指定された期間内にボーラスが投与されなかった場合にアラートを有効にする設定のステータス。 (NCI)</v>
      </c>
      <c r="I3168" s="3" t="str">
        <f ca="1">IFERROR(__xludf.DUMMYFUNCTION("googletranslate(F3168,""en"",""ja"")"),"ボーラス不足リマインダーステータス")</f>
        <v>ボーラス不足リマインダーステータス</v>
      </c>
    </row>
    <row r="3169" spans="1:9" ht="30">
      <c r="A3169" s="3" t="s">
        <v>67</v>
      </c>
      <c r="B3169" s="3" t="s">
        <v>13062</v>
      </c>
      <c r="C3169" s="3" t="s">
        <v>13063</v>
      </c>
      <c r="D3169" s="3" t="s">
        <v>13063</v>
      </c>
      <c r="E3169" s="3" t="s">
        <v>13064</v>
      </c>
      <c r="F3169" s="3" t="s">
        <v>13065</v>
      </c>
      <c r="G3169" s="3" t="str">
        <f ca="1">IFERROR(__xludf.DUMMYFUNCTION("googletranslate(D3169,""en"",""ja"")"),"モラクセラ・カタルハリス")</f>
        <v>モラクセラ・カタルハリス</v>
      </c>
      <c r="H3169" s="3" t="str">
        <f ca="1">IFERROR(__xludf.DUMMYFUNCTION("googletranslate(E3169,""en"",""ja"")"),"生物学的標本中のモラクセラ・カタルハリスの測定。")</f>
        <v>生物学的標本中のモラクセラ・カタルハリスの測定。</v>
      </c>
      <c r="I3169" s="3" t="str">
        <f ca="1">IFERROR(__xludf.DUMMYFUNCTION("googletranslate(F3169,""en"",""ja"")"),"モラクセラ・カタルハリスの測定")</f>
        <v>モラクセラ・カタルハリスの測定</v>
      </c>
    </row>
    <row r="3170" spans="1:9" ht="45">
      <c r="A3170" s="3" t="s">
        <v>6</v>
      </c>
      <c r="B3170" s="3" t="s">
        <v>13066</v>
      </c>
      <c r="C3170" s="3" t="s">
        <v>13067</v>
      </c>
      <c r="D3170" s="3" t="s">
        <v>13068</v>
      </c>
      <c r="E3170" s="3" t="s">
        <v>13069</v>
      </c>
      <c r="F3170" s="3" t="s">
        <v>13070</v>
      </c>
      <c r="G3170" s="3" t="str">
        <f ca="1">IFERROR(__xludf.DUMMYFUNCTION("googletranslate(D3170,""en"",""ja"")"),"2-クエン酸メチル; 2-メチルクエン酸; MCA;クエン酸メチル;メチルクエン酸")</f>
        <v>2-クエン酸メチル; 2-メチルクエン酸; MCA;クエン酸メチル;メチルクエン酸</v>
      </c>
      <c r="H3170" s="3" t="str">
        <f ca="1">IFERROR(__xludf.DUMMYFUNCTION("googletranslate(E3170,""en"",""ja"")"),"生物学的標本中の 2-クエン酸メチルの測定。")</f>
        <v>生物学的標本中の 2-クエン酸メチルの測定。</v>
      </c>
      <c r="I3170" s="3" t="str">
        <f ca="1">IFERROR(__xludf.DUMMYFUNCTION("googletranslate(F3170,""en"",""ja"")"),"2-クエン酸メチルの測定")</f>
        <v>2-クエン酸メチルの測定</v>
      </c>
    </row>
    <row r="3171" spans="1:9" ht="30">
      <c r="A3171" s="3" t="s">
        <v>67</v>
      </c>
      <c r="B3171" s="3" t="s">
        <v>13071</v>
      </c>
      <c r="C3171" s="3" t="s">
        <v>13072</v>
      </c>
      <c r="D3171" s="3" t="s">
        <v>13072</v>
      </c>
      <c r="E3171" s="3" t="s">
        <v>13073</v>
      </c>
      <c r="F3171" s="3" t="s">
        <v>13074</v>
      </c>
      <c r="G3171" s="3" t="str">
        <f ca="1">IFERROR(__xludf.DUMMYFUNCTION("googletranslate(D3171,""en"",""ja"")"),"モラクセラ・カタラーリスのDNA")</f>
        <v>モラクセラ・カタラーリスのDNA</v>
      </c>
      <c r="H3171" s="3" t="str">
        <f ca="1">IFERROR(__xludf.DUMMYFUNCTION("googletranslate(E3171,""en"",""ja"")"),"生物学的標本中のモラクセラ・カタラーリス DNA の測定。")</f>
        <v>生物学的標本中のモラクセラ・カタラーリス DNA の測定。</v>
      </c>
      <c r="I3171" s="3" t="str">
        <f ca="1">IFERROR(__xludf.DUMMYFUNCTION("googletranslate(F3171,""en"",""ja"")"),"モラクセラ・カタラーリスDNA測定")</f>
        <v>モラクセラ・カタラーリスDNA測定</v>
      </c>
    </row>
    <row r="3172" spans="1:9" ht="30">
      <c r="A3172" s="3" t="s">
        <v>6</v>
      </c>
      <c r="B3172" s="3" t="s">
        <v>13075</v>
      </c>
      <c r="C3172" s="3" t="s">
        <v>13076</v>
      </c>
      <c r="D3172" s="3" t="s">
        <v>13077</v>
      </c>
      <c r="E3172" s="3" t="s">
        <v>13078</v>
      </c>
      <c r="F3172" s="3" t="s">
        <v>13079</v>
      </c>
      <c r="G3172" s="3" t="str">
        <f ca="1">IFERROR(__xludf.DUMMYFUNCTION("googletranslate(D3172,""en"",""ja"")"),"エフェドロン;メトカチノン")</f>
        <v>エフェドロン;メトカチノン</v>
      </c>
      <c r="H3172" s="3" t="str">
        <f ca="1">IFERROR(__xludf.DUMMYFUNCTION("googletranslate(E3172,""en"",""ja"")"),"生物学的標本中のメトカチノンの測定。")</f>
        <v>生物学的標本中のメトカチノンの測定。</v>
      </c>
      <c r="I3172" s="3" t="str">
        <f ca="1">IFERROR(__xludf.DUMMYFUNCTION("googletranslate(F3172,""en"",""ja"")"),"メトカチノンの測定")</f>
        <v>メトカチノンの測定</v>
      </c>
    </row>
    <row r="3173" spans="1:9" ht="60">
      <c r="A3173" s="3" t="s">
        <v>6</v>
      </c>
      <c r="B3173" s="3" t="s">
        <v>13080</v>
      </c>
      <c r="C3173" s="3" t="s">
        <v>13081</v>
      </c>
      <c r="D3173" s="3" t="s">
        <v>13081</v>
      </c>
      <c r="E3173" s="3" t="s">
        <v>13082</v>
      </c>
      <c r="F3173" s="3" t="s">
        <v>13083</v>
      </c>
      <c r="G3173" s="3" t="str">
        <f ca="1">IFERROR(__xludf.DUMMYFUNCTION("googletranslate(D3173,""en"",""ja"")"),"エリー。平均赤血球ヘモグロビン")</f>
        <v>エリー。平均赤血球ヘモグロビン</v>
      </c>
      <c r="H3173" s="3" t="str">
        <f ca="1">IFERROR(__xludf.DUMMYFUNCTION("googletranslate(E3173,""en"",""ja"")"),"生体試料中の赤血球あたりのヘモグロビンの平均量の測定値。ヘモグロビンの 10 倍を赤血球の数で割った値として計算されます。")</f>
        <v>生体試料中の赤血球あたりのヘモグロビンの平均量の測定値。ヘモグロビンの 10 倍を赤血球の数で割った値として計算されます。</v>
      </c>
      <c r="I3173" s="3" t="str">
        <f ca="1">IFERROR(__xludf.DUMMYFUNCTION("googletranslate(F3173,""en"",""ja"")"),"赤血球平均赤血球ヘモグロビン")</f>
        <v>赤血球平均赤血球ヘモグロビン</v>
      </c>
    </row>
    <row r="3174" spans="1:9" ht="30">
      <c r="A3174" s="3" t="s">
        <v>67</v>
      </c>
      <c r="B3174" s="3" t="s">
        <v>13080</v>
      </c>
      <c r="C3174" s="3" t="s">
        <v>13084</v>
      </c>
      <c r="D3174" s="3" t="s">
        <v>13084</v>
      </c>
      <c r="E3174" s="3" t="s">
        <v>13085</v>
      </c>
      <c r="F3174" s="3" t="s">
        <v>13086</v>
      </c>
      <c r="G3174" s="3" t="str">
        <f ca="1">IFERROR(__xludf.DUMMYFUNCTION("googletranslate(D3174,""en"",""ja"")"),"マイコバクテリウム・ケロナエ")</f>
        <v>マイコバクテリウム・ケロナエ</v>
      </c>
      <c r="H3174" s="3" t="str">
        <f ca="1">IFERROR(__xludf.DUMMYFUNCTION("googletranslate(E3174,""en"",""ja"")"),"生物学的標本中のマイコバクテリウム・ケロナエの測定。")</f>
        <v>生物学的標本中のマイコバクテリウム・ケロナエの測定。</v>
      </c>
      <c r="I3174" s="3" t="str">
        <f ca="1">IFERROR(__xludf.DUMMYFUNCTION("googletranslate(F3174,""en"",""ja"")"),"マイコバクテリウム・ケロナエの測定")</f>
        <v>マイコバクテリウム・ケロナエの測定</v>
      </c>
    </row>
    <row r="3175" spans="1:9" ht="45">
      <c r="A3175" s="3" t="s">
        <v>6</v>
      </c>
      <c r="B3175" s="3" t="s">
        <v>13087</v>
      </c>
      <c r="C3175" s="3" t="s">
        <v>13088</v>
      </c>
      <c r="D3175" s="3" t="s">
        <v>13088</v>
      </c>
      <c r="E3175" s="3" t="s">
        <v>13089</v>
      </c>
      <c r="F3175" s="3" t="s">
        <v>13090</v>
      </c>
      <c r="G3175" s="3" t="str">
        <f ca="1">IFERROR(__xludf.DUMMYFUNCTION("googletranslate(D3175,""en"",""ja"")"),"エリー。平均微粒子 HGB 濃度")</f>
        <v>エリー。平均微粒子 HGB 濃度</v>
      </c>
      <c r="H3175" s="3" t="str">
        <f ca="1">IFERROR(__xludf.DUMMYFUNCTION("googletranslate(E3175,""en"",""ja"")"),"生体試料中の赤血球あたりのヘモグロビンの平均濃度の間接的な測定。ヘモグロビンとヘマトクリットの比として計算されます。")</f>
        <v>生体試料中の赤血球あたりのヘモグロビンの平均濃度の間接的な測定。ヘモグロビンとヘマトクリットの比として計算されます。</v>
      </c>
      <c r="I3175" s="3" t="str">
        <f ca="1">IFERROR(__xludf.DUMMYFUNCTION("googletranslate(F3175,""en"",""ja"")"),"赤血球の平均赤血球ヘモグロビン濃度")</f>
        <v>赤血球の平均赤血球ヘモグロビン濃度</v>
      </c>
    </row>
    <row r="3176" spans="1:9" ht="30">
      <c r="A3176" s="3" t="s">
        <v>67</v>
      </c>
      <c r="B3176" s="3" t="s">
        <v>13091</v>
      </c>
      <c r="C3176" s="3" t="s">
        <v>13092</v>
      </c>
      <c r="D3176" s="3" t="s">
        <v>13092</v>
      </c>
      <c r="E3176" s="3" t="s">
        <v>13093</v>
      </c>
      <c r="F3176" s="3" t="s">
        <v>13094</v>
      </c>
      <c r="G3176" s="3" t="str">
        <f ca="1">IFERROR(__xludf.DUMMYFUNCTION("googletranslate(D3176,""en"",""ja"")"),"微生物の同定")</f>
        <v>微生物の同定</v>
      </c>
      <c r="H3176" s="3" t="str">
        <f ca="1">IFERROR(__xludf.DUMMYFUNCTION("googletranslate(E3176,""en"",""ja"")"),"生物学的標本中の微生物の種類の同定。")</f>
        <v>生物学的標本中の微生物の種類の同定。</v>
      </c>
      <c r="I3176" s="3" t="str">
        <f ca="1">IFERROR(__xludf.DUMMYFUNCTION("googletranslate(F3176,""en"",""ja"")"),"微生物の同定")</f>
        <v>微生物の同定</v>
      </c>
    </row>
    <row r="3177" spans="1:9" ht="60">
      <c r="A3177" s="3" t="s">
        <v>6</v>
      </c>
      <c r="B3177" s="3" t="s">
        <v>13095</v>
      </c>
      <c r="C3177" s="3" t="s">
        <v>13096</v>
      </c>
      <c r="D3177" s="3" t="s">
        <v>13097</v>
      </c>
      <c r="E3177" s="3" t="s">
        <v>13098</v>
      </c>
      <c r="F3177" s="3" t="s">
        <v>13099</v>
      </c>
      <c r="G3177" s="3" t="str">
        <f ca="1">IFERROR(__xludf.DUMMYFUNCTION("googletranslate(D3177,""en"",""ja"")"),"CCL2;ケモカイン (C-C モチーフ) リガンド 2;単球化学誘引物質タンパク質-1;単球走化性タンパク質 1")</f>
        <v>CCL2;ケモカイン (C-C モチーフ) リガンド 2;単球化学誘引物質タンパク質-1;単球走化性タンパク質 1</v>
      </c>
      <c r="H3177" s="3" t="str">
        <f ca="1">IFERROR(__xludf.DUMMYFUNCTION("googletranslate(E3177,""en"",""ja"")"),"生物学的標本中の単球走化性タンパク質 1 の測定。")</f>
        <v>生物学的標本中の単球走化性タンパク質 1 の測定。</v>
      </c>
      <c r="I3177" s="3" t="str">
        <f ca="1">IFERROR(__xludf.DUMMYFUNCTION("googletranslate(F3177,""en"",""ja"")"),"単球走化性タンパク質 1 の測定")</f>
        <v>単球走化性タンパク質 1 の測定</v>
      </c>
    </row>
    <row r="3178" spans="1:9" ht="75">
      <c r="A3178" s="3" t="s">
        <v>6</v>
      </c>
      <c r="B3178" s="3" t="s">
        <v>13100</v>
      </c>
      <c r="C3178" s="3" t="s">
        <v>13101</v>
      </c>
      <c r="D3178" s="3" t="s">
        <v>13102</v>
      </c>
      <c r="E3178" s="3" t="s">
        <v>13103</v>
      </c>
      <c r="F3178" s="3" t="s">
        <v>13104</v>
      </c>
      <c r="G3178" s="3" t="str">
        <f ca="1">IFERROR(__xludf.DUMMYFUNCTION("googletranslate(D3178,""en"",""ja"")"),"CCL2/クレアチニン;ケモカイン (C-C モチーフ) リガンド 2/クレアチニン;単球走化性タンパク質 1/クレアチニン;単球走化性タンパク質1/クレアチニン")</f>
        <v>CCL2/クレアチニン;ケモカイン (C-C モチーフ) リガンド 2/クレアチニン;単球走化性タンパク質 1/クレアチニン;単球走化性タンパク質1/クレアチニン</v>
      </c>
      <c r="H3178" s="3" t="str">
        <f ca="1">IFERROR(__xludf.DUMMYFUNCTION("googletranslate(E3178,""en"",""ja"")"),"生物学的標本中のクレアチニンに対する単球走化性タンパク質 1 の相対測定値 (比率またはパーセンテージ)。")</f>
        <v>生物学的標本中のクレアチニンに対する単球走化性タンパク質 1 の相対測定値 (比率またはパーセンテージ)。</v>
      </c>
      <c r="I3178" s="3" t="str">
        <f ca="1">IFERROR(__xludf.DUMMYFUNCTION("googletranslate(F3178,""en"",""ja"")"),"単球走化性タンパク質 1 とクレアチニンの比率の測定")</f>
        <v>単球走化性タンパク質 1 とクレアチニンの比率の測定</v>
      </c>
    </row>
    <row r="3179" spans="1:9">
      <c r="A3179" s="3" t="s">
        <v>103</v>
      </c>
      <c r="B3179" s="3" t="s">
        <v>13105</v>
      </c>
      <c r="C3179" s="3" t="s">
        <v>13106</v>
      </c>
      <c r="D3179" s="3" t="s">
        <v>13106</v>
      </c>
      <c r="E3179" s="3" t="s">
        <v>13107</v>
      </c>
      <c r="F3179" s="3" t="s">
        <v>13108</v>
      </c>
      <c r="G3179" s="3" t="str">
        <f ca="1">IFERROR(__xludf.DUMMYFUNCTION("googletranslate(D3179,""en"",""ja"")"),"マクロファージ")</f>
        <v>マクロファージ</v>
      </c>
      <c r="H3179" s="3" t="str">
        <f ca="1">IFERROR(__xludf.DUMMYFUNCTION("googletranslate(E3179,""en"",""ja"")"),"生物学的標本中のマクロファージの測定。")</f>
        <v>生物学的標本中のマクロファージの測定。</v>
      </c>
      <c r="I3179" s="3" t="str">
        <f ca="1">IFERROR(__xludf.DUMMYFUNCTION("googletranslate(F3179,""en"",""ja"")"),"マクロファージ数")</f>
        <v>マクロファージ数</v>
      </c>
    </row>
    <row r="3180" spans="1:9">
      <c r="A3180" s="3" t="s">
        <v>6</v>
      </c>
      <c r="B3180" s="3" t="s">
        <v>13105</v>
      </c>
      <c r="C3180" s="3" t="s">
        <v>13106</v>
      </c>
      <c r="D3180" s="3" t="s">
        <v>13106</v>
      </c>
      <c r="E3180" s="3" t="s">
        <v>13107</v>
      </c>
      <c r="F3180" s="3" t="s">
        <v>13108</v>
      </c>
      <c r="G3180" s="3" t="str">
        <f ca="1">IFERROR(__xludf.DUMMYFUNCTION("googletranslate(D3180,""en"",""ja"")"),"マクロファージ")</f>
        <v>マクロファージ</v>
      </c>
      <c r="H3180" s="3" t="str">
        <f ca="1">IFERROR(__xludf.DUMMYFUNCTION("googletranslate(E3180,""en"",""ja"")"),"生物学的標本中のマクロファージの測定。")</f>
        <v>生物学的標本中のマクロファージの測定。</v>
      </c>
      <c r="I3180" s="3" t="str">
        <f ca="1">IFERROR(__xludf.DUMMYFUNCTION("googletranslate(F3180,""en"",""ja"")"),"マクロファージ数")</f>
        <v>マクロファージ数</v>
      </c>
    </row>
    <row r="3181" spans="1:9" ht="30">
      <c r="A3181" s="3" t="s">
        <v>6</v>
      </c>
      <c r="B3181" s="3" t="s">
        <v>13109</v>
      </c>
      <c r="C3181" s="3" t="s">
        <v>13110</v>
      </c>
      <c r="D3181" s="3" t="s">
        <v>13110</v>
      </c>
      <c r="E3181" s="3" t="s">
        <v>13111</v>
      </c>
      <c r="F3181" s="3" t="s">
        <v>13112</v>
      </c>
      <c r="G3181" s="3" t="str">
        <f ca="1">IFERROR(__xludf.DUMMYFUNCTION("googletranslate(D3181,""en"",""ja"")"),"マクロファージ/全細胞数")</f>
        <v>マクロファージ/全細胞数</v>
      </c>
      <c r="H3181" s="3" t="str">
        <f ca="1">IFERROR(__xludf.DUMMYFUNCTION("googletranslate(E3181,""en"",""ja"")"),"生物学的標本の全細胞に対するマクロファージの相対的な測定値 (比率またはパーセンテージ)。")</f>
        <v>生物学的標本の全細胞に対するマクロファージの相対的な測定値 (比率またはパーセンテージ)。</v>
      </c>
      <c r="I3181" s="3" t="str">
        <f ca="1">IFERROR(__xludf.DUMMYFUNCTION("googletranslate(F3181,""en"",""ja"")"),"マクロファージ対総細胞比の測定")</f>
        <v>マクロファージ対総細胞比の測定</v>
      </c>
    </row>
    <row r="3182" spans="1:9" ht="30">
      <c r="A3182" s="3" t="s">
        <v>103</v>
      </c>
      <c r="B3182" s="3" t="s">
        <v>13109</v>
      </c>
      <c r="C3182" s="3" t="s">
        <v>13110</v>
      </c>
      <c r="D3182" s="3" t="s">
        <v>13110</v>
      </c>
      <c r="E3182" s="3" t="s">
        <v>13111</v>
      </c>
      <c r="F3182" s="3" t="s">
        <v>13112</v>
      </c>
      <c r="G3182" s="3" t="str">
        <f ca="1">IFERROR(__xludf.DUMMYFUNCTION("googletranslate(D3182,""en"",""ja"")"),"マクロファージ/全細胞数")</f>
        <v>マクロファージ/全細胞数</v>
      </c>
      <c r="H3182" s="3" t="str">
        <f ca="1">IFERROR(__xludf.DUMMYFUNCTION("googletranslate(E3182,""en"",""ja"")"),"生物学的標本の全細胞に対するマクロファージの相対的な測定値 (比率またはパーセンテージ)。")</f>
        <v>生物学的標本の全細胞に対するマクロファージの相対的な測定値 (比率またはパーセンテージ)。</v>
      </c>
      <c r="I3182" s="3" t="str">
        <f ca="1">IFERROR(__xludf.DUMMYFUNCTION("googletranslate(F3182,""en"",""ja"")"),"マクロファージ対総細胞比の測定")</f>
        <v>マクロファージ対総細胞比の測定</v>
      </c>
    </row>
    <row r="3183" spans="1:9" ht="30">
      <c r="A3183" s="3" t="s">
        <v>103</v>
      </c>
      <c r="B3183" s="3" t="s">
        <v>13113</v>
      </c>
      <c r="C3183" s="3" t="s">
        <v>13114</v>
      </c>
      <c r="D3183" s="3" t="s">
        <v>13114</v>
      </c>
      <c r="E3183" s="3" t="s">
        <v>13115</v>
      </c>
      <c r="F3183" s="3" t="s">
        <v>13116</v>
      </c>
      <c r="G3183" s="3" t="str">
        <f ca="1">IFERROR(__xludf.DUMMYFUNCTION("googletranslate(D3183,""en"",""ja"")"),"マクロファージ/白血球")</f>
        <v>マクロファージ/白血球</v>
      </c>
      <c r="H3183" s="3" t="str">
        <f ca="1">IFERROR(__xludf.DUMMYFUNCTION("googletranslate(E3183,""en"",""ja"")"),"生物学的標本中の白血球に対するマクロファージの相対的な測定値 (比率またはパーセンテージ)。")</f>
        <v>生物学的標本中の白血球に対するマクロファージの相対的な測定値 (比率またはパーセンテージ)。</v>
      </c>
      <c r="I3183" s="3" t="str">
        <f ca="1">IFERROR(__xludf.DUMMYFUNCTION("googletranslate(F3183,""en"",""ja"")"),"マクロファージと白血球の比率")</f>
        <v>マクロファージと白血球の比率</v>
      </c>
    </row>
    <row r="3184" spans="1:9" ht="30">
      <c r="A3184" s="3" t="s">
        <v>6</v>
      </c>
      <c r="B3184" s="3" t="s">
        <v>13113</v>
      </c>
      <c r="C3184" s="3" t="s">
        <v>13114</v>
      </c>
      <c r="D3184" s="3" t="s">
        <v>13114</v>
      </c>
      <c r="E3184" s="3" t="s">
        <v>13115</v>
      </c>
      <c r="F3184" s="3" t="s">
        <v>13116</v>
      </c>
      <c r="G3184" s="3" t="str">
        <f ca="1">IFERROR(__xludf.DUMMYFUNCTION("googletranslate(D3184,""en"",""ja"")"),"マクロファージ/白血球")</f>
        <v>マクロファージ/白血球</v>
      </c>
      <c r="H3184" s="3" t="str">
        <f ca="1">IFERROR(__xludf.DUMMYFUNCTION("googletranslate(E3184,""en"",""ja"")"),"生物学的標本中の白血球に対するマクロファージの相対的な測定値 (比率またはパーセンテージ)。")</f>
        <v>生物学的標本中の白血球に対するマクロファージの相対的な測定値 (比率またはパーセンテージ)。</v>
      </c>
      <c r="I3184" s="3" t="str">
        <f ca="1">IFERROR(__xludf.DUMMYFUNCTION("googletranslate(F3184,""en"",""ja"")"),"マクロファージと白血球の比率")</f>
        <v>マクロファージと白血球の比率</v>
      </c>
    </row>
    <row r="3185" spans="1:9" ht="30">
      <c r="A3185" s="3" t="s">
        <v>103</v>
      </c>
      <c r="B3185" s="3" t="s">
        <v>13117</v>
      </c>
      <c r="C3185" s="3" t="s">
        <v>13118</v>
      </c>
      <c r="D3185" s="3" t="s">
        <v>13118</v>
      </c>
      <c r="E3185" s="3" t="s">
        <v>13119</v>
      </c>
      <c r="F3185" s="3" t="s">
        <v>13120</v>
      </c>
      <c r="G3185" s="3" t="str">
        <f ca="1">IFERROR(__xludf.DUMMYFUNCTION("googletranslate(D3185,""en"",""ja"")"),"マクロファージ M1")</f>
        <v>マクロファージ M1</v>
      </c>
      <c r="H3185" s="3" t="str">
        <f ca="1">IFERROR(__xludf.DUMMYFUNCTION("googletranslate(E3185,""en"",""ja"")"),"生物学的標本中の M1 マクロファージの測定。")</f>
        <v>生物学的標本中の M1 マクロファージの測定。</v>
      </c>
      <c r="I3185" s="3" t="str">
        <f ca="1">IFERROR(__xludf.DUMMYFUNCTION("googletranslate(F3185,""en"",""ja"")"),"M1 マクロファージ数")</f>
        <v>M1 マクロファージ数</v>
      </c>
    </row>
    <row r="3186" spans="1:9" ht="30">
      <c r="A3186" s="3" t="s">
        <v>103</v>
      </c>
      <c r="B3186" s="3" t="s">
        <v>13121</v>
      </c>
      <c r="C3186" s="3" t="s">
        <v>13122</v>
      </c>
      <c r="D3186" s="3" t="s">
        <v>13122</v>
      </c>
      <c r="E3186" s="3" t="s">
        <v>13123</v>
      </c>
      <c r="F3186" s="3" t="s">
        <v>13124</v>
      </c>
      <c r="G3186" s="3" t="str">
        <f ca="1">IFERROR(__xludf.DUMMYFUNCTION("googletranslate(D3186,""en"",""ja"")"),"マクロファージ M2")</f>
        <v>マクロファージ M2</v>
      </c>
      <c r="H3186" s="3" t="str">
        <f ca="1">IFERROR(__xludf.DUMMYFUNCTION("googletranslate(E3186,""en"",""ja"")"),"生物学的標本中の M2 マクロファージの測定。")</f>
        <v>生物学的標本中の M2 マクロファージの測定。</v>
      </c>
      <c r="I3186" s="3" t="str">
        <f ca="1">IFERROR(__xludf.DUMMYFUNCTION("googletranslate(F3186,""en"",""ja"")"),"M2 マクロファージ数")</f>
        <v>M2 マクロファージ数</v>
      </c>
    </row>
    <row r="3187" spans="1:9" ht="30">
      <c r="A3187" s="3" t="s">
        <v>103</v>
      </c>
      <c r="B3187" s="3" t="s">
        <v>13125</v>
      </c>
      <c r="C3187" s="3" t="s">
        <v>13126</v>
      </c>
      <c r="D3187" s="3" t="s">
        <v>13126</v>
      </c>
      <c r="E3187" s="3" t="s">
        <v>13127</v>
      </c>
      <c r="F3187" s="3" t="s">
        <v>13128</v>
      </c>
      <c r="G3187" s="3" t="str">
        <f ca="1">IFERROR(__xludf.DUMMYFUNCTION("googletranslate(D3187,""en"",""ja"")"),"マクロファージ/単球")</f>
        <v>マクロファージ/単球</v>
      </c>
      <c r="H3187" s="3" t="str">
        <f ca="1">IFERROR(__xludf.DUMMYFUNCTION("googletranslate(E3187,""en"",""ja"")"),"生物学的標本中の単球に対するマクロファージの相対的な測定値 (比率またはパーセンテージ)。")</f>
        <v>生物学的標本中の単球に対するマクロファージの相対的な測定値 (比率またはパーセンテージ)。</v>
      </c>
      <c r="I3187" s="3" t="str">
        <f ca="1">IFERROR(__xludf.DUMMYFUNCTION("googletranslate(F3187,""en"",""ja"")"),"マクロファージと単球の比率の測定")</f>
        <v>マクロファージと単球の比率の測定</v>
      </c>
    </row>
    <row r="3188" spans="1:9" ht="45">
      <c r="A3188" s="3" t="s">
        <v>103</v>
      </c>
      <c r="B3188" s="3" t="s">
        <v>13129</v>
      </c>
      <c r="C3188" s="3" t="s">
        <v>13130</v>
      </c>
      <c r="D3188" s="3" t="s">
        <v>13130</v>
      </c>
      <c r="E3188" s="3" t="s">
        <v>13131</v>
      </c>
      <c r="F3188" s="3" t="s">
        <v>13132</v>
      </c>
      <c r="G3188" s="3" t="str">
        <f ca="1">IFERROR(__xludf.DUMMYFUNCTION("googletranslate(D3188,""en"",""ja"")"),"マクロファージ/骨髄細胞")</f>
        <v>マクロファージ/骨髄細胞</v>
      </c>
      <c r="H3188" s="3" t="str">
        <f ca="1">IFERROR(__xludf.DUMMYFUNCTION("googletranslate(E3188,""en"",""ja"")"),"生物学的標本中の骨髄細胞に対するマクロファージの相対的な測定値 (比率またはパーセンテージ)。")</f>
        <v>生物学的標本中の骨髄細胞に対するマクロファージの相対的な測定値 (比率またはパーセンテージ)。</v>
      </c>
      <c r="I3188" s="3" t="str">
        <f ca="1">IFERROR(__xludf.DUMMYFUNCTION("googletranslate(F3188,""en"",""ja"")"),"マクロファージと骨髄細胞の比率の測定")</f>
        <v>マクロファージと骨髄細胞の比率の測定</v>
      </c>
    </row>
    <row r="3189" spans="1:9" ht="30">
      <c r="A3189" s="3" t="s">
        <v>103</v>
      </c>
      <c r="B3189" s="3" t="s">
        <v>13133</v>
      </c>
      <c r="C3189" s="3" t="s">
        <v>13134</v>
      </c>
      <c r="D3189" s="3" t="s">
        <v>13135</v>
      </c>
      <c r="E3189" s="3" t="s">
        <v>13136</v>
      </c>
      <c r="F3189" s="3" t="s">
        <v>13137</v>
      </c>
      <c r="G3189" s="3" t="str">
        <f ca="1">IFERROR(__xludf.DUMMYFUNCTION("googletranslate(D3189,""en"",""ja"")"),"マクロファージサブ;マクロファージの亜集団")</f>
        <v>マクロファージサブ;マクロファージの亜集団</v>
      </c>
      <c r="H3189" s="3" t="str">
        <f ca="1">IFERROR(__xludf.DUMMYFUNCTION("googletranslate(E3189,""en"",""ja"")"),"生物学的標本中のマクロファージの部分集団の測定。")</f>
        <v>生物学的標本中のマクロファージの部分集団の測定。</v>
      </c>
      <c r="I3189" s="3" t="str">
        <f ca="1">IFERROR(__xludf.DUMMYFUNCTION("googletranslate(F3189,""en"",""ja"")"),"マクロファージ部分集団の数")</f>
        <v>マクロファージ部分集団の数</v>
      </c>
    </row>
    <row r="3190" spans="1:9" ht="45">
      <c r="A3190" s="3" t="s">
        <v>6</v>
      </c>
      <c r="B3190" s="3" t="s">
        <v>13138</v>
      </c>
      <c r="C3190" s="3" t="s">
        <v>13139</v>
      </c>
      <c r="D3190" s="3" t="s">
        <v>13139</v>
      </c>
      <c r="E3190" s="3" t="s">
        <v>13140</v>
      </c>
      <c r="F3190" s="3" t="s">
        <v>13141</v>
      </c>
      <c r="G3190" s="3" t="str">
        <f ca="1">IFERROR(__xludf.DUMMYFUNCTION("googletranslate(D3190,""en"",""ja"")"),"マクロファージ/非扁平上皮エピ細胞")</f>
        <v>マクロファージ/非扁平上皮エピ細胞</v>
      </c>
      <c r="H3190" s="3" t="str">
        <f ca="1">IFERROR(__xludf.DUMMYFUNCTION("googletranslate(E3190,""en"",""ja"")"),"生物学的標本中の非扁平上皮細胞に対するマクロファージの相対的な測定値 (比率またはパーセンテージ)。")</f>
        <v>生物学的標本中の非扁平上皮細胞に対するマクロファージの相対的な測定値 (比率またはパーセンテージ)。</v>
      </c>
      <c r="I3190" s="3" t="str">
        <f ca="1">IFERROR(__xludf.DUMMYFUNCTION("googletranslate(F3190,""en"",""ja"")"),"マクロファージと非扁平上皮細胞の比率の測定")</f>
        <v>マクロファージと非扁平上皮細胞の比率の測定</v>
      </c>
    </row>
    <row r="3191" spans="1:9" ht="135">
      <c r="A3191" s="3" t="s">
        <v>6</v>
      </c>
      <c r="B3191" s="3" t="s">
        <v>13142</v>
      </c>
      <c r="C3191" s="3" t="s">
        <v>13143</v>
      </c>
      <c r="D3191" s="3" t="s">
        <v>13144</v>
      </c>
      <c r="E3191" s="3" t="s">
        <v>13145</v>
      </c>
      <c r="F3191" s="3" t="s">
        <v>13146</v>
      </c>
      <c r="G3191" s="3" t="str">
        <f ca="1">IFERROR(__xludf.DUMMYFUNCTION("googletranslate(D3191,""en"",""ja"")"),"異常なガンマタンパク質バンド;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f>
        <v>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v>
      </c>
      <c r="H3191" s="3" t="str">
        <f ca="1">IFERROR(__xludf.DUMMYFUNCTION("googletranslate(E3191,""en"",""ja"")"),"生物学的標本中の形質細胞の単一クローンの増殖から生じる均一な免疫グロブリンの測定。")</f>
        <v>生物学的標本中の形質細胞の単一クローンの増殖から生じる均一な免疫グロブリンの測定。</v>
      </c>
      <c r="I3191" s="3" t="str">
        <f ca="1">IFERROR(__xludf.DUMMYFUNCTION("googletranslate(F3191,""en"",""ja"")"),"モノクローナルタンパク質測定")</f>
        <v>モノクローナルタンパク質測定</v>
      </c>
    </row>
    <row r="3192" spans="1:9" ht="30">
      <c r="A3192" s="3" t="s">
        <v>6</v>
      </c>
      <c r="B3192" s="3" t="s">
        <v>13147</v>
      </c>
      <c r="C3192" s="3" t="s">
        <v>13148</v>
      </c>
      <c r="D3192" s="3" t="s">
        <v>13148</v>
      </c>
      <c r="E3192" s="3" t="s">
        <v>13149</v>
      </c>
      <c r="F3192" s="3" t="s">
        <v>13150</v>
      </c>
      <c r="G3192" s="3" t="str">
        <f ca="1">IFERROR(__xludf.DUMMYFUNCTION("googletranslate(D3192,""en"",""ja"")"),"マクロファージコロニー刺激因子")</f>
        <v>マクロファージコロニー刺激因子</v>
      </c>
      <c r="H3192" s="3" t="str">
        <f ca="1">IFERROR(__xludf.DUMMYFUNCTION("googletranslate(E3192,""en"",""ja"")"),"生物学的標本中のマクロファージコロニー刺激因子の測定。")</f>
        <v>生物学的標本中のマクロファージコロニー刺激因子の測定。</v>
      </c>
      <c r="I3192" s="3" t="str">
        <f ca="1">IFERROR(__xludf.DUMMYFUNCTION("googletranslate(F3192,""en"",""ja"")"),"マクロファージコロニー刺激因子の測定")</f>
        <v>マクロファージコロニー刺激因子の測定</v>
      </c>
    </row>
    <row r="3193" spans="1:9" ht="60">
      <c r="A3193" s="3" t="s">
        <v>6</v>
      </c>
      <c r="B3193" s="3" t="s">
        <v>13151</v>
      </c>
      <c r="C3193" s="3" t="s">
        <v>13152</v>
      </c>
      <c r="D3193" s="3" t="s">
        <v>13153</v>
      </c>
      <c r="E3193" s="3" t="s">
        <v>13154</v>
      </c>
      <c r="F3193" s="3" t="s">
        <v>13155</v>
      </c>
      <c r="G3193" s="3" t="str">
        <f ca="1">IFERROR(__xludf.DUMMYFUNCTION("googletranslate(D3193,""en"",""ja"")"),"エリー。平均微粒子体積;赤血球の平均赤血球体積。赤血球平均赤血球体積")</f>
        <v>エリー。平均微粒子体積;赤血球の平均赤血球体積。赤血球平均赤血球体積</v>
      </c>
      <c r="H3193" s="3" t="str">
        <f ca="1">IFERROR(__xludf.DUMMYFUNCTION("googletranslate(E3193,""en"",""ja"")"),"生物学的標本の赤血球あたりの平均細胞体積の測定値。")</f>
        <v>生物学的標本の赤血球あたりの平均細胞体積の測定値。</v>
      </c>
      <c r="I3193" s="3" t="str">
        <f ca="1">IFERROR(__xludf.DUMMYFUNCTION("googletranslate(F3193,""en"",""ja"")"),"赤血球の平均赤血球体積")</f>
        <v>赤血球の平均赤血球体積</v>
      </c>
    </row>
    <row r="3194" spans="1:9" ht="30">
      <c r="A3194" s="3" t="s">
        <v>6</v>
      </c>
      <c r="B3194" s="3" t="s">
        <v>13156</v>
      </c>
      <c r="C3194" s="3" t="s">
        <v>13157</v>
      </c>
      <c r="D3194" s="3" t="s">
        <v>13158</v>
      </c>
      <c r="E3194" s="3" t="s">
        <v>13159</v>
      </c>
      <c r="F3194" s="3" t="s">
        <v>13160</v>
      </c>
      <c r="G3194" s="3" t="str">
        <f ca="1">IFERROR(__xludf.DUMMYFUNCTION("googletranslate(D3194,""en"",""ja"")"),"MCV 網状赤血球; MCVr;平均赤血球体積 網状赤血球")</f>
        <v>MCV 網状赤血球; MCVr;平均赤血球体積 網状赤血球</v>
      </c>
      <c r="H3194" s="3" t="str">
        <f ca="1">IFERROR(__xludf.DUMMYFUNCTION("googletranslate(E3194,""en"",""ja"")"),"生物学的標本中の網赤血球の平均体積の測定。")</f>
        <v>生物学的標本中の網赤血球の平均体積の測定。</v>
      </c>
      <c r="I3194" s="3" t="str">
        <f ca="1">IFERROR(__xludf.DUMMYFUNCTION("googletranslate(F3194,""en"",""ja"")"),"網赤血球の平均赤血球体積")</f>
        <v>網赤血球の平均赤血球体積</v>
      </c>
    </row>
    <row r="3195" spans="1:9" ht="30">
      <c r="A3195" s="3" t="s">
        <v>103</v>
      </c>
      <c r="B3195" s="3" t="s">
        <v>13161</v>
      </c>
      <c r="C3195" s="3" t="s">
        <v>13162</v>
      </c>
      <c r="D3195" s="3" t="s">
        <v>13163</v>
      </c>
      <c r="E3195" s="3" t="s">
        <v>13164</v>
      </c>
      <c r="F3195" s="3" t="s">
        <v>13165</v>
      </c>
      <c r="G3195" s="3" t="str">
        <f ca="1">IFERROR(__xludf.DUMMYFUNCTION("googletranslate(D3195,""en"",""ja"")"),"骨髄細胞/白血球;骨髄細胞/白血球")</f>
        <v>骨髄細胞/白血球;骨髄細胞/白血球</v>
      </c>
      <c r="H3195" s="3" t="str">
        <f ca="1">IFERROR(__xludf.DUMMYFUNCTION("googletranslate(E3195,""en"",""ja"")"),"生物学的標本における白血球に対する骨髄細胞の相対的な測定値 (比率またはパーセンテージ)。")</f>
        <v>生物学的標本における白血球に対する骨髄細胞の相対的な測定値 (比率またはパーセンテージ)。</v>
      </c>
      <c r="I3195" s="3" t="str">
        <f ca="1">IFERROR(__xludf.DUMMYFUNCTION("googletranslate(F3195,""en"",""ja"")"),"骨髄細胞と白血球の比率の測定")</f>
        <v>骨髄細胞と白血球の比率の測定</v>
      </c>
    </row>
    <row r="3196" spans="1:9" ht="30">
      <c r="A3196" s="3" t="s">
        <v>6</v>
      </c>
      <c r="B3196" s="3" t="s">
        <v>13166</v>
      </c>
      <c r="C3196" s="3" t="s">
        <v>13167</v>
      </c>
      <c r="D3196" s="3" t="s">
        <v>13167</v>
      </c>
      <c r="E3196" s="3" t="s">
        <v>13168</v>
      </c>
      <c r="F3196" s="3" t="s">
        <v>13169</v>
      </c>
      <c r="G3196" s="3" t="str">
        <f ca="1">IFERROR(__xludf.DUMMYFUNCTION("googletranslate(D3196,""en"",""ja"")"),"3,4-メチレンジオキシアンフェタミン")</f>
        <v>3,4-メチレンジオキシアンフェタミン</v>
      </c>
      <c r="H3196" s="3" t="str">
        <f ca="1">IFERROR(__xludf.DUMMYFUNCTION("googletranslate(E3196,""en"",""ja"")"),"生物学的標本中の 3,4-メチレンジオキシアンフェタミンの測定。")</f>
        <v>生物学的標本中の 3,4-メチレンジオキシアンフェタミンの測定。</v>
      </c>
      <c r="I3196" s="3" t="str">
        <f ca="1">IFERROR(__xludf.DUMMYFUNCTION("googletranslate(F3196,""en"",""ja"")"),"3,4-メチレンジオキシアンフェタミンの測定")</f>
        <v>3,4-メチレンジオキシアンフェタミンの測定</v>
      </c>
    </row>
    <row r="3197" spans="1:9" ht="30">
      <c r="A3197" s="3" t="s">
        <v>6</v>
      </c>
      <c r="B3197" s="3" t="s">
        <v>13170</v>
      </c>
      <c r="C3197" s="3" t="s">
        <v>13171</v>
      </c>
      <c r="D3197" s="3" t="s">
        <v>13172</v>
      </c>
      <c r="E3197" s="3" t="s">
        <v>13173</v>
      </c>
      <c r="F3197" s="3" t="s">
        <v>13174</v>
      </c>
      <c r="G3197" s="3" t="str">
        <f ca="1">IFERROR(__xludf.DUMMYFUNCTION("googletranslate(D3197,""en"",""ja"")"),"マロンジアルデヒド; MDA")</f>
        <v>マロンジアルデヒド; MDA</v>
      </c>
      <c r="H3197" s="3" t="str">
        <f ca="1">IFERROR(__xludf.DUMMYFUNCTION("googletranslate(E3197,""en"",""ja"")"),"生物学的標本中のマロンジアルデヒドの測定。")</f>
        <v>生物学的標本中のマロンジアルデヒドの測定。</v>
      </c>
      <c r="I3197" s="3" t="str">
        <f ca="1">IFERROR(__xludf.DUMMYFUNCTION("googletranslate(F3197,""en"",""ja"")"),"マロンジアルデヒドの測定")</f>
        <v>マロンジアルデヒドの測定</v>
      </c>
    </row>
    <row r="3198" spans="1:9" ht="75">
      <c r="A3198" s="3" t="s">
        <v>6</v>
      </c>
      <c r="B3198" s="3" t="s">
        <v>13175</v>
      </c>
      <c r="C3198" s="3" t="s">
        <v>13176</v>
      </c>
      <c r="D3198" s="3" t="s">
        <v>13177</v>
      </c>
      <c r="E3198" s="3" t="s">
        <v>13178</v>
      </c>
      <c r="F3198" s="3" t="s">
        <v>13179</v>
      </c>
      <c r="G3198" s="3" t="str">
        <f ca="1">IFERROR(__xludf.DUMMYFUNCTION("googletranslate(D3198,""en"",""ja"")"),"C-C モチーフケモカインリガンド 22; CCL22;ケモカイン (C-C モチーフ) リガンド 22;ケモカインリガンド 22;マクロファージ由来ケモカイン")</f>
        <v>C-C モチーフケモカインリガンド 22; CCL22;ケモカイン (C-C モチーフ) リガンド 22;ケモカインリガンド 22;マクロファージ由来ケモカイン</v>
      </c>
      <c r="H3198" s="3" t="str">
        <f ca="1">IFERROR(__xludf.DUMMYFUNCTION("googletranslate(E3198,""en"",""ja"")"),"生物学的標本中のマクロファージ由来のケモカインの測定。")</f>
        <v>生物学的標本中のマクロファージ由来のケモカインの測定。</v>
      </c>
      <c r="I3198" s="3" t="str">
        <f ca="1">IFERROR(__xludf.DUMMYFUNCTION("googletranslate(F3198,""en"",""ja"")"),"マクロファージ由来ケモカインの測定")</f>
        <v>マクロファージ由来ケモカインの測定</v>
      </c>
    </row>
    <row r="3199" spans="1:9" ht="30">
      <c r="A3199" s="3" t="s">
        <v>503</v>
      </c>
      <c r="B3199" s="3" t="s">
        <v>13180</v>
      </c>
      <c r="C3199" s="3" t="s">
        <v>13181</v>
      </c>
      <c r="D3199" s="3" t="s">
        <v>13181</v>
      </c>
      <c r="E3199" s="3" t="s">
        <v>13182</v>
      </c>
      <c r="F3199" s="3" t="s">
        <v>13181</v>
      </c>
      <c r="G3199" s="3" t="str">
        <f ca="1">IFERROR(__xludf.DUMMYFUNCTION("googletranslate(D3199,""en"",""ja"")"),"メディケイド指標")</f>
        <v>メディケイド指標</v>
      </c>
      <c r="H3199" s="3" t="str">
        <f ca="1">IFERROR(__xludf.DUMMYFUNCTION("googletranslate(E3199,""en"",""ja"")"),"対象者がメディケイドの対象であるかどうかを示すもの。")</f>
        <v>対象者がメディケイドの対象であるかどうかを示すもの。</v>
      </c>
      <c r="I3199" s="3" t="str">
        <f ca="1">IFERROR(__xludf.DUMMYFUNCTION("googletranslate(F3199,""en"",""ja"")"),"メディケイド指標")</f>
        <v>メディケイド指標</v>
      </c>
    </row>
    <row r="3200" spans="1:9" ht="30">
      <c r="A3200" s="3" t="s">
        <v>503</v>
      </c>
      <c r="B3200" s="3" t="s">
        <v>13183</v>
      </c>
      <c r="C3200" s="3" t="s">
        <v>13184</v>
      </c>
      <c r="D3200" s="3" t="s">
        <v>13184</v>
      </c>
      <c r="E3200" s="3" t="s">
        <v>13185</v>
      </c>
      <c r="F3200" s="3" t="s">
        <v>13184</v>
      </c>
      <c r="G3200" s="3" t="str">
        <f ca="1">IFERROR(__xludf.DUMMYFUNCTION("googletranslate(D3200,""en"",""ja"")"),"メディケア指標")</f>
        <v>メディケア指標</v>
      </c>
      <c r="H3200" s="3" t="str">
        <f ca="1">IFERROR(__xludf.DUMMYFUNCTION("googletranslate(E3200,""en"",""ja"")"),"対象者がメディケアの対象であるかどうかを示す指標。")</f>
        <v>対象者がメディケアの対象であるかどうかを示す指標。</v>
      </c>
      <c r="I3200" s="3" t="str">
        <f ca="1">IFERROR(__xludf.DUMMYFUNCTION("googletranslate(F3200,""en"",""ja"")"),"メディケア指標")</f>
        <v>メディケア指標</v>
      </c>
    </row>
    <row r="3201" spans="1:9" ht="30">
      <c r="A3201" s="3" t="s">
        <v>6</v>
      </c>
      <c r="B3201" s="3" t="s">
        <v>13186</v>
      </c>
      <c r="C3201" s="3" t="s">
        <v>13187</v>
      </c>
      <c r="D3201" s="3" t="s">
        <v>13188</v>
      </c>
      <c r="E3201" s="3" t="s">
        <v>13189</v>
      </c>
      <c r="F3201" s="3" t="s">
        <v>13190</v>
      </c>
      <c r="G3201" s="3" t="str">
        <f ca="1">IFERROR(__xludf.DUMMYFUNCTION("googletranslate(D3201,""en"",""ja"")"),"3,4-メチレンジオキシ-N-エチルアンフェタミン;イブ; MDE")</f>
        <v>3,4-メチレンジオキシ-N-エチルアンフェタミン;イブ; MDE</v>
      </c>
      <c r="H3201" s="3" t="str">
        <f ca="1">IFERROR(__xludf.DUMMYFUNCTION("googletranslate(E3201,""en"",""ja"")"),"生物学的標本中の 3,4-メチレンジオキシ-N-エチルアンフェタミンの測定。")</f>
        <v>生物学的標本中の 3,4-メチレンジオキシ-N-エチルアンフェタミンの測定。</v>
      </c>
      <c r="I3201" s="3" t="str">
        <f ca="1">IFERROR(__xludf.DUMMYFUNCTION("googletranslate(F3201,""en"",""ja"")"),"3,4-メチレンジオキシ-N-エチルアンフェタミンの測定")</f>
        <v>3,4-メチレンジオキシ-N-エチルアンフェタミンの測定</v>
      </c>
    </row>
    <row r="3202" spans="1:9" ht="45">
      <c r="A3202" s="3" t="s">
        <v>6</v>
      </c>
      <c r="B3202" s="3" t="s">
        <v>13191</v>
      </c>
      <c r="C3202" s="3" t="s">
        <v>13192</v>
      </c>
      <c r="D3202" s="3" t="s">
        <v>13193</v>
      </c>
      <c r="E3202" s="3" t="s">
        <v>13194</v>
      </c>
      <c r="F3202" s="3" t="s">
        <v>13195</v>
      </c>
      <c r="G3202" s="3" t="str">
        <f ca="1">IFERROR(__xludf.DUMMYFUNCTION("googletranslate(D3202,""en"",""ja"")"),"3,4-メチレンジオキシメタンフェタミン;エクスタシー")</f>
        <v>3,4-メチレンジオキシメタンフェタミン;エクスタシー</v>
      </c>
      <c r="H3202" s="3" t="str">
        <f ca="1">IFERROR(__xludf.DUMMYFUNCTION("googletranslate(E3202,""en"",""ja"")"),"生物学的標本中の 3,4-メチレンジオキシメタンフェタミン (MDMA) の測定。")</f>
        <v>生物学的標本中の 3,4-メチレンジオキシメタンフェタミン (MDMA) の測定。</v>
      </c>
      <c r="I3202" s="3" t="str">
        <f ca="1">IFERROR(__xludf.DUMMYFUNCTION("googletranslate(F3202,""en"",""ja"")"),"3,4-メチレンジオキシメタンフェタミンの測定")</f>
        <v>3,4-メチレンジオキシメタンフェタミンの測定</v>
      </c>
    </row>
    <row r="3203" spans="1:9" ht="30">
      <c r="A3203" s="3" t="s">
        <v>103</v>
      </c>
      <c r="B3203" s="3" t="s">
        <v>13196</v>
      </c>
      <c r="C3203" s="3" t="s">
        <v>13196</v>
      </c>
      <c r="D3203" s="3" t="s">
        <v>13197</v>
      </c>
      <c r="E3203" s="3" t="s">
        <v>13198</v>
      </c>
      <c r="F3203" s="3" t="s">
        <v>13199</v>
      </c>
      <c r="G3203" s="3" t="str">
        <f ca="1">IFERROR(__xludf.DUMMYFUNCTION("googletranslate(D3203,""en"",""ja"")"),"MDSC;骨髄由来抑制細胞")</f>
        <v>MDSC;骨髄由来抑制細胞</v>
      </c>
      <c r="H3203" s="3" t="str">
        <f ca="1">IFERROR(__xludf.DUMMYFUNCTION("googletranslate(E3203,""en"",""ja"")"),"生物学的標本中の骨髄由来サプレッサー細胞の測定。")</f>
        <v>生物学的標本中の骨髄由来サプレッサー細胞の測定。</v>
      </c>
      <c r="I3203" s="3" t="str">
        <f ca="1">IFERROR(__xludf.DUMMYFUNCTION("googletranslate(F3203,""en"",""ja"")"),"骨髄由来抑制細胞数")</f>
        <v>骨髄由来抑制細胞数</v>
      </c>
    </row>
    <row r="3204" spans="1:9" ht="45">
      <c r="A3204" s="3" t="s">
        <v>103</v>
      </c>
      <c r="B3204" s="3" t="s">
        <v>13200</v>
      </c>
      <c r="C3204" s="3" t="s">
        <v>13201</v>
      </c>
      <c r="D3204" s="3" t="s">
        <v>13202</v>
      </c>
      <c r="E3204" s="3" t="s">
        <v>13203</v>
      </c>
      <c r="F3204" s="3" t="s">
        <v>13204</v>
      </c>
      <c r="G3204" s="3" t="str">
        <f ca="1">IFERROR(__xludf.DUMMYFUNCTION("googletranslate(D3204,""en"",""ja"")"),"G-MDSC; gMDSC; MDSCグラン;骨髄由来抑制細胞 顆粒球性。 PMN-MDSC")</f>
        <v>G-MDSC; gMDSC; MDSCグラン;骨髄由来抑制細胞 顆粒球性。 PMN-MDSC</v>
      </c>
      <c r="H3204" s="3" t="str">
        <f ca="1">IFERROR(__xludf.DUMMYFUNCTION("googletranslate(E3204,""en"",""ja"")"),"生物学的標本中の顆粒球性骨髄由来サプレッサー細胞の測定。")</f>
        <v>生物学的標本中の顆粒球性骨髄由来サプレッサー細胞の測定。</v>
      </c>
      <c r="I3204" s="3" t="str">
        <f ca="1">IFERROR(__xludf.DUMMYFUNCTION("googletranslate(F3204,""en"",""ja"")"),"顆粒球性骨髄由来抑制細胞数")</f>
        <v>顆粒球性骨髄由来抑制細胞数</v>
      </c>
    </row>
    <row r="3205" spans="1:9" ht="45">
      <c r="A3205" s="3" t="s">
        <v>103</v>
      </c>
      <c r="B3205" s="3" t="s">
        <v>13205</v>
      </c>
      <c r="C3205" s="3" t="s">
        <v>13206</v>
      </c>
      <c r="D3205" s="3" t="s">
        <v>13207</v>
      </c>
      <c r="E3205" s="3" t="s">
        <v>13208</v>
      </c>
      <c r="F3205" s="3" t="s">
        <v>13209</v>
      </c>
      <c r="G3205" s="3" t="str">
        <f ca="1">IFERROR(__xludf.DUMMYFUNCTION("googletranslate(D3205,""en"",""ja"")"),"MDSCグランサブ;骨髄由来抑制細胞 顆粒球部分集団")</f>
        <v>MDSCグランサブ;骨髄由来抑制細胞 顆粒球部分集団</v>
      </c>
      <c r="H3205" s="3" t="str">
        <f ca="1">IFERROR(__xludf.DUMMYFUNCTION("googletranslate(E3205,""en"",""ja"")"),"生物学的標本中の顆粒球性骨髄由来サプレッサー細胞の部分集団の測定。")</f>
        <v>生物学的標本中の顆粒球性骨髄由来サプレッサー細胞の部分集団の測定。</v>
      </c>
      <c r="I3205" s="3" t="str">
        <f ca="1">IFERROR(__xludf.DUMMYFUNCTION("googletranslate(F3205,""en"",""ja"")"),"顆粒球性骨髄由来抑制細胞サブ集団数")</f>
        <v>顆粒球性骨髄由来抑制細胞サブ集団数</v>
      </c>
    </row>
    <row r="3206" spans="1:9" ht="45">
      <c r="A3206" s="3" t="s">
        <v>103</v>
      </c>
      <c r="B3206" s="3" t="s">
        <v>13210</v>
      </c>
      <c r="C3206" s="3" t="s">
        <v>13211</v>
      </c>
      <c r="D3206" s="3" t="s">
        <v>13212</v>
      </c>
      <c r="E3206" s="3" t="s">
        <v>13213</v>
      </c>
      <c r="F3206" s="3" t="s">
        <v>13214</v>
      </c>
      <c r="G3206" s="3" t="str">
        <f ca="1">IFERROR(__xludf.DUMMYFUNCTION("googletranslate(D3206,""en"",""ja"")"),"MDSC/ロイク潜水艦;骨髄由来抑制細胞/白​​血球部分集団")</f>
        <v>MDSC/ロイク潜水艦;骨髄由来抑制細胞/白​​血球部分集団</v>
      </c>
      <c r="H3206" s="3" t="str">
        <f ca="1">IFERROR(__xludf.DUMMYFUNCTION("googletranslate(E3206,""en"",""ja"")"),"生物学的標本中の白血球の部分集団に対する骨髄由来サプレッサー細胞の相対測定値 (比率またはパーセンテージ)。")</f>
        <v>生物学的標本中の白血球の部分集団に対する骨髄由来サプレッサー細胞の相対測定値 (比率またはパーセンテージ)。</v>
      </c>
      <c r="I3206" s="3" t="str">
        <f ca="1">IFERROR(__xludf.DUMMYFUNCTION("googletranslate(F3206,""en"",""ja"")"),"骨髄由来サプレッサー細胞と白血球部分集団の比率の測定")</f>
        <v>骨髄由来サプレッサー細胞と白血球部分集団の比率の測定</v>
      </c>
    </row>
    <row r="3207" spans="1:9" ht="45">
      <c r="A3207" s="3" t="s">
        <v>103</v>
      </c>
      <c r="B3207" s="3" t="s">
        <v>13215</v>
      </c>
      <c r="C3207" s="3" t="s">
        <v>13216</v>
      </c>
      <c r="D3207" s="3" t="s">
        <v>13217</v>
      </c>
      <c r="E3207" s="3" t="s">
        <v>13218</v>
      </c>
      <c r="F3207" s="3" t="s">
        <v>13219</v>
      </c>
      <c r="G3207" s="3" t="str">
        <f ca="1">IFERROR(__xludf.DUMMYFUNCTION("googletranslate(D3207,""en"",""ja"")"),"M-MDSC; MDSCモノラル; mMDSC;骨髄由来抑制細胞 単球")</f>
        <v>M-MDSC; MDSCモノラル; mMDSC;骨髄由来抑制細胞 単球</v>
      </c>
      <c r="H3207" s="3" t="str">
        <f ca="1">IFERROR(__xludf.DUMMYFUNCTION("googletranslate(E3207,""en"",""ja"")"),"生物学的標本中の単球性骨髄由来サプレッサー細胞の測定。")</f>
        <v>生物学的標本中の単球性骨髄由来サプレッサー細胞の測定。</v>
      </c>
      <c r="I3207" s="3" t="str">
        <f ca="1">IFERROR(__xludf.DUMMYFUNCTION("googletranslate(F3207,""en"",""ja"")"),"単球性骨髄由来サプレッサー細胞数")</f>
        <v>単球性骨髄由来サプレッサー細胞数</v>
      </c>
    </row>
    <row r="3208" spans="1:9" ht="45">
      <c r="A3208" s="3" t="s">
        <v>103</v>
      </c>
      <c r="B3208" s="3" t="s">
        <v>13220</v>
      </c>
      <c r="C3208" s="3" t="s">
        <v>13221</v>
      </c>
      <c r="D3208" s="3" t="s">
        <v>13222</v>
      </c>
      <c r="E3208" s="3" t="s">
        <v>13223</v>
      </c>
      <c r="F3208" s="3" t="s">
        <v>13224</v>
      </c>
      <c r="G3208" s="3" t="str">
        <f ca="1">IFERROR(__xludf.DUMMYFUNCTION("googletranslate(D3208,""en"",""ja"")"),"MDSC モノサブ;骨髄由来抑制細胞単球部分集団")</f>
        <v>MDSC モノサブ;骨髄由来抑制細胞単球部分集団</v>
      </c>
      <c r="H3208" s="3" t="str">
        <f ca="1">IFERROR(__xludf.DUMMYFUNCTION("googletranslate(E3208,""en"",""ja"")"),"生物学的標本中の単球性骨髄由来サプレッサー細胞の部分集団の測定。")</f>
        <v>生物学的標本中の単球性骨髄由来サプレッサー細胞の部分集団の測定。</v>
      </c>
      <c r="I3208" s="3" t="str">
        <f ca="1">IFERROR(__xludf.DUMMYFUNCTION("googletranslate(F3208,""en"",""ja"")"),"単球性骨髄由来サプレッサー細胞サブ集団数")</f>
        <v>単球性骨髄由来サプレッサー細胞サブ集団数</v>
      </c>
    </row>
    <row r="3209" spans="1:9" ht="45">
      <c r="A3209" s="3" t="s">
        <v>103</v>
      </c>
      <c r="B3209" s="3" t="s">
        <v>13225</v>
      </c>
      <c r="C3209" s="3" t="s">
        <v>13226</v>
      </c>
      <c r="D3209" s="3" t="s">
        <v>13227</v>
      </c>
      <c r="E3209" s="3" t="s">
        <v>13228</v>
      </c>
      <c r="F3209" s="3" t="s">
        <v>13229</v>
      </c>
      <c r="G3209" s="3" t="str">
        <f ca="1">IFERROR(__xludf.DUMMYFUNCTION("googletranslate(D3209,""en"",""ja"")"),"MDSCサブ; MDSC 部分母集団;骨髄由来抑制細胞サブ集団")</f>
        <v>MDSCサブ; MDSC 部分母集団;骨髄由来抑制細胞サブ集団</v>
      </c>
      <c r="H3209" s="3" t="str">
        <f ca="1">IFERROR(__xludf.DUMMYFUNCTION("googletranslate(E3209,""en"",""ja"")"),"生物学的標本中の骨髄由来サプレッサー細胞の部分集団の測定。")</f>
        <v>生物学的標本中の骨髄由来サプレッサー細胞の部分集団の測定。</v>
      </c>
      <c r="I3209" s="3" t="str">
        <f ca="1">IFERROR(__xludf.DUMMYFUNCTION("googletranslate(F3209,""en"",""ja"")"),"骨髄由来抑制細胞サブ集団数")</f>
        <v>骨髄由来抑制細胞サブ集団数</v>
      </c>
    </row>
    <row r="3210" spans="1:9" ht="45">
      <c r="A3210" s="3" t="s">
        <v>103</v>
      </c>
      <c r="B3210" s="3" t="s">
        <v>13230</v>
      </c>
      <c r="C3210" s="3" t="s">
        <v>13231</v>
      </c>
      <c r="D3210" s="3" t="s">
        <v>13232</v>
      </c>
      <c r="E3210" s="3" t="s">
        <v>13233</v>
      </c>
      <c r="F3210" s="3" t="s">
        <v>13234</v>
      </c>
      <c r="G3210" s="3" t="str">
        <f ca="1">IFERROR(__xludf.DUMMYFUNCTION("googletranslate(D3210,""en"",""ja"")"),"MDSC Dbl 否定。骨髄由来抑制細胞 ダブルネガティブ")</f>
        <v>MDSC Dbl 否定。骨髄由来抑制細胞 ダブルネガティブ</v>
      </c>
      <c r="H3210" s="3" t="str">
        <f ca="1">IFERROR(__xludf.DUMMYFUNCTION("googletranslate(E3210,""en"",""ja"")"),"生物学的標本中のダブルネガティブ骨髄由来サプレッサー細胞 (CD14-CD15 の両方である任意の MDSC) の測定。")</f>
        <v>生物学的標本中のダブルネガティブ骨髄由来サプレッサー細胞 (CD14-CD15 の両方である任意の MDSC) の測定。</v>
      </c>
      <c r="I3210" s="3" t="str">
        <f ca="1">IFERROR(__xludf.DUMMYFUNCTION("googletranslate(F3210,""en"",""ja"")"),"ダブルネガティブ骨髄由来サプレッサー細胞数")</f>
        <v>ダブルネガティブ骨髄由来サプレッサー細胞数</v>
      </c>
    </row>
    <row r="3211" spans="1:9" ht="60">
      <c r="A3211" s="3" t="s">
        <v>103</v>
      </c>
      <c r="B3211" s="3" t="s">
        <v>13235</v>
      </c>
      <c r="C3211" s="3" t="s">
        <v>13236</v>
      </c>
      <c r="D3211" s="3" t="s">
        <v>13237</v>
      </c>
      <c r="E3211" s="3" t="s">
        <v>13238</v>
      </c>
      <c r="F3211" s="3" t="s">
        <v>13239</v>
      </c>
      <c r="G3211" s="3" t="str">
        <f ca="1">IFERROR(__xludf.DUMMYFUNCTION("googletranslate(D3211,""en"",""ja"")"),"MDSC Dbl Neg/MDSC;骨髄由来サプレッサー細胞 ダブルネガティブ/骨髄由来サプレッサー細胞")</f>
        <v>MDSC Dbl Neg/MDSC;骨髄由来サプレッサー細胞 ダブルネガティブ/骨髄由来サプレッサー細胞</v>
      </c>
      <c r="H3211" s="3" t="str">
        <f ca="1">IFERROR(__xludf.DUMMYFUNCTION("googletranslate(E3211,""en"",""ja"")"),"生物学的標本中のすべての骨髄由来サプレッサー細胞に対するダブルネガティブ骨髄由来サプレッサー細胞の相対測定値 (比率またはパーセンテージ)。")</f>
        <v>生物学的標本中のすべての骨髄由来サプレッサー細胞に対するダブルネガティブ骨髄由来サプレッサー細胞の相対測定値 (比率またはパーセンテージ)。</v>
      </c>
      <c r="I3211" s="3" t="str">
        <f ca="1">IFERROR(__xludf.DUMMYFUNCTION("googletranslate(F3211,""en"",""ja"")"),"ダブルネガティブ骨髄由来抑制細胞と骨髄由来抑制細胞の比率の測定")</f>
        <v>ダブルネガティブ骨髄由来抑制細胞と骨髄由来抑制細胞の比率の測定</v>
      </c>
    </row>
    <row r="3212" spans="1:9" ht="60">
      <c r="A3212" s="3" t="s">
        <v>103</v>
      </c>
      <c r="B3212" s="3" t="s">
        <v>13240</v>
      </c>
      <c r="C3212" s="3" t="s">
        <v>13241</v>
      </c>
      <c r="D3212" s="3" t="s">
        <v>13242</v>
      </c>
      <c r="E3212" s="3" t="s">
        <v>13243</v>
      </c>
      <c r="F3212" s="3" t="s">
        <v>13244</v>
      </c>
      <c r="G3212" s="3" t="str">
        <f ca="1">IFERROR(__xludf.DUMMYFUNCTION("googletranslate(D3212,""en"",""ja"")"),"ダブルネガティブ骨髄由来抑制細胞サブ集団。 MDSC Dbl Neg Sub; MDSC ダブルネガティブ部分集団")</f>
        <v>ダブルネガティブ骨髄由来抑制細胞サブ集団。 MDSC Dbl Neg Sub; MDSC ダブルネガティブ部分集団</v>
      </c>
      <c r="H3212" s="3" t="str">
        <f ca="1">IFERROR(__xludf.DUMMYFUNCTION("googletranslate(E3212,""en"",""ja"")"),"生物学的標本中のダブルネガティブ骨髄由来サプレッサー細胞の部分集団の測定。")</f>
        <v>生物学的標本中のダブルネガティブ骨髄由来サプレッサー細胞の部分集団の測定。</v>
      </c>
      <c r="I3212" s="3" t="str">
        <f ca="1">IFERROR(__xludf.DUMMYFUNCTION("googletranslate(F3212,""en"",""ja"")"),"ダブルネガティブ骨髄由来サプレッサー部分集団数")</f>
        <v>ダブルネガティブ骨髄由来サプレッサー部分集団数</v>
      </c>
    </row>
    <row r="3213" spans="1:9" ht="60">
      <c r="A3213" s="3" t="s">
        <v>103</v>
      </c>
      <c r="B3213" s="3" t="s">
        <v>13245</v>
      </c>
      <c r="C3213" s="3" t="s">
        <v>13246</v>
      </c>
      <c r="D3213" s="3" t="s">
        <v>13247</v>
      </c>
      <c r="E3213" s="3" t="s">
        <v>13248</v>
      </c>
      <c r="F3213" s="3" t="s">
        <v>13249</v>
      </c>
      <c r="G3213" s="3" t="str">
        <f ca="1">IFERROR(__xludf.DUMMYFUNCTION("googletranslate(D3213,""en"",""ja"")"),"MDSC Dbl Neg Sub/MDSC;骨髄由来抑制細胞 ダブルネガティブ部分集団/骨髄由来抑制細胞")</f>
        <v>MDSC Dbl Neg Sub/MDSC;骨髄由来抑制細胞 ダブルネガティブ部分集団/骨髄由来抑制細胞</v>
      </c>
      <c r="H3213" s="3" t="str">
        <f ca="1">IFERROR(__xludf.DUMMYFUNCTION("googletranslate(E3213,""en"",""ja"")"),"生物学的標本中のすべての骨髄由来サプレッサー細胞に対するダブルネガティブ骨髄由来サプレッサー細胞の部分集団の相対測定値 (比率またはパーセンテージ)。")</f>
        <v>生物学的標本中のすべての骨髄由来サプレッサー細胞に対するダブルネガティブ骨髄由来サプレッサー細胞の部分集団の相対測定値 (比率またはパーセンテージ)。</v>
      </c>
      <c r="I3213" s="3" t="str">
        <f ca="1">IFERROR(__xludf.DUMMYFUNCTION("googletranslate(F3213,""en"",""ja"")"),"ダブルネガティブ骨髄由来抑制細胞亜集団と骨髄由来抑制細胞の比率の測定")</f>
        <v>ダブルネガティブ骨髄由来抑制細胞亜集団と骨髄由来抑制細胞の比率の測定</v>
      </c>
    </row>
    <row r="3214" spans="1:9" ht="75">
      <c r="A3214" s="3" t="s">
        <v>103</v>
      </c>
      <c r="B3214" s="3" t="s">
        <v>13250</v>
      </c>
      <c r="C3214" s="3" t="s">
        <v>13251</v>
      </c>
      <c r="D3214" s="3" t="s">
        <v>13252</v>
      </c>
      <c r="E3214" s="3" t="s">
        <v>13253</v>
      </c>
      <c r="F3214" s="3" t="s">
        <v>13254</v>
      </c>
      <c r="G3214" s="3" t="str">
        <f ca="1">IFERROR(__xludf.DUMMYFUNCTION("googletranslate(D3214,""en"",""ja"")"),"MDSC Dbl Neg Sub/MDSC Dbl Neg;骨髄由来抑制細胞ダブルネガティブ部分集団/骨髄由来抑制細胞ダブルネガティブ")</f>
        <v>MDSC Dbl Neg Sub/MDSC Dbl Neg;骨髄由来抑制細胞ダブルネガティブ部分集団/骨髄由来抑制細胞ダブルネガティブ</v>
      </c>
      <c r="H3214" s="3" t="str">
        <f ca="1">IFERROR(__xludf.DUMMYFUNCTION("googletranslate(E3214,""en"",""ja"")"),"生物学的標本中のすべてのダブルネガティブ骨髄由来サプレッサー細胞に対する、ダブルネガティブ骨髄由来サプレッサー細胞の部分集団の相対測定値 (比率またはパーセンテージ)。")</f>
        <v>生物学的標本中のすべてのダブルネガティブ骨髄由来サプレッサー細胞に対する、ダブルネガティブ骨髄由来サプレッサー細胞の部分集団の相対測定値 (比率またはパーセンテージ)。</v>
      </c>
      <c r="I3214" s="3" t="str">
        <f ca="1">IFERROR(__xludf.DUMMYFUNCTION("googletranslate(F3214,""en"",""ja"")"),"ダブルネガティブ骨髄由来サプレッサー細胞亜集団とダブルネガティブ骨髄由来サプレッサー細胞の比率の測定")</f>
        <v>ダブルネガティブ骨髄由来サプレッサー細胞亜集団とダブルネガティブ骨髄由来サプレッサー細胞の比率の測定</v>
      </c>
    </row>
    <row r="3215" spans="1:9" ht="60">
      <c r="A3215" s="3" t="s">
        <v>103</v>
      </c>
      <c r="B3215" s="3" t="s">
        <v>13255</v>
      </c>
      <c r="C3215" s="3" t="s">
        <v>13256</v>
      </c>
      <c r="D3215" s="3" t="s">
        <v>13257</v>
      </c>
      <c r="E3215" s="3" t="s">
        <v>13258</v>
      </c>
      <c r="F3215" s="3" t="s">
        <v>13259</v>
      </c>
      <c r="G3215" s="3" t="str">
        <f ca="1">IFERROR(__xludf.DUMMYFUNCTION("googletranslate(D3215,""en"",""ja"")"),"MDSC グラン/グラン;骨髄由来抑制細胞 顆粒球/顆粒球; PMN-MDSC/グラン")</f>
        <v>MDSC グラン/グラン;骨髄由来抑制細胞 顆粒球/顆粒球; PMN-MDSC/グラン</v>
      </c>
      <c r="H3215" s="3" t="str">
        <f ca="1">IFERROR(__xludf.DUMMYFUNCTION("googletranslate(E3215,""en"",""ja"")"),"生物学的検体中の総顆粒球に対する顆粒球骨髄由来サプレッサー細胞の相対測定値 (比率またはパーセンテージ)。")</f>
        <v>生物学的検体中の総顆粒球に対する顆粒球骨髄由来サプレッサー細胞の相対測定値 (比率またはパーセンテージ)。</v>
      </c>
      <c r="I3215" s="3" t="str">
        <f ca="1">IFERROR(__xludf.DUMMYFUNCTION("googletranslate(F3215,""en"",""ja"")"),"顆粒球性骨髄由来サプレッサー細胞と顆粒球の比率の測定")</f>
        <v>顆粒球性骨髄由来サプレッサー細胞と顆粒球の比率の測定</v>
      </c>
    </row>
    <row r="3216" spans="1:9" ht="60">
      <c r="A3216" s="3" t="s">
        <v>103</v>
      </c>
      <c r="B3216" s="3" t="s">
        <v>13260</v>
      </c>
      <c r="C3216" s="3" t="s">
        <v>13261</v>
      </c>
      <c r="D3216" s="3" t="s">
        <v>13262</v>
      </c>
      <c r="E3216" s="3" t="s">
        <v>13263</v>
      </c>
      <c r="F3216" s="3" t="s">
        <v>13264</v>
      </c>
      <c r="G3216" s="3" t="str">
        <f ca="1">IFERROR(__xludf.DUMMYFUNCTION("googletranslate(D3216,""en"",""ja"")"),"MDSC グラン/ロイク;骨髄由来抑制細胞 顆粒球/白血球; PMN-MDSC/ロイク")</f>
        <v>MDSC グラン/ロイク;骨髄由来抑制細胞 顆粒球/白血球; PMN-MDSC/ロイク</v>
      </c>
      <c r="H3216" s="3" t="str">
        <f ca="1">IFERROR(__xludf.DUMMYFUNCTION("googletranslate(E3216,""en"",""ja"")"),"生物学的標本中の総白血球に対する顆粒球骨髄由来サプレッサー細胞の相対測定値 (比率またはパーセンテージ)。")</f>
        <v>生物学的標本中の総白血球に対する顆粒球骨髄由来サプレッサー細胞の相対測定値 (比率またはパーセンテージ)。</v>
      </c>
      <c r="I3216" s="3" t="str">
        <f ca="1">IFERROR(__xludf.DUMMYFUNCTION("googletranslate(F3216,""en"",""ja"")"),"顆粒球性骨髄由来サプレッサー細胞と白血球の比率の測定")</f>
        <v>顆粒球性骨髄由来サプレッサー細胞と白血球の比率の測定</v>
      </c>
    </row>
    <row r="3217" spans="1:9" ht="60">
      <c r="A3217" s="3" t="s">
        <v>103</v>
      </c>
      <c r="B3217" s="3" t="s">
        <v>13265</v>
      </c>
      <c r="C3217" s="3" t="s">
        <v>13266</v>
      </c>
      <c r="D3217" s="3" t="s">
        <v>13267</v>
      </c>
      <c r="E3217" s="3" t="s">
        <v>13268</v>
      </c>
      <c r="F3217" s="3" t="s">
        <v>13269</v>
      </c>
      <c r="G3217" s="3" t="str">
        <f ca="1">IFERROR(__xludf.DUMMYFUNCTION("googletranslate(D3217,""en"",""ja"")"),"MDSC グラン/リム サブ;骨髄由来サプレッサー細胞顆粒球/リンパ球サブ集団。 PMN-MDSC/リムサブ")</f>
        <v>MDSC グラン/リム サブ;骨髄由来サプレッサー細胞顆粒球/リンパ球サブ集団。 PMN-MDSC/リムサブ</v>
      </c>
      <c r="H3217" s="3" t="str">
        <f ca="1">IFERROR(__xludf.DUMMYFUNCTION("googletranslate(E3217,""en"",""ja"")"),"生物学的標本中のリンパ球の部分集団に対する顆粒球性骨髄由来サプレッサー細胞の相対的な測定値 (比率またはパーセンテージ)。")</f>
        <v>生物学的標本中のリンパ球の部分集団に対する顆粒球性骨髄由来サプレッサー細胞の相対的な測定値 (比率またはパーセンテージ)。</v>
      </c>
      <c r="I3217" s="3" t="str">
        <f ca="1">IFERROR(__xludf.DUMMYFUNCTION("googletranslate(F3217,""en"",""ja"")"),"顆粒球性骨髄由来サプレッサー細胞とリンパ球部分集団の比率の測定")</f>
        <v>顆粒球性骨髄由来サプレッサー細胞とリンパ球部分集団の比率の測定</v>
      </c>
    </row>
    <row r="3218" spans="1:9" ht="75">
      <c r="A3218" s="3" t="s">
        <v>103</v>
      </c>
      <c r="B3218" s="3" t="s">
        <v>13270</v>
      </c>
      <c r="C3218" s="3" t="s">
        <v>13271</v>
      </c>
      <c r="D3218" s="3" t="s">
        <v>13272</v>
      </c>
      <c r="E3218" s="3" t="s">
        <v>13273</v>
      </c>
      <c r="F3218" s="3" t="s">
        <v>13274</v>
      </c>
      <c r="G3218" s="3" t="str">
        <f ca="1">IFERROR(__xludf.DUMMYFUNCTION("googletranslate(D3218,""en"",""ja"")"),"MDSC グラン/MDSC;骨髄由来サプレッサー細胞 顆粒球/骨髄由来サプレッサー細胞; PMN-MDSC/MDSC")</f>
        <v>MDSC グラン/MDSC;骨髄由来サプレッサー細胞 顆粒球/骨髄由来サプレッサー細胞; PMN-MDSC/MDSC</v>
      </c>
      <c r="H3218" s="3" t="str">
        <f ca="1">IFERROR(__xludf.DUMMYFUNCTION("googletranslate(E3218,""en"",""ja"")"),"生物学的標本中のすべての骨髄由来サプレッサー細胞に対する顆粒球骨髄由来サプレッサー細胞の相対測定値 (比率またはパーセンテージ)。")</f>
        <v>生物学的標本中のすべての骨髄由来サプレッサー細胞に対する顆粒球骨髄由来サプレッサー細胞の相対測定値 (比率またはパーセンテージ)。</v>
      </c>
      <c r="I3218" s="3" t="str">
        <f ca="1">IFERROR(__xludf.DUMMYFUNCTION("googletranslate(F3218,""en"",""ja"")"),"顆粒球性骨髄由来抑制細胞と骨髄由来抑制細胞の比率の測定")</f>
        <v>顆粒球性骨髄由来抑制細胞と骨髄由来抑制細胞の比率の測定</v>
      </c>
    </row>
    <row r="3219" spans="1:9" ht="90">
      <c r="A3219" s="3" t="s">
        <v>103</v>
      </c>
      <c r="B3219" s="3" t="s">
        <v>13275</v>
      </c>
      <c r="C3219" s="3" t="s">
        <v>13276</v>
      </c>
      <c r="D3219" s="3" t="s">
        <v>13277</v>
      </c>
      <c r="E3219" s="3" t="s">
        <v>13278</v>
      </c>
      <c r="F3219" s="3" t="s">
        <v>13279</v>
      </c>
      <c r="G3219" s="3" t="str">
        <f ca="1">IFERROR(__xludf.DUMMYFUNCTION("googletranslate(D3219,""en"",""ja"")"),"MDSC グランサブ/MDSC;骨髄由来サプレッサー細胞顆粒球部分集団/骨髄由来サプレッサー細胞; PMN-MDSC サブ/MDSC")</f>
        <v>MDSC グランサブ/MDSC;骨髄由来サプレッサー細胞顆粒球部分集団/骨髄由来サプレッサー細胞; PMN-MDSC サブ/MDSC</v>
      </c>
      <c r="H3219" s="3" t="str">
        <f ca="1">IFERROR(__xludf.DUMMYFUNCTION("googletranslate(E3219,""en"",""ja"")"),"生物学的標本中のすべての骨髄由来サプレッサー細胞に対する顆粒球骨髄由来サプレッサー細胞の部分集団の相対測定値 (比率またはパーセンテージ)。")</f>
        <v>生物学的標本中のすべての骨髄由来サプレッサー細胞に対する顆粒球骨髄由来サプレッサー細胞の部分集団の相対測定値 (比率またはパーセンテージ)。</v>
      </c>
      <c r="I3219" s="3" t="str">
        <f ca="1">IFERROR(__xludf.DUMMYFUNCTION("googletranslate(F3219,""en"",""ja"")"),"顆粒球性骨髄由来抑制細胞亜集団と骨髄由来抑制細胞の比率の測定")</f>
        <v>顆粒球性骨髄由来抑制細胞亜集団と骨髄由来抑制細胞の比率の測定</v>
      </c>
    </row>
    <row r="3220" spans="1:9" ht="90">
      <c r="A3220" s="3" t="s">
        <v>103</v>
      </c>
      <c r="B3220" s="3" t="s">
        <v>13280</v>
      </c>
      <c r="C3220" s="3" t="s">
        <v>13281</v>
      </c>
      <c r="D3220" s="3" t="s">
        <v>13282</v>
      </c>
      <c r="E3220" s="3" t="s">
        <v>13283</v>
      </c>
      <c r="F3220" s="3" t="s">
        <v>13284</v>
      </c>
      <c r="G3220" s="3" t="str">
        <f ca="1">IFERROR(__xludf.DUMMYFUNCTION("googletranslate(D3220,""en"",""ja"")"),"MDSCグランサブ/MDSCグラン;骨髄由来抑制細胞 顆粒球サブ集団/骨髄由来抑制細胞 顆粒球; PMN-MDSC サブ/MDSC グラン")</f>
        <v>MDSCグランサブ/MDSCグラン;骨髄由来抑制細胞 顆粒球サブ集団/骨髄由来抑制細胞 顆粒球; PMN-MDSC サブ/MDSC グラン</v>
      </c>
      <c r="H3220" s="3" t="str">
        <f ca="1">IFERROR(__xludf.DUMMYFUNCTION("googletranslate(E3220,""en"",""ja"")"),"生物学的標本中のすべての顆粒球骨髄由来サプレッサー細胞に対する顆粒球骨髄由来サプレッサー細胞の部分集団の相対測定値 (比率またはパーセンテージ)。")</f>
        <v>生物学的標本中のすべての顆粒球骨髄由来サプレッサー細胞に対する顆粒球骨髄由来サプレッサー細胞の部分集団の相対測定値 (比率またはパーセンテージ)。</v>
      </c>
      <c r="I3220" s="3" t="str">
        <f ca="1">IFERROR(__xludf.DUMMYFUNCTION("googletranslate(F3220,""en"",""ja"")"),"顆粒球性骨髄由来抑制細胞亜集団と顆粒球性骨髄由来抑制細胞の比率の測定")</f>
        <v>顆粒球性骨髄由来抑制細胞亜集団と顆粒球性骨髄由来抑制細胞の比率の測定</v>
      </c>
    </row>
    <row r="3221" spans="1:9" ht="45">
      <c r="A3221" s="3" t="s">
        <v>103</v>
      </c>
      <c r="B3221" s="3" t="s">
        <v>13285</v>
      </c>
      <c r="C3221" s="3" t="s">
        <v>13286</v>
      </c>
      <c r="D3221" s="3" t="s">
        <v>13287</v>
      </c>
      <c r="E3221" s="3" t="s">
        <v>13288</v>
      </c>
      <c r="F3221" s="3" t="s">
        <v>13289</v>
      </c>
      <c r="G3221" s="3" t="str">
        <f ca="1">IFERROR(__xludf.DUMMYFUNCTION("googletranslate(D3221,""en"",""ja"")"),"MDSC/ロイク;骨髄由来抑制細胞/白​​血球")</f>
        <v>MDSC/ロイク;骨髄由来抑制細胞/白​​血球</v>
      </c>
      <c r="H3221" s="3" t="str">
        <f ca="1">IFERROR(__xludf.DUMMYFUNCTION("googletranslate(E3221,""en"",""ja"")"),"生物学的標本中の総白血球に対する骨髄由来サプレッサー細胞の相対測定値 (比率またはパーセンテージ)。")</f>
        <v>生物学的標本中の総白血球に対する骨髄由来サプレッサー細胞の相対測定値 (比率またはパーセンテージ)。</v>
      </c>
      <c r="I3221" s="3" t="str">
        <f ca="1">IFERROR(__xludf.DUMMYFUNCTION("googletranslate(F3221,""en"",""ja"")"),"骨髄由来サプレッサー細胞と白血球の比率の測定")</f>
        <v>骨髄由来サプレッサー細胞と白血球の比率の測定</v>
      </c>
    </row>
    <row r="3222" spans="1:9" ht="45">
      <c r="A3222" s="3" t="s">
        <v>103</v>
      </c>
      <c r="B3222" s="3" t="s">
        <v>13290</v>
      </c>
      <c r="C3222" s="3" t="s">
        <v>13291</v>
      </c>
      <c r="D3222" s="3" t="s">
        <v>13292</v>
      </c>
      <c r="E3222" s="3" t="s">
        <v>13293</v>
      </c>
      <c r="F3222" s="3" t="s">
        <v>13294</v>
      </c>
      <c r="G3222" s="3" t="str">
        <f ca="1">IFERROR(__xludf.DUMMYFUNCTION("googletranslate(D3222,""en"",""ja"")"),"M-MDSC/ロイク; MDSCモノ/ロイク;骨髄由来抑制細胞 単球/白血球")</f>
        <v>M-MDSC/ロイク; MDSCモノ/ロイク;骨髄由来抑制細胞 単球/白血球</v>
      </c>
      <c r="H3222" s="3" t="str">
        <f ca="1">IFERROR(__xludf.DUMMYFUNCTION("googletranslate(E3222,""en"",""ja"")"),"生物学的標本中の総白血球に対する単球性骨髄由来サプレッサー細胞の相対測定値 (比率またはパーセンテージ)。")</f>
        <v>生物学的標本中の総白血球に対する単球性骨髄由来サプレッサー細胞の相対測定値 (比率またはパーセンテージ)。</v>
      </c>
      <c r="I3222" s="3" t="str">
        <f ca="1">IFERROR(__xludf.DUMMYFUNCTION("googletranslate(F3222,""en"",""ja"")"),"単球性骨髄由来サプレッサー細胞と白血球の比率の測定")</f>
        <v>単球性骨髄由来サプレッサー細胞と白血球の比率の測定</v>
      </c>
    </row>
    <row r="3223" spans="1:9" ht="60">
      <c r="A3223" s="3" t="s">
        <v>103</v>
      </c>
      <c r="B3223" s="3" t="s">
        <v>13295</v>
      </c>
      <c r="C3223" s="3" t="s">
        <v>13296</v>
      </c>
      <c r="D3223" s="3" t="s">
        <v>13297</v>
      </c>
      <c r="E3223" s="3" t="s">
        <v>13298</v>
      </c>
      <c r="F3223" s="3" t="s">
        <v>13299</v>
      </c>
      <c r="G3223" s="3" t="str">
        <f ca="1">IFERROR(__xludf.DUMMYFUNCTION("googletranslate(D3223,""en"",""ja"")"),"M-MDSC/モノラル; MDSC モノラル/モノラル;骨髄由来抑制細胞 単球/単球")</f>
        <v>M-MDSC/モノラル; MDSC モノラル/モノラル;骨髄由来抑制細胞 単球/単球</v>
      </c>
      <c r="H3223" s="3" t="str">
        <f ca="1">IFERROR(__xludf.DUMMYFUNCTION("googletranslate(E3223,""en"",""ja"")"),"生物学的標本中の総単球に対する単球性骨髄由来サプレッサー細胞の相対測定値 (比率)。")</f>
        <v>生物学的標本中の総単球に対する単球性骨髄由来サプレッサー細胞の相対測定値 (比率)。</v>
      </c>
      <c r="I3223" s="3" t="str">
        <f ca="1">IFERROR(__xludf.DUMMYFUNCTION("googletranslate(F3223,""en"",""ja"")"),"単球性骨髄由来サプレッサー細胞と単球の比率の測定")</f>
        <v>単球性骨髄由来サプレッサー細胞と単球の比率の測定</v>
      </c>
    </row>
    <row r="3224" spans="1:9" ht="75">
      <c r="A3224" s="3" t="s">
        <v>103</v>
      </c>
      <c r="B3224" s="3" t="s">
        <v>13300</v>
      </c>
      <c r="C3224" s="3" t="s">
        <v>13301</v>
      </c>
      <c r="D3224" s="3" t="s">
        <v>13302</v>
      </c>
      <c r="E3224" s="3" t="s">
        <v>13303</v>
      </c>
      <c r="F3224" s="3" t="s">
        <v>13304</v>
      </c>
      <c r="G3224" s="3" t="str">
        <f ca="1">IFERROR(__xludf.DUMMYFUNCTION("googletranslate(D3224,""en"",""ja"")"),"M-MDSC/MDSC; MDSC モノラル/MDSC;骨髄由来サプレッサー細胞 単球/骨髄由来サプレッサー細胞")</f>
        <v>M-MDSC/MDSC; MDSC モノラル/MDSC;骨髄由来サプレッサー細胞 単球/骨髄由来サプレッサー細胞</v>
      </c>
      <c r="H3224" s="3" t="str">
        <f ca="1">IFERROR(__xludf.DUMMYFUNCTION("googletranslate(E3224,""en"",""ja"")"),"生物学的標本中の総骨髄由来サプレッサー細胞に対する単球性骨髄由来サプレッサー細胞の相対測定値 (比率またはパーセンテージ)。")</f>
        <v>生物学的標本中の総骨髄由来サプレッサー細胞に対する単球性骨髄由来サプレッサー細胞の相対測定値 (比率またはパーセンテージ)。</v>
      </c>
      <c r="I3224" s="3" t="str">
        <f ca="1">IFERROR(__xludf.DUMMYFUNCTION("googletranslate(F3224,""en"",""ja"")"),"単球性骨髄由来サプレッサー細胞と骨髄由来サプレッサー細胞の比率の測定")</f>
        <v>単球性骨髄由来サプレッサー細胞と骨髄由来サプレッサー細胞の比率の測定</v>
      </c>
    </row>
    <row r="3225" spans="1:9" ht="75">
      <c r="A3225" s="3" t="s">
        <v>103</v>
      </c>
      <c r="B3225" s="3" t="s">
        <v>13305</v>
      </c>
      <c r="C3225" s="3" t="s">
        <v>13306</v>
      </c>
      <c r="D3225" s="3" t="s">
        <v>13307</v>
      </c>
      <c r="E3225" s="3" t="s">
        <v>13308</v>
      </c>
      <c r="F3225" s="3" t="s">
        <v>13309</v>
      </c>
      <c r="G3225" s="3" t="str">
        <f ca="1">IFERROR(__xludf.DUMMYFUNCTION("googletranslate(D3225,""en"",""ja"")"),"M-MDSC サブ/MDSC; MDSC モノサブ/MDSC;骨髄由来サプレッサー細胞 単球部分集団/骨髄由来サプレッサー細胞")</f>
        <v>M-MDSC サブ/MDSC; MDSC モノサブ/MDSC;骨髄由来サプレッサー細胞 単球部分集団/骨髄由来サプレッサー細胞</v>
      </c>
      <c r="H3225" s="3" t="str">
        <f ca="1">IFERROR(__xludf.DUMMYFUNCTION("googletranslate(E3225,""en"",""ja"")"),"生物学的標本中のすべての骨髄由来サプレッサー細胞に対する単球性骨髄由来サプレッサー細胞の部分集団の相対測定値 (比率またはパーセンテージ)。")</f>
        <v>生物学的標本中のすべての骨髄由来サプレッサー細胞に対する単球性骨髄由来サプレッサー細胞の部分集団の相対測定値 (比率またはパーセンテージ)。</v>
      </c>
      <c r="I3225" s="3" t="str">
        <f ca="1">IFERROR(__xludf.DUMMYFUNCTION("googletranslate(F3225,""en"",""ja"")"),"単球性骨髄由来抑制細胞亜集団と骨髄由来抑制細胞の比率の測定")</f>
        <v>単球性骨髄由来抑制細胞亜集団と骨髄由来抑制細胞の比率の測定</v>
      </c>
    </row>
    <row r="3226" spans="1:9" ht="75">
      <c r="A3226" s="3" t="s">
        <v>103</v>
      </c>
      <c r="B3226" s="3" t="s">
        <v>13310</v>
      </c>
      <c r="C3226" s="3" t="s">
        <v>13311</v>
      </c>
      <c r="D3226" s="3" t="s">
        <v>13312</v>
      </c>
      <c r="E3226" s="3" t="s">
        <v>13313</v>
      </c>
      <c r="F3226" s="3" t="s">
        <v>13314</v>
      </c>
      <c r="G3226" s="3" t="str">
        <f ca="1">IFERROR(__xludf.DUMMYFUNCTION("googletranslate(D3226,""en"",""ja"")"),"M-MDSC サブ/MDSC モノラル; MDSC モノラル サブ/MDSC モノラル;骨髄由来抑制細胞単球サブ集団/骨髄由来抑制細胞単球")</f>
        <v>M-MDSC サブ/MDSC モノラル; MDSC モノラル サブ/MDSC モノラル;骨髄由来抑制細胞単球サブ集団/骨髄由来抑制細胞単球</v>
      </c>
      <c r="H3226" s="3" t="str">
        <f ca="1">IFERROR(__xludf.DUMMYFUNCTION("googletranslate(E3226,""en"",""ja"")"),"生物学的標本中のすべての単球性骨髄由来サプレッサー細胞に対する単球性骨髄由来サプレッサー細胞の部分集団の相対測定値 (比率またはパーセンテージ)。")</f>
        <v>生物学的標本中のすべての単球性骨髄由来サプレッサー細胞に対する単球性骨髄由来サプレッサー細胞の部分集団の相対測定値 (比率またはパーセンテージ)。</v>
      </c>
      <c r="I3226" s="3" t="str">
        <f ca="1">IFERROR(__xludf.DUMMYFUNCTION("googletranslate(F3226,""en"",""ja"")"),"単球性骨髄由来サプレッサー細胞亜集団と単球性骨髄由来サプレッサー細胞の比率の測定")</f>
        <v>単球性骨髄由来サプレッサー細胞亜集団と単球性骨髄由来サプレッサー細胞の比率の測定</v>
      </c>
    </row>
    <row r="3227" spans="1:9" ht="60">
      <c r="A3227" s="3" t="s">
        <v>103</v>
      </c>
      <c r="B3227" s="3" t="s">
        <v>13315</v>
      </c>
      <c r="C3227" s="3" t="s">
        <v>13316</v>
      </c>
      <c r="D3227" s="3" t="s">
        <v>13317</v>
      </c>
      <c r="E3227" s="3" t="s">
        <v>13318</v>
      </c>
      <c r="F3227" s="3" t="s">
        <v>13319</v>
      </c>
      <c r="G3227" s="3" t="str">
        <f ca="1">IFERROR(__xludf.DUMMYFUNCTION("googletranslate(D3227,""en"",""ja"")"),"MDSC/ロイク・ノングラン; MDSC/非グラン・ルーク;骨髄由来抑制細胞/白​​血球、非顆粒球")</f>
        <v>MDSC/ロイク・ノングラン; MDSC/非グラン・ルーク;骨髄由来抑制細胞/白​​血球、非顆粒球</v>
      </c>
      <c r="H3227" s="3" t="str">
        <f ca="1">IFERROR(__xludf.DUMMYFUNCTION("googletranslate(E3227,""en"",""ja"")"),"生物学的標本中の総非顆粒球性白血球に対する骨髄由来サプレッサー細胞の相対測定値 (比率またはパーセンテージ)。")</f>
        <v>生物学的標本中の総非顆粒球性白血球に対する骨髄由来サプレッサー細胞の相対測定値 (比率またはパーセンテージ)。</v>
      </c>
      <c r="I3227" s="3" t="str">
        <f ca="1">IFERROR(__xludf.DUMMYFUNCTION("googletranslate(F3227,""en"",""ja"")"),"骨髄由来サプレッサー細胞と非顆粒球性白血球の比率の測定")</f>
        <v>骨髄由来サプレッサー細胞と非顆粒球性白血球の比率の測定</v>
      </c>
    </row>
    <row r="3228" spans="1:9" ht="45">
      <c r="A3228" s="3" t="s">
        <v>103</v>
      </c>
      <c r="B3228" s="3" t="s">
        <v>13320</v>
      </c>
      <c r="C3228" s="3" t="s">
        <v>13321</v>
      </c>
      <c r="D3228" s="3" t="s">
        <v>13322</v>
      </c>
      <c r="E3228" s="3" t="s">
        <v>13323</v>
      </c>
      <c r="F3228" s="3" t="s">
        <v>13324</v>
      </c>
      <c r="G3228" s="3" t="str">
        <f ca="1">IFERROR(__xludf.DUMMYFUNCTION("googletranslate(D3228,""en"",""ja"")"),"MDSC サブ/ロイク;骨髄由来抑制細胞亜集団/白血球")</f>
        <v>MDSC サブ/ロイク;骨髄由来抑制細胞亜集団/白血球</v>
      </c>
      <c r="H3228" s="3" t="str">
        <f ca="1">IFERROR(__xludf.DUMMYFUNCTION("googletranslate(E3228,""en"",""ja"")"),"生物学的標本中の白血球に対する骨髄由来サプレッサー細胞の部分集団の相対的な測定値 (比率またはパーセンテージ)。")</f>
        <v>生物学的標本中の白血球に対する骨髄由来サプレッサー細胞の部分集団の相対的な測定値 (比率またはパーセンテージ)。</v>
      </c>
      <c r="I3228" s="3" t="str">
        <f ca="1">IFERROR(__xludf.DUMMYFUNCTION("googletranslate(F3228,""en"",""ja"")"),"骨髄由来サプレッサー細胞部分集団と白血球の比率の測定")</f>
        <v>骨髄由来サプレッサー細胞部分集団と白血球の比率の測定</v>
      </c>
    </row>
    <row r="3229" spans="1:9" ht="60">
      <c r="A3229" s="3" t="s">
        <v>103</v>
      </c>
      <c r="B3229" s="3" t="s">
        <v>13325</v>
      </c>
      <c r="C3229" s="3" t="s">
        <v>13326</v>
      </c>
      <c r="D3229" s="3" t="s">
        <v>13327</v>
      </c>
      <c r="E3229" s="3" t="s">
        <v>13328</v>
      </c>
      <c r="F3229" s="3" t="s">
        <v>13329</v>
      </c>
      <c r="G3229" s="3" t="str">
        <f ca="1">IFERROR(__xludf.DUMMYFUNCTION("googletranslate(D3229,""en"",""ja"")"),"MDSC サブ/MDSC サブ;骨髄由来抑制細胞サブ集団/骨髄由来サプレッサー細胞サブ集団")</f>
        <v>MDSC サブ/MDSC サブ;骨髄由来抑制細胞サブ集団/骨髄由来サプレッサー細胞サブ集団</v>
      </c>
      <c r="H3229" s="3" t="str">
        <f ca="1">IFERROR(__xludf.DUMMYFUNCTION("googletranslate(E3229,""en"",""ja"")"),"生物学的標本における骨髄由来サプレッサー細胞の部分集団に対する骨髄由来サプレッサー細胞の部分集団の相対測定値 (比率またはパーセンテージ)。")</f>
        <v>生物学的標本における骨髄由来サプレッサー細胞の部分集団に対する骨髄由来サプレッサー細胞の部分集団の相対測定値 (比率またはパーセンテージ)。</v>
      </c>
      <c r="I3229" s="3" t="str">
        <f ca="1">IFERROR(__xludf.DUMMYFUNCTION("googletranslate(F3229,""en"",""ja"")"),"骨髄由来抑制細胞亜集団と骨髄由来抑制細胞亜集団の比率の測定")</f>
        <v>骨髄由来抑制細胞亜集団と骨髄由来抑制細胞亜集団の比率の測定</v>
      </c>
    </row>
    <row r="3230" spans="1:9" ht="60">
      <c r="A3230" s="3" t="s">
        <v>103</v>
      </c>
      <c r="B3230" s="3" t="s">
        <v>13330</v>
      </c>
      <c r="C3230" s="3" t="s">
        <v>13331</v>
      </c>
      <c r="D3230" s="3" t="s">
        <v>13332</v>
      </c>
      <c r="E3230" s="3" t="s">
        <v>13333</v>
      </c>
      <c r="F3230" s="3" t="s">
        <v>13334</v>
      </c>
      <c r="G3230" s="3" t="str">
        <f ca="1">IFERROR(__xludf.DUMMYFUNCTION("googletranslate(D3230,""en"",""ja"")"),"MDSC サブ/MDSC;骨髄由来抑制細胞亜集団/骨髄由来抑制細胞")</f>
        <v>MDSC サブ/MDSC;骨髄由来抑制細胞亜集団/骨髄由来抑制細胞</v>
      </c>
      <c r="H3230" s="3" t="str">
        <f ca="1">IFERROR(__xludf.DUMMYFUNCTION("googletranslate(E3230,""en"",""ja"")"),"生物学的標本中のすべての骨髄由来サプレッサー細胞に対する、骨髄由来サプレッサー細胞の部分集団の相対的な測定値 (比率またはパーセンテージ)。")</f>
        <v>生物学的標本中のすべての骨髄由来サプレッサー細胞に対する、骨髄由来サプレッサー細胞の部分集団の相対的な測定値 (比率またはパーセンテージ)。</v>
      </c>
      <c r="I3230" s="3" t="str">
        <f ca="1">IFERROR(__xludf.DUMMYFUNCTION("googletranslate(F3230,""en"",""ja"")"),"骨髄由来抑制細胞亜集団と骨髄由来抑制細胞の比率の測定")</f>
        <v>骨髄由来抑制細胞亜集団と骨髄由来抑制細胞の比率の測定</v>
      </c>
    </row>
    <row r="3231" spans="1:9" ht="30">
      <c r="A3231" s="3" t="s">
        <v>6</v>
      </c>
      <c r="B3231" s="3" t="s">
        <v>13335</v>
      </c>
      <c r="C3231" s="3" t="s">
        <v>13336</v>
      </c>
      <c r="D3231" s="3" t="s">
        <v>13336</v>
      </c>
      <c r="E3231" s="3" t="s">
        <v>13337</v>
      </c>
      <c r="F3231" s="3" t="s">
        <v>13338</v>
      </c>
      <c r="G3231" s="3" t="str">
        <f ca="1">IFERROR(__xludf.DUMMYFUNCTION("googletranslate(D3231,""en"",""ja"")"),"単球の分布幅")</f>
        <v>単球の分布幅</v>
      </c>
      <c r="H3231" s="3" t="str">
        <f ca="1">IFERROR(__xludf.DUMMYFUNCTION("googletranslate(E3231,""en"",""ja"")"),"生物学的標本における単球の体積分散の測定。")</f>
        <v>生物学的標本における単球の体積分散の測定。</v>
      </c>
      <c r="I3231" s="3" t="str">
        <f ca="1">IFERROR(__xludf.DUMMYFUNCTION("googletranslate(F3231,""en"",""ja"")"),"単球分布幅測定")</f>
        <v>単球分布幅測定</v>
      </c>
    </row>
    <row r="3232" spans="1:9" ht="30">
      <c r="A3232" s="3" t="s">
        <v>6</v>
      </c>
      <c r="B3232" s="3" t="s">
        <v>13339</v>
      </c>
      <c r="C3232" s="3" t="s">
        <v>13340</v>
      </c>
      <c r="D3232" s="3" t="s">
        <v>13340</v>
      </c>
      <c r="E3232" s="3" t="s">
        <v>13341</v>
      </c>
      <c r="F3232" s="3" t="s">
        <v>13342</v>
      </c>
      <c r="G3232" s="3" t="str">
        <f ca="1">IFERROR(__xludf.DUMMYFUNCTION("googletranslate(D3232,""en"",""ja"")"),"ミダゾラム")</f>
        <v>ミダゾラム</v>
      </c>
      <c r="H3232" s="3" t="str">
        <f ca="1">IFERROR(__xludf.DUMMYFUNCTION("googletranslate(E3232,""en"",""ja"")"),"生物学的標本中に存在するミダゾラムの測定。")</f>
        <v>生物学的標本中に存在するミダゾラムの測定。</v>
      </c>
      <c r="I3232" s="3" t="str">
        <f ca="1">IFERROR(__xludf.DUMMYFUNCTION("googletranslate(F3232,""en"",""ja"")"),"ミダゾラムの測定")</f>
        <v>ミダゾラムの測定</v>
      </c>
    </row>
    <row r="3233" spans="1:9" ht="30">
      <c r="A3233" s="3" t="s">
        <v>6</v>
      </c>
      <c r="B3233" s="3" t="s">
        <v>13343</v>
      </c>
      <c r="C3233" s="3" t="s">
        <v>13344</v>
      </c>
      <c r="D3233" s="3" t="s">
        <v>13344</v>
      </c>
      <c r="E3233" s="3" t="s">
        <v>13345</v>
      </c>
      <c r="F3233" s="3" t="s">
        <v>13346</v>
      </c>
      <c r="G3233" s="3" t="str">
        <f ca="1">IFERROR(__xludf.DUMMYFUNCTION("googletranslate(D3233,""en"",""ja"")"),"メダゼパム")</f>
        <v>メダゼパム</v>
      </c>
      <c r="H3233" s="3" t="str">
        <f ca="1">IFERROR(__xludf.DUMMYFUNCTION("googletranslate(E3233,""en"",""ja"")"),"生物学的標本中に存在するメダゼパムの測定。")</f>
        <v>生物学的標本中に存在するメダゼパムの測定。</v>
      </c>
      <c r="I3233" s="3" t="str">
        <f ca="1">IFERROR(__xludf.DUMMYFUNCTION("googletranslate(F3233,""en"",""ja"")"),"メダゼパムの測定")</f>
        <v>メダゼパムの測定</v>
      </c>
    </row>
    <row r="3234" spans="1:9" ht="45">
      <c r="A3234" s="3" t="s">
        <v>51</v>
      </c>
      <c r="B3234" s="3" t="s">
        <v>13347</v>
      </c>
      <c r="C3234" s="3" t="s">
        <v>13348</v>
      </c>
      <c r="D3234" s="3" t="s">
        <v>13349</v>
      </c>
      <c r="E3234" s="3" t="s">
        <v>13350</v>
      </c>
      <c r="F3234" s="3" t="s">
        <v>13351</v>
      </c>
      <c r="G3234" s="3" t="str">
        <f ca="1">IFERROR(__xludf.DUMMYFUNCTION("googletranslate(D3234,""en"",""ja"")"),"2-アミノ-3-メチル-9H-ピリド[2,3-b]インドール; MeA-a-C;メアアルファC")</f>
        <v>2-アミノ-3-メチル-9H-ピリド[2,3-b]インドール; MeA-a-C;メアアルファC</v>
      </c>
      <c r="H3234" s="3" t="str">
        <f ca="1">IFERROR(__xludf.DUMMYFUNCTION("googletranslate(E3234,""en"",""ja"")"),"標本中の 2-アミノ-3-メチル-9H-ピリド[2,3-b]インドールの測定。")</f>
        <v>標本中の 2-アミノ-3-メチル-9H-ピリド[2,3-b]インドールの測定。</v>
      </c>
      <c r="I3234" s="3" t="str">
        <f ca="1">IFERROR(__xludf.DUMMYFUNCTION("googletranslate(F3234,""en"",""ja"")"),"2-アミノ-3-メチル-9H-ピリド[2,3-b]インドールの測定")</f>
        <v>2-アミノ-3-メチル-9H-ピリド[2,3-b]インドールの測定</v>
      </c>
    </row>
    <row r="3235" spans="1:9" ht="30">
      <c r="A3235" s="3" t="s">
        <v>81</v>
      </c>
      <c r="B3235" s="3" t="s">
        <v>13352</v>
      </c>
      <c r="C3235" s="3" t="s">
        <v>13353</v>
      </c>
      <c r="D3235" s="3" t="s">
        <v>13353</v>
      </c>
      <c r="E3235" s="3" t="s">
        <v>13354</v>
      </c>
      <c r="F3235" s="3" t="s">
        <v>13355</v>
      </c>
      <c r="G3235" s="3" t="str">
        <f ca="1">IFERROR(__xludf.DUMMYFUNCTION("googletranslate(D3235,""en"",""ja"")"),"推定平均血圧")</f>
        <v>推定平均血圧</v>
      </c>
      <c r="H3235" s="3" t="str">
        <f ca="1">IFERROR(__xludf.DUMMYFUNCTION("googletranslate(E3235,""en"",""ja"")"),"推定平均血圧。 (NCI)")</f>
        <v>推定平均血圧。 (NCI)</v>
      </c>
      <c r="I3235" s="3" t="str">
        <f ca="1">IFERROR(__xludf.DUMMYFUNCTION("googletranslate(F3235,""en"",""ja"")"),"推定平均血圧")</f>
        <v>推定平均血圧</v>
      </c>
    </row>
    <row r="3236" spans="1:9" ht="30">
      <c r="A3236" s="3" t="s">
        <v>81</v>
      </c>
      <c r="B3236" s="3" t="s">
        <v>13356</v>
      </c>
      <c r="C3236" s="3" t="s">
        <v>13357</v>
      </c>
      <c r="D3236" s="3" t="s">
        <v>13357</v>
      </c>
      <c r="E3236" s="3" t="s">
        <v>13358</v>
      </c>
      <c r="F3236" s="3" t="s">
        <v>13357</v>
      </c>
      <c r="G3236" s="3" t="str">
        <f ca="1">IFERROR(__xludf.DUMMYFUNCTION("googletranslate(D3236,""en"",""ja"")"),"平均血管直径")</f>
        <v>平均血管直径</v>
      </c>
      <c r="H3236" s="3" t="str">
        <f ca="1">IFERROR(__xludf.DUMMYFUNCTION("googletranslate(E3236,""en"",""ja"")"),"正常な血管セグメントの内径の平均。")</f>
        <v>正常な血管セグメントの内径の平均。</v>
      </c>
      <c r="I3236" s="3" t="str">
        <f ca="1">IFERROR(__xludf.DUMMYFUNCTION("googletranslate(F3236,""en"",""ja"")"),"平均血管直径")</f>
        <v>平均血管直径</v>
      </c>
    </row>
    <row r="3237" spans="1:9">
      <c r="A3237" s="3" t="s">
        <v>5519</v>
      </c>
      <c r="B3237" s="3" t="s">
        <v>13359</v>
      </c>
      <c r="C3237" s="3" t="s">
        <v>13360</v>
      </c>
      <c r="D3237" s="3" t="s">
        <v>13360</v>
      </c>
      <c r="E3237" s="3" t="s">
        <v>13361</v>
      </c>
      <c r="F3237" s="3" t="s">
        <v>13360</v>
      </c>
      <c r="G3237" s="3" t="str">
        <f ca="1">IFERROR(__xludf.DUMMYFUNCTION("googletranslate(D3237,""en"",""ja"")"),"測定可能な腫瘍指標")</f>
        <v>測定可能な腫瘍指標</v>
      </c>
      <c r="H3237" s="3" t="str">
        <f ca="1">IFERROR(__xludf.DUMMYFUNCTION("googletranslate(E3237,""en"",""ja"")"),"測定可能な腫瘍が存在するかどうかの指標。")</f>
        <v>測定可能な腫瘍が存在するかどうかの指標。</v>
      </c>
      <c r="I3237" s="3" t="str">
        <f ca="1">IFERROR(__xludf.DUMMYFUNCTION("googletranslate(F3237,""en"",""ja"")"),"測定可能な腫瘍指標")</f>
        <v>測定可能な腫瘍指標</v>
      </c>
    </row>
    <row r="3238" spans="1:9" ht="45">
      <c r="A3238" s="3" t="s">
        <v>6394</v>
      </c>
      <c r="B3238" s="3" t="s">
        <v>13362</v>
      </c>
      <c r="C3238" s="3" t="s">
        <v>13363</v>
      </c>
      <c r="D3238" s="3" t="s">
        <v>13363</v>
      </c>
      <c r="E3238" s="3" t="s">
        <v>13364</v>
      </c>
      <c r="F3238" s="3" t="s">
        <v>13363</v>
      </c>
      <c r="G3238" s="3" t="str">
        <f ca="1">IFERROR(__xludf.DUMMYFUNCTION("googletranslate(D3238,""en"",""ja"")"),"微生物の EC50 倍数のベースラインからの変化")</f>
        <v>微生物の EC50 倍数のベースラインからの変化</v>
      </c>
      <c r="H3238" s="3" t="str">
        <f ca="1">IFERROR(__xludf.DUMMYFUNCTION("googletranslate(E3238,""en"",""ja"")"),"特定の薬剤の濃度に基づく倍率変化は、微生物の集団増殖または複製を 50% 阻害すると予想されます。 (NCI)")</f>
        <v>特定の薬剤の濃度に基づく倍率変化は、微生物の集団増殖または複製を 50% 阻害すると予想されます。 (NCI)</v>
      </c>
      <c r="I3238" s="3" t="str">
        <f ca="1">IFERROR(__xludf.DUMMYFUNCTION("googletranslate(F3238,""en"",""ja"")"),"微生物の EC50 倍数のベースラインからの変化")</f>
        <v>微生物の EC50 倍数のベースラインからの変化</v>
      </c>
    </row>
    <row r="3239" spans="1:9" ht="75">
      <c r="A3239" s="3" t="s">
        <v>6394</v>
      </c>
      <c r="B3239" s="3" t="s">
        <v>13365</v>
      </c>
      <c r="C3239" s="3" t="s">
        <v>13366</v>
      </c>
      <c r="D3239" s="3" t="s">
        <v>13367</v>
      </c>
      <c r="E3239" s="3" t="s">
        <v>13368</v>
      </c>
      <c r="F3239" s="3" t="s">
        <v>13369</v>
      </c>
      <c r="G3239" s="3" t="str">
        <f ca="1">IFERROR(__xludf.DUMMYFUNCTION("googletranslate(D3239,""en"",""ja"")"),"微生物の EC50 倍数の参考値からの変化。微生物の EC50 倍数の基準値からの変化")</f>
        <v>微生物の EC50 倍数の参考値からの変化。微生物の EC50 倍数の基準値からの変化</v>
      </c>
      <c r="H3239" s="3" t="str">
        <f ca="1">IFERROR(__xludf.DUMMYFUNCTION("googletranslate(E3239,""en"",""ja"")"),"特定の薬剤の濃度に基づく倍率変化は、微生物の集団増殖または複製を 50% 阻害すると予想されます。これは、EC50 被験者結果を EC50 参照対照で割って計算された比率です。")</f>
        <v>特定の薬剤の濃度に基づく倍率変化は、微生物の集団増殖または複製を 50% 阻害すると予想されます。これは、EC50 被験者結果を EC50 参照対照で割って計算された比率です。</v>
      </c>
      <c r="I3239" s="3" t="str">
        <f ca="1">IFERROR(__xludf.DUMMYFUNCTION("googletranslate(F3239,""en"",""ja"")"),"微生物の EC50 倍数の基準値からの変化")</f>
        <v>微生物の EC50 倍数の基準値からの変化</v>
      </c>
    </row>
    <row r="3240" spans="1:9" ht="60">
      <c r="A3240" s="3" t="s">
        <v>6394</v>
      </c>
      <c r="B3240" s="3" t="s">
        <v>13370</v>
      </c>
      <c r="C3240" s="3" t="s">
        <v>13371</v>
      </c>
      <c r="D3240" s="3" t="s">
        <v>13371</v>
      </c>
      <c r="E3240" s="3" t="s">
        <v>13372</v>
      </c>
      <c r="F3240" s="3" t="s">
        <v>13371</v>
      </c>
      <c r="G3240" s="3" t="str">
        <f ca="1">IFERROR(__xludf.DUMMYFUNCTION("googletranslate(D3240,""en"",""ja"")"),"微生物 EC50 参照対照結果")</f>
        <v>微生物 EC50 参照対照結果</v>
      </c>
      <c r="H3240" s="3" t="str">
        <f ca="1">IFERROR(__xludf.DUMMYFUNCTION("googletranslate(E3240,""en"",""ja"")"),"特定の薬物の濃度に基づく参照対照サンプルの反応は、微生物の集団増殖または複製を 50% 阻害すると予想されます。 (NCI)")</f>
        <v>特定の薬物の濃度に基づく参照対照サンプルの反応は、微生物の集団増殖または複製を 50% 阻害すると予想されます。 (NCI)</v>
      </c>
      <c r="I3240" s="3" t="str">
        <f ca="1">IFERROR(__xludf.DUMMYFUNCTION("googletranslate(F3240,""en"",""ja"")"),"微生物 EC50 参照対照結果")</f>
        <v>微生物 EC50 参照対照結果</v>
      </c>
    </row>
    <row r="3241" spans="1:9" ht="60">
      <c r="A3241" s="3" t="s">
        <v>6394</v>
      </c>
      <c r="B3241" s="3" t="s">
        <v>13373</v>
      </c>
      <c r="C3241" s="3" t="s">
        <v>13374</v>
      </c>
      <c r="D3241" s="3" t="s">
        <v>13374</v>
      </c>
      <c r="E3241" s="3" t="s">
        <v>13375</v>
      </c>
      <c r="F3241" s="3" t="s">
        <v>13374</v>
      </c>
      <c r="G3241" s="3" t="str">
        <f ca="1">IFERROR(__xludf.DUMMYFUNCTION("googletranslate(D3241,""en"",""ja"")"),"微生物 EC50 被験者の結果")</f>
        <v>微生物 EC50 被験者の結果</v>
      </c>
      <c r="H3241" s="3" t="str">
        <f ca="1">IFERROR(__xludf.DUMMYFUNCTION("googletranslate(E3241,""en"",""ja"")"),"微生物の集団増殖または複製を 50% 阻害すると予想される特定の薬剤の濃度に曝露された微生物の力価の測定。 (NCI)")</f>
        <v>微生物の集団増殖または複製を 50% 阻害すると予想される特定の薬剤の濃度に曝露された微生物の力価の測定。 (NCI)</v>
      </c>
      <c r="I3241" s="3" t="str">
        <f ca="1">IFERROR(__xludf.DUMMYFUNCTION("googletranslate(F3241,""en"",""ja"")"),"微生物 EC50 被験者の結果")</f>
        <v>微生物 EC50 被験者の結果</v>
      </c>
    </row>
    <row r="3242" spans="1:9">
      <c r="A3242" s="3" t="s">
        <v>6</v>
      </c>
      <c r="B3242" s="3" t="s">
        <v>13376</v>
      </c>
      <c r="C3242" s="3" t="s">
        <v>13377</v>
      </c>
      <c r="D3242" s="3" t="s">
        <v>13377</v>
      </c>
      <c r="E3242" s="3" t="s">
        <v>13378</v>
      </c>
      <c r="F3242" s="3" t="s">
        <v>13379</v>
      </c>
      <c r="G3242" s="3" t="str">
        <f ca="1">IFERROR(__xludf.DUMMYFUNCTION("googletranslate(D3242,""en"",""ja"")"),"胎便")</f>
        <v>胎便</v>
      </c>
      <c r="H3242" s="3" t="str">
        <f ca="1">IFERROR(__xludf.DUMMYFUNCTION("googletranslate(E3242,""en"",""ja"")"),"生物学的標本中の胎便の測定。")</f>
        <v>生物学的標本中の胎便の測定。</v>
      </c>
      <c r="I3242" s="3" t="str">
        <f ca="1">IFERROR(__xludf.DUMMYFUNCTION("googletranslate(F3242,""en"",""ja"")"),"胎便の測定")</f>
        <v>胎便の測定</v>
      </c>
    </row>
    <row r="3243" spans="1:9">
      <c r="A3243" s="3" t="s">
        <v>142</v>
      </c>
      <c r="B3243" s="3" t="s">
        <v>13380</v>
      </c>
      <c r="C3243" s="3" t="s">
        <v>13381</v>
      </c>
      <c r="D3243" s="3" t="s">
        <v>13381</v>
      </c>
      <c r="E3243" s="3" t="s">
        <v>13382</v>
      </c>
      <c r="F3243" s="3" t="s">
        <v>13383</v>
      </c>
      <c r="G3243" s="3" t="str">
        <f ca="1">IFERROR(__xludf.DUMMYFUNCTION("googletranslate(D3243,""en"",""ja"")"),"初潮年齢")</f>
        <v>初潮年齢</v>
      </c>
      <c r="H3243" s="3" t="str">
        <f ca="1">IFERROR(__xludf.DUMMYFUNCTION("googletranslate(E3243,""en"",""ja"")"),"最初の月経が起こった年齢。 (NCI)")</f>
        <v>最初の月経が起こった年齢。 (NCI)</v>
      </c>
      <c r="I3243" s="3" t="str">
        <f ca="1">IFERROR(__xludf.DUMMYFUNCTION("googletranslate(F3243,""en"",""ja"")"),"初潮年齢")</f>
        <v>初潮年齢</v>
      </c>
    </row>
    <row r="3244" spans="1:9" ht="30">
      <c r="A3244" s="3" t="s">
        <v>142</v>
      </c>
      <c r="B3244" s="3" t="s">
        <v>13384</v>
      </c>
      <c r="C3244" s="3" t="s">
        <v>13385</v>
      </c>
      <c r="D3244" s="3" t="s">
        <v>13385</v>
      </c>
      <c r="E3244" s="3" t="s">
        <v>13386</v>
      </c>
      <c r="F3244" s="3" t="s">
        <v>13385</v>
      </c>
      <c r="G3244" s="3" t="str">
        <f ca="1">IFERROR(__xludf.DUMMYFUNCTION("googletranslate(D3244,""en"",""ja"")"),"初潮インジケーター")</f>
        <v>初潮インジケーター</v>
      </c>
      <c r="H3244" s="3" t="str">
        <f ca="1">IFERROR(__xludf.DUMMYFUNCTION("googletranslate(E3244,""en"",""ja"")"),"個人の最初の月経イベントが発生したかどうかに関する指標。")</f>
        <v>個人の最初の月経イベントが発生したかどうかに関する指標。</v>
      </c>
      <c r="I3244" s="3" t="str">
        <f ca="1">IFERROR(__xludf.DUMMYFUNCTION("googletranslate(F3244,""en"",""ja"")"),"初潮インジケーター")</f>
        <v>初潮インジケーター</v>
      </c>
    </row>
    <row r="3245" spans="1:9" ht="30">
      <c r="A3245" s="3" t="s">
        <v>142</v>
      </c>
      <c r="B3245" s="3" t="s">
        <v>13387</v>
      </c>
      <c r="C3245" s="3" t="s">
        <v>13388</v>
      </c>
      <c r="D3245" s="3" t="s">
        <v>13388</v>
      </c>
      <c r="E3245" s="3" t="s">
        <v>13389</v>
      </c>
      <c r="F3245" s="3" t="s">
        <v>13390</v>
      </c>
      <c r="G3245" s="3" t="str">
        <f ca="1">IFERROR(__xludf.DUMMYFUNCTION("googletranslate(D3245,""en"",""ja"")"),"月経の流れの持続時間")</f>
        <v>月経の流れの持続時間</v>
      </c>
      <c r="H3245" s="3" t="str">
        <f ca="1">IFERROR(__xludf.DUMMYFUNCTION("googletranslate(E3245,""en"",""ja"")"),"月経が子宮から排出される期間。")</f>
        <v>月経が子宮から排出される期間。</v>
      </c>
      <c r="I3245" s="3" t="str">
        <f ca="1">IFERROR(__xludf.DUMMYFUNCTION("googletranslate(F3245,""en"",""ja"")"),"月経期間")</f>
        <v>月経期間</v>
      </c>
    </row>
    <row r="3246" spans="1:9" ht="30">
      <c r="A3246" s="3" t="s">
        <v>142</v>
      </c>
      <c r="B3246" s="3" t="s">
        <v>13391</v>
      </c>
      <c r="C3246" s="3" t="s">
        <v>13392</v>
      </c>
      <c r="D3246" s="3" t="s">
        <v>13392</v>
      </c>
      <c r="E3246" s="3" t="s">
        <v>13393</v>
      </c>
      <c r="F3246" s="3" t="s">
        <v>13392</v>
      </c>
      <c r="G3246" s="3" t="str">
        <f ca="1">IFERROR(__xludf.DUMMYFUNCTION("googletranslate(D3246,""en"",""ja"")"),"月経血流量の説明")</f>
        <v>月経血流量の説明</v>
      </c>
      <c r="H3246" s="3" t="str">
        <f ca="1">IFERROR(__xludf.DUMMYFUNCTION("googletranslate(E3246,""en"",""ja"")"),"月経周期中の月経血の流量を主観的に表現したもの。")</f>
        <v>月経周期中の月経血の流量を主観的に表現したもの。</v>
      </c>
      <c r="I3246" s="3" t="str">
        <f ca="1">IFERROR(__xludf.DUMMYFUNCTION("googletranslate(F3246,""en"",""ja"")"),"月経血流量の説明")</f>
        <v>月経血流量の説明</v>
      </c>
    </row>
    <row r="3247" spans="1:9" ht="30">
      <c r="A3247" s="3" t="s">
        <v>6</v>
      </c>
      <c r="B3247" s="3" t="s">
        <v>13394</v>
      </c>
      <c r="C3247" s="3" t="s">
        <v>13395</v>
      </c>
      <c r="D3247" s="3" t="s">
        <v>13395</v>
      </c>
      <c r="E3247" s="3" t="s">
        <v>13396</v>
      </c>
      <c r="F3247" s="3" t="s">
        <v>13397</v>
      </c>
      <c r="G3247" s="3" t="str">
        <f ca="1">IFERROR(__xludf.DUMMYFUNCTION("googletranslate(D3247,""en"",""ja"")"),"髄膜細胞")</f>
        <v>髄膜細胞</v>
      </c>
      <c r="H3247" s="3" t="str">
        <f ca="1">IFERROR(__xludf.DUMMYFUNCTION("googletranslate(E3247,""en"",""ja"")"),"生物学的標本中の髄膜細胞の測定。")</f>
        <v>生物学的標本中の髄膜細胞の測定。</v>
      </c>
      <c r="I3247" s="3" t="str">
        <f ca="1">IFERROR(__xludf.DUMMYFUNCTION("googletranslate(F3247,""en"",""ja"")"),"髄膜細胞数")</f>
        <v>髄膜細胞数</v>
      </c>
    </row>
    <row r="3248" spans="1:9" ht="30">
      <c r="A3248" s="3" t="s">
        <v>6</v>
      </c>
      <c r="B3248" s="3" t="s">
        <v>13398</v>
      </c>
      <c r="C3248" s="3" t="s">
        <v>13399</v>
      </c>
      <c r="D3248" s="3" t="s">
        <v>13399</v>
      </c>
      <c r="E3248" s="3" t="s">
        <v>13400</v>
      </c>
      <c r="F3248" s="3" t="s">
        <v>13401</v>
      </c>
      <c r="G3248" s="3" t="str">
        <f ca="1">IFERROR(__xludf.DUMMYFUNCTION("googletranslate(D3248,""en"",""ja"")"),"髄膜細胞/全細胞")</f>
        <v>髄膜細胞/全細胞</v>
      </c>
      <c r="H3248" s="3" t="str">
        <f ca="1">IFERROR(__xludf.DUMMYFUNCTION("googletranslate(E3248,""en"",""ja"")"),"生物学的標本の全細胞に対する髄膜細胞の相対的な測定値 (比率またはパーセンテージ)。")</f>
        <v>生物学的標本の全細胞に対する髄膜細胞の相対的な測定値 (比率またはパーセンテージ)。</v>
      </c>
      <c r="I3248" s="3" t="str">
        <f ca="1">IFERROR(__xludf.DUMMYFUNCTION("googletranslate(F3248,""en"",""ja"")"),"髄膜細胞と総細胞の比率の測定")</f>
        <v>髄膜細胞と総細胞の比率の測定</v>
      </c>
    </row>
    <row r="3249" spans="1:9" ht="30">
      <c r="A3249" s="3" t="s">
        <v>142</v>
      </c>
      <c r="B3249" s="3" t="s">
        <v>13402</v>
      </c>
      <c r="C3249" s="3" t="s">
        <v>13403</v>
      </c>
      <c r="D3249" s="3" t="s">
        <v>13403</v>
      </c>
      <c r="E3249" s="3" t="s">
        <v>13404</v>
      </c>
      <c r="F3249" s="3" t="s">
        <v>13405</v>
      </c>
      <c r="G3249" s="3" t="str">
        <f ca="1">IFERROR(__xludf.DUMMYFUNCTION("googletranslate(D3249,""en"",""ja"")"),"閉経年齢")</f>
        <v>閉経年齢</v>
      </c>
      <c r="H3249" s="3" t="str">
        <f ca="1">IFERROR(__xludf.DUMMYFUNCTION("googletranslate(E3249,""en"",""ja"")"),"月経が永久に停止した年齢。 (NCI)")</f>
        <v>月経が永久に停止した年齢。 (NCI)</v>
      </c>
      <c r="I3249" s="3" t="str">
        <f ca="1">IFERROR(__xludf.DUMMYFUNCTION("googletranslate(F3249,""en"",""ja"")"),"閉経年齢")</f>
        <v>閉経年齢</v>
      </c>
    </row>
    <row r="3250" spans="1:9">
      <c r="A3250" s="3" t="s">
        <v>142</v>
      </c>
      <c r="B3250" s="3" t="s">
        <v>13406</v>
      </c>
      <c r="C3250" s="3" t="s">
        <v>13407</v>
      </c>
      <c r="D3250" s="3" t="s">
        <v>13407</v>
      </c>
      <c r="E3250" s="3" t="s">
        <v>13408</v>
      </c>
      <c r="F3250" s="3" t="s">
        <v>13407</v>
      </c>
      <c r="G3250" s="3" t="str">
        <f ca="1">IFERROR(__xludf.DUMMYFUNCTION("googletranslate(D3250,""en"",""ja"")"),"更年期障害の状態")</f>
        <v>更年期障害の状態</v>
      </c>
      <c r="H3250" s="3" t="str">
        <f ca="1">IFERROR(__xludf.DUMMYFUNCTION("googletranslate(E3250,""en"",""ja"")"),"閉経に関する女性の立場。")</f>
        <v>閉経に関する女性の立場。</v>
      </c>
      <c r="I3250" s="3" t="str">
        <f ca="1">IFERROR(__xludf.DUMMYFUNCTION("googletranslate(F3250,""en"",""ja"")"),"更年期障害の状態")</f>
        <v>更年期障害の状態</v>
      </c>
    </row>
    <row r="3251" spans="1:9" ht="30">
      <c r="A3251" s="3" t="s">
        <v>142</v>
      </c>
      <c r="B3251" s="3" t="s">
        <v>13409</v>
      </c>
      <c r="C3251" s="3" t="s">
        <v>13410</v>
      </c>
      <c r="D3251" s="3" t="s">
        <v>13410</v>
      </c>
      <c r="E3251" s="3" t="s">
        <v>13411</v>
      </c>
      <c r="F3251" s="3" t="s">
        <v>13410</v>
      </c>
      <c r="G3251" s="3" t="str">
        <f ca="1">IFERROR(__xludf.DUMMYFUNCTION("googletranslate(D3251,""en"",""ja"")"),"月経周期の規則性")</f>
        <v>月経周期の規則性</v>
      </c>
      <c r="H3251" s="3" t="str">
        <f ca="1">IFERROR(__xludf.DUMMYFUNCTION("googletranslate(E3251,""en"",""ja"")"),"個人の月経周期がどのように一貫した時間的パターンに従っているかを説明するもの。")</f>
        <v>個人の月経周期がどのように一貫した時間的パターンに従っているかを説明するもの。</v>
      </c>
      <c r="I3251" s="3" t="str">
        <f ca="1">IFERROR(__xludf.DUMMYFUNCTION("googletranslate(F3251,""en"",""ja"")"),"月経周期の規則性")</f>
        <v>月経周期の規則性</v>
      </c>
    </row>
    <row r="3252" spans="1:9" ht="45">
      <c r="A3252" s="3" t="s">
        <v>142</v>
      </c>
      <c r="B3252" s="3" t="s">
        <v>13412</v>
      </c>
      <c r="C3252" s="3" t="s">
        <v>13413</v>
      </c>
      <c r="D3252" s="3" t="s">
        <v>13413</v>
      </c>
      <c r="E3252" s="3" t="s">
        <v>13414</v>
      </c>
      <c r="F3252" s="3" t="s">
        <v>13413</v>
      </c>
      <c r="G3252" s="3" t="str">
        <f ca="1">IFERROR(__xludf.DUMMYFUNCTION("googletranslate(D3252,""en"",""ja"")"),"月経周期の期間")</f>
        <v>月経周期の期間</v>
      </c>
      <c r="H3252" s="3" t="str">
        <f ca="1">IFERROR(__xludf.DUMMYFUNCTION("googletranslate(E3252,""en"",""ja"")"),"月経周期の時間の長さ。月経周期の始まりから次の月経周期の始まりまでを測定します。")</f>
        <v>月経周期の時間の長さ。月経周期の始まりから次の月経周期の始まりまでを測定します。</v>
      </c>
      <c r="I3252" s="3" t="str">
        <f ca="1">IFERROR(__xludf.DUMMYFUNCTION("googletranslate(F3252,""en"",""ja"")"),"月経周期の期間")</f>
        <v>月経周期の期間</v>
      </c>
    </row>
    <row r="3253" spans="1:9" ht="30">
      <c r="A3253" s="3" t="s">
        <v>142</v>
      </c>
      <c r="B3253" s="3" t="s">
        <v>13415</v>
      </c>
      <c r="C3253" s="3" t="s">
        <v>13416</v>
      </c>
      <c r="D3253" s="3" t="s">
        <v>13417</v>
      </c>
      <c r="E3253" s="3" t="s">
        <v>13418</v>
      </c>
      <c r="F3253" s="3" t="s">
        <v>13416</v>
      </c>
      <c r="G3253" s="3" t="str">
        <f ca="1">IFERROR(__xludf.DUMMYFUNCTION("googletranslate(D3253,""en"",""ja"")"),"平均月経周期;平均月経周期の長さ")</f>
        <v>平均月経周期;平均月経周期の長さ</v>
      </c>
      <c r="H3253" s="3" t="str">
        <f ca="1">IFERROR(__xludf.DUMMYFUNCTION("googletranslate(E3253,""en"",""ja"")"),"月経周期の平均的な長さ。")</f>
        <v>月経周期の平均的な長さ。</v>
      </c>
      <c r="I3253" s="3" t="str">
        <f ca="1">IFERROR(__xludf.DUMMYFUNCTION("googletranslate(F3253,""en"",""ja"")"),"平均月経周期")</f>
        <v>平均月経周期</v>
      </c>
    </row>
    <row r="3254" spans="1:9" ht="45">
      <c r="A3254" s="3" t="s">
        <v>490</v>
      </c>
      <c r="B3254" s="3" t="s">
        <v>13419</v>
      </c>
      <c r="C3254" s="3" t="s">
        <v>13420</v>
      </c>
      <c r="D3254" s="3" t="s">
        <v>13420</v>
      </c>
      <c r="E3254" s="3" t="s">
        <v>13421</v>
      </c>
      <c r="F3254" s="3" t="s">
        <v>13420</v>
      </c>
      <c r="G3254" s="3" t="str">
        <f ca="1">IFERROR(__xludf.DUMMYFUNCTION("googletranslate(D3254,""en"",""ja"")"),"最大呼気圧力")</f>
        <v>最大呼気圧力</v>
      </c>
      <c r="H3254" s="3" t="str">
        <f ca="1">IFERROR(__xludf.DUMMYFUNCTION("googletranslate(E3254,""en"",""ja"")"),"マウスピースに対して息を吐き出すことによって発生する最大の圧力。これは呼吸筋の強さの尺度です。 (NCI)")</f>
        <v>マウスピースに対して息を吐き出すことによって発生する最大の圧力。これは呼吸筋の強さの尺度です。 (NCI)</v>
      </c>
      <c r="I3254" s="3" t="str">
        <f ca="1">IFERROR(__xludf.DUMMYFUNCTION("googletranslate(F3254,""en"",""ja"")"),"最大呼気圧力")</f>
        <v>最大呼気圧力</v>
      </c>
    </row>
    <row r="3255" spans="1:9" ht="60">
      <c r="A3255" s="3" t="s">
        <v>490</v>
      </c>
      <c r="B3255" s="3" t="s">
        <v>13422</v>
      </c>
      <c r="C3255" s="3" t="s">
        <v>13423</v>
      </c>
      <c r="D3255" s="3" t="s">
        <v>13423</v>
      </c>
      <c r="E3255" s="3" t="s">
        <v>13424</v>
      </c>
      <c r="F3255" s="3" t="s">
        <v>13425</v>
      </c>
      <c r="G3255" s="3" t="str">
        <f ca="1">IFERROR(__xludf.DUMMYFUNCTION("googletranslate(D3255,""en"",""ja"")"),"予測された MEP の割合")</f>
        <v>予測された MEP の割合</v>
      </c>
      <c r="H3255" s="3" t="str">
        <f ca="1">IFERROR(__xludf.DUMMYFUNCTION("googletranslate(E3255,""en"",""ja"")"),"マウスピースに対して息を吐き出すことによって生成できる最大の圧力。これは、予測された正常値の割合として表される呼吸筋の強さの尺度です。 (NCI)")</f>
        <v>マウスピースに対して息を吐き出すことによって生成できる最大の圧力。これは、予測された正常値の割合として表される呼吸筋の強さの尺度です。 (NCI)</v>
      </c>
      <c r="I3255" s="3" t="str">
        <f ca="1">IFERROR(__xludf.DUMMYFUNCTION("googletranslate(F3255,""en"",""ja"")"),"予測最大呼気圧力のパーセント")</f>
        <v>予測最大呼気圧力のパーセント</v>
      </c>
    </row>
    <row r="3256" spans="1:9">
      <c r="A3256" s="3" t="s">
        <v>6</v>
      </c>
      <c r="B3256" s="3" t="s">
        <v>13426</v>
      </c>
      <c r="C3256" s="3" t="s">
        <v>13427</v>
      </c>
      <c r="D3256" s="3" t="s">
        <v>13427</v>
      </c>
      <c r="E3256" s="3" t="s">
        <v>13428</v>
      </c>
      <c r="F3256" s="3" t="s">
        <v>13429</v>
      </c>
      <c r="G3256" s="3" t="str">
        <f ca="1">IFERROR(__xludf.DUMMYFUNCTION("googletranslate(D3256,""en"",""ja"")"),"メペリジン")</f>
        <v>メペリジン</v>
      </c>
      <c r="H3256" s="3" t="str">
        <f ca="1">IFERROR(__xludf.DUMMYFUNCTION("googletranslate(E3256,""en"",""ja"")"),"生物学的標本中のメペリジンの測定。")</f>
        <v>生物学的標本中のメペリジンの測定。</v>
      </c>
      <c r="I3256" s="3" t="str">
        <f ca="1">IFERROR(__xludf.DUMMYFUNCTION("googletranslate(F3256,""en"",""ja"")"),"メペリジンの測定")</f>
        <v>メペリジンの測定</v>
      </c>
    </row>
    <row r="3257" spans="1:9" ht="75">
      <c r="A3257" s="3" t="s">
        <v>6</v>
      </c>
      <c r="B3257" s="3" t="s">
        <v>13430</v>
      </c>
      <c r="C3257" s="3" t="s">
        <v>13431</v>
      </c>
      <c r="D3257" s="3" t="s">
        <v>13432</v>
      </c>
      <c r="E3257" s="3" t="s">
        <v>13433</v>
      </c>
      <c r="F3257" s="3" t="s">
        <v>13434</v>
      </c>
      <c r="G3257" s="3" t="str">
        <f ca="1">IFERROR(__xludf.DUMMYFUNCTION("googletranslate(D3257,""en"",""ja"")"),"赤血球前駆細胞/全細胞;成熟赤血球細胞/全細胞;赤血球/全細胞の成熟;赤血球前駆細胞の総数/細胞の総数")</f>
        <v>赤血球前駆細胞/全細胞;成熟赤血球細胞/全細胞;赤血球/全細胞の成熟;赤血球前駆細胞の総数/細胞の総数</v>
      </c>
      <c r="H3257" s="3" t="str">
        <f ca="1">IFERROR(__xludf.DUMMYFUNCTION("googletranslate(E3257,""en"",""ja"")"),"生物学的標本の全細胞に対する成熟赤血球系細胞の相対的な測定値 (比率またはパーセンテージ)。")</f>
        <v>生物学的標本の全細胞に対する成熟赤血球系細胞の相対的な測定値 (比率またはパーセンテージ)。</v>
      </c>
      <c r="I3257" s="3" t="str">
        <f ca="1">IFERROR(__xludf.DUMMYFUNCTION("googletranslate(F3257,""en"",""ja"")"),"成熟赤血球細胞対総細胞比の測定")</f>
        <v>成熟赤血球細胞対総細胞比の測定</v>
      </c>
    </row>
    <row r="3258" spans="1:9">
      <c r="A3258" s="3" t="s">
        <v>6</v>
      </c>
      <c r="B3258" s="3" t="s">
        <v>13435</v>
      </c>
      <c r="C3258" s="3" t="s">
        <v>13436</v>
      </c>
      <c r="D3258" s="3" t="s">
        <v>13437</v>
      </c>
      <c r="E3258" s="3" t="s">
        <v>13438</v>
      </c>
      <c r="F3258" s="3" t="s">
        <v>13439</v>
      </c>
      <c r="G3258" s="3" t="str">
        <f ca="1">IFERROR(__xludf.DUMMYFUNCTION("googletranslate(D3258,""en"",""ja"")"),"水銀;水銀")</f>
        <v>水銀;水銀</v>
      </c>
      <c r="H3258" s="3" t="str">
        <f ca="1">IFERROR(__xludf.DUMMYFUNCTION("googletranslate(E3258,""en"",""ja"")"),"試料中の水銀の測定。")</f>
        <v>試料中の水銀の測定。</v>
      </c>
      <c r="I3258" s="3" t="str">
        <f ca="1">IFERROR(__xludf.DUMMYFUNCTION("googletranslate(F3258,""en"",""ja"")"),"水銀測定")</f>
        <v>水銀測定</v>
      </c>
    </row>
    <row r="3259" spans="1:9">
      <c r="A3259" s="3" t="s">
        <v>51</v>
      </c>
      <c r="B3259" s="3" t="s">
        <v>13435</v>
      </c>
      <c r="C3259" s="3" t="s">
        <v>13436</v>
      </c>
      <c r="D3259" s="3" t="s">
        <v>13437</v>
      </c>
      <c r="E3259" s="3" t="s">
        <v>13438</v>
      </c>
      <c r="F3259" s="3" t="s">
        <v>13439</v>
      </c>
      <c r="G3259" s="3" t="str">
        <f ca="1">IFERROR(__xludf.DUMMYFUNCTION("googletranslate(D3259,""en"",""ja"")"),"水銀;水銀")</f>
        <v>水銀;水銀</v>
      </c>
      <c r="H3259" s="3" t="str">
        <f ca="1">IFERROR(__xludf.DUMMYFUNCTION("googletranslate(E3259,""en"",""ja"")"),"試料中の水銀の測定。")</f>
        <v>試料中の水銀の測定。</v>
      </c>
      <c r="I3259" s="3" t="str">
        <f ca="1">IFERROR(__xludf.DUMMYFUNCTION("googletranslate(F3259,""en"",""ja"")"),"水銀測定")</f>
        <v>水銀測定</v>
      </c>
    </row>
    <row r="3260" spans="1:9" ht="30">
      <c r="A3260" s="3" t="s">
        <v>67</v>
      </c>
      <c r="B3260" s="3" t="s">
        <v>13440</v>
      </c>
      <c r="C3260" s="3" t="s">
        <v>13441</v>
      </c>
      <c r="D3260" s="3" t="s">
        <v>13441</v>
      </c>
      <c r="E3260" s="3" t="s">
        <v>13442</v>
      </c>
      <c r="F3260" s="3" t="s">
        <v>13443</v>
      </c>
      <c r="G3260" s="3" t="str">
        <f ca="1">IFERROR(__xludf.DUMMYFUNCTION("googletranslate(D3260,""en"",""ja"")"),"MERS-CoV RNA")</f>
        <v>MERS-CoV RNA</v>
      </c>
      <c r="H3260" s="3" t="str">
        <f ca="1">IFERROR(__xludf.DUMMYFUNCTION("googletranslate(E3260,""en"",""ja"")"),"生物学的検体中の MERS-CoV RNA の測定。")</f>
        <v>生物学的検体中の MERS-CoV RNA の測定。</v>
      </c>
      <c r="I3260" s="3" t="str">
        <f ca="1">IFERROR(__xludf.DUMMYFUNCTION("googletranslate(F3260,""en"",""ja"")"),"MERS-CoV RNA測定")</f>
        <v>MERS-CoV RNA測定</v>
      </c>
    </row>
    <row r="3261" spans="1:9" ht="30">
      <c r="A3261" s="3" t="s">
        <v>6</v>
      </c>
      <c r="B3261" s="3" t="s">
        <v>13444</v>
      </c>
      <c r="C3261" s="3" t="s">
        <v>13445</v>
      </c>
      <c r="D3261" s="3" t="s">
        <v>13446</v>
      </c>
      <c r="E3261" s="3" t="s">
        <v>13447</v>
      </c>
      <c r="F3261" s="3" t="s">
        <v>13448</v>
      </c>
      <c r="G3261" s="3" t="str">
        <f ca="1">IFERROR(__xludf.DUMMYFUNCTION("googletranslate(D3261,""en"",""ja"")"),"3,4,5-トリメトキシフェネチルアミン;メスカリン")</f>
        <v>3,4,5-トリメトキシフェネチルアミン;メスカリン</v>
      </c>
      <c r="H3261" s="3" t="str">
        <f ca="1">IFERROR(__xludf.DUMMYFUNCTION("googletranslate(E3261,""en"",""ja"")"),"生物学的標本中のメスカリンの測定。")</f>
        <v>生物学的標本中のメスカリンの測定。</v>
      </c>
      <c r="I3261" s="3" t="str">
        <f ca="1">IFERROR(__xludf.DUMMYFUNCTION("googletranslate(F3261,""en"",""ja"")"),"メスカリン測定")</f>
        <v>メスカリン測定</v>
      </c>
    </row>
    <row r="3262" spans="1:9">
      <c r="A3262" s="3" t="s">
        <v>6</v>
      </c>
      <c r="B3262" s="3" t="s">
        <v>13449</v>
      </c>
      <c r="C3262" s="3" t="s">
        <v>13450</v>
      </c>
      <c r="D3262" s="3" t="s">
        <v>13450</v>
      </c>
      <c r="E3262" s="3" t="s">
        <v>13451</v>
      </c>
      <c r="F3262" s="3" t="s">
        <v>13452</v>
      </c>
      <c r="G3262" s="3" t="str">
        <f ca="1">IFERROR(__xludf.DUMMYFUNCTION("googletranslate(D3262,""en"",""ja"")"),"メソリダジン")</f>
        <v>メソリダジン</v>
      </c>
      <c r="H3262" s="3" t="str">
        <f ca="1">IFERROR(__xludf.DUMMYFUNCTION("googletranslate(E3262,""en"",""ja"")"),"生物学的標本中のメソリダジンの測定。")</f>
        <v>生物学的標本中のメソリダジンの測定。</v>
      </c>
      <c r="I3262" s="3" t="str">
        <f ca="1">IFERROR(__xludf.DUMMYFUNCTION("googletranslate(F3262,""en"",""ja"")"),"メソリダジンの測定")</f>
        <v>メソリダジンの測定</v>
      </c>
    </row>
    <row r="3263" spans="1:9">
      <c r="A3263" s="3" t="s">
        <v>6</v>
      </c>
      <c r="B3263" s="3" t="s">
        <v>13453</v>
      </c>
      <c r="C3263" s="3" t="s">
        <v>13454</v>
      </c>
      <c r="D3263" s="3" t="s">
        <v>13454</v>
      </c>
      <c r="E3263" s="3" t="s">
        <v>13455</v>
      </c>
      <c r="F3263" s="3" t="s">
        <v>13456</v>
      </c>
      <c r="G3263" s="3" t="str">
        <f ca="1">IFERROR(__xludf.DUMMYFUNCTION("googletranslate(D3263,""en"",""ja"")"),"メチオニン")</f>
        <v>メチオニン</v>
      </c>
      <c r="H3263" s="3" t="str">
        <f ca="1">IFERROR(__xludf.DUMMYFUNCTION("googletranslate(E3263,""en"",""ja"")"),"生物学的標本中のメチオニンの測定。")</f>
        <v>生物学的標本中のメチオニンの測定。</v>
      </c>
      <c r="I3263" s="3" t="str">
        <f ca="1">IFERROR(__xludf.DUMMYFUNCTION("googletranslate(F3263,""en"",""ja"")"),"メチオニンの測定")</f>
        <v>メチオニンの測定</v>
      </c>
    </row>
    <row r="3264" spans="1:9" ht="45">
      <c r="A3264" s="3" t="s">
        <v>6</v>
      </c>
      <c r="B3264" s="3" t="s">
        <v>13457</v>
      </c>
      <c r="C3264" s="3" t="s">
        <v>13458</v>
      </c>
      <c r="D3264" s="3" t="s">
        <v>13458</v>
      </c>
      <c r="E3264" s="3" t="s">
        <v>13459</v>
      </c>
      <c r="F3264" s="3" t="s">
        <v>13460</v>
      </c>
      <c r="G3264" s="3" t="str">
        <f ca="1">IFERROR(__xludf.DUMMYFUNCTION("googletranslate(D3264,""en"",""ja"")"),"メタ骨髄球")</f>
        <v>メタ骨髄球</v>
      </c>
      <c r="H3264" s="3" t="str">
        <f ca="1">IFERROR(__xludf.DUMMYFUNCTION("googletranslate(E3264,""en"",""ja"")"),"生物学的標本中の後骨髄球 (凹んだ核を持つ小さな骨髄球性好中球) の測定。")</f>
        <v>生物学的標本中の後骨髄球 (凹んだ核を持つ小さな骨髄球性好中球) の測定。</v>
      </c>
      <c r="I3264" s="3" t="str">
        <f ca="1">IFERROR(__xludf.DUMMYFUNCTION("googletranslate(F3264,""en"",""ja"")"),"後骨髄球数")</f>
        <v>後骨髄球数</v>
      </c>
    </row>
    <row r="3265" spans="1:9" ht="60">
      <c r="A3265" s="3" t="s">
        <v>6</v>
      </c>
      <c r="B3265" s="3" t="s">
        <v>13461</v>
      </c>
      <c r="C3265" s="3" t="s">
        <v>13462</v>
      </c>
      <c r="D3265" s="3" t="s">
        <v>13462</v>
      </c>
      <c r="E3265" s="3" t="s">
        <v>13463</v>
      </c>
      <c r="F3265" s="3" t="s">
        <v>13464</v>
      </c>
      <c r="G3265" s="3" t="str">
        <f ca="1">IFERROR(__xludf.DUMMYFUNCTION("googletranslate(D3265,""en"",""ja"")"),"メタ骨髄球/全細胞")</f>
        <v>メタ骨髄球/全細胞</v>
      </c>
      <c r="H3265" s="3" t="str">
        <f ca="1">IFERROR(__xludf.DUMMYFUNCTION("googletranslate(E3265,""en"",""ja"")"),"生物学的標本（骨髄標本など）中の全細胞に対する後骨髄球（凹んだ核を持つ小さな骨髄球性好中球）の相対測定値（比率またはパーセンテージ）。")</f>
        <v>生物学的標本（骨髄標本など）中の全細胞に対する後骨髄球（凹んだ核を持つ小さな骨髄球性好中球）の相対測定値（比率またはパーセンテージ）。</v>
      </c>
      <c r="I3265" s="3" t="str">
        <f ca="1">IFERROR(__xludf.DUMMYFUNCTION("googletranslate(F3265,""en"",""ja"")"),"メタ骨髄球対総細胞比の測定")</f>
        <v>メタ骨髄球対総細胞比の測定</v>
      </c>
    </row>
    <row r="3266" spans="1:9" ht="45">
      <c r="A3266" s="3" t="s">
        <v>6</v>
      </c>
      <c r="B3266" s="3" t="s">
        <v>13465</v>
      </c>
      <c r="C3266" s="3" t="s">
        <v>13466</v>
      </c>
      <c r="D3266" s="3" t="s">
        <v>13466</v>
      </c>
      <c r="E3266" s="3" t="s">
        <v>13467</v>
      </c>
      <c r="F3266" s="3" t="s">
        <v>13468</v>
      </c>
      <c r="G3266" s="3" t="str">
        <f ca="1">IFERROR(__xludf.DUMMYFUNCTION("googletranslate(D3266,""en"",""ja"")"),"メタ骨髄球/白血球")</f>
        <v>メタ骨髄球/白血球</v>
      </c>
      <c r="H3266" s="3" t="str">
        <f ca="1">IFERROR(__xludf.DUMMYFUNCTION("googletranslate(E3266,""en"",""ja"")"),"生物学的標本中のすべての白血球に対する後骨髄球 (凹んだ核を持つ小さな骨髄性好中球) の相対測定値 (比率またはパーセンテージ)。")</f>
        <v>生物学的標本中のすべての白血球に対する後骨髄球 (凹んだ核を持つ小さな骨髄性好中球) の相対測定値 (比率またはパーセンテージ)。</v>
      </c>
      <c r="I3266" s="3" t="str">
        <f ca="1">IFERROR(__xludf.DUMMYFUNCTION("googletranslate(F3266,""en"",""ja"")"),"メタ骨髄球と白血球の比率の測定")</f>
        <v>メタ骨髄球と白血球の比率の測定</v>
      </c>
    </row>
    <row r="3267" spans="1:9">
      <c r="A3267" s="3" t="s">
        <v>6</v>
      </c>
      <c r="B3267" s="3" t="s">
        <v>13469</v>
      </c>
      <c r="C3267" s="3" t="s">
        <v>13470</v>
      </c>
      <c r="D3267" s="3" t="s">
        <v>13471</v>
      </c>
      <c r="E3267" s="3" t="s">
        <v>13472</v>
      </c>
      <c r="F3267" s="3" t="s">
        <v>13473</v>
      </c>
      <c r="G3267" s="3" t="str">
        <f ca="1">IFERROR(__xludf.DUMMYFUNCTION("googletranslate(D3267,""en"",""ja"")"),"メタドレナリン;メタネフリン")</f>
        <v>メタドレナリン;メタネフリン</v>
      </c>
      <c r="H3267" s="3" t="str">
        <f ca="1">IFERROR(__xludf.DUMMYFUNCTION("googletranslate(E3267,""en"",""ja"")"),"生物学的標本中のメタネフリンの測定。")</f>
        <v>生物学的標本中のメタネフリンの測定。</v>
      </c>
      <c r="I3267" s="3" t="str">
        <f ca="1">IFERROR(__xludf.DUMMYFUNCTION("googletranslate(F3267,""en"",""ja"")"),"メタネフリンの測定")</f>
        <v>メタネフリンの測定</v>
      </c>
    </row>
    <row r="3268" spans="1:9" ht="45">
      <c r="A3268" s="3" t="s">
        <v>6</v>
      </c>
      <c r="B3268" s="3" t="s">
        <v>13474</v>
      </c>
      <c r="C3268" s="3" t="s">
        <v>13475</v>
      </c>
      <c r="D3268" s="3" t="s">
        <v>13475</v>
      </c>
      <c r="E3268" s="3" t="s">
        <v>13476</v>
      </c>
      <c r="F3268" s="3" t="s">
        <v>13475</v>
      </c>
      <c r="G3268" s="3" t="str">
        <f ca="1">IFERROR(__xludf.DUMMYFUNCTION("googletranslate(D3268,""en"",""ja"")"),"メタネフリン排泄率")</f>
        <v>メタネフリン排泄率</v>
      </c>
      <c r="H3268" s="3" t="str">
        <f ca="1">IFERROR(__xludf.DUMMYFUNCTION("googletranslate(E3268,""en"",""ja"")"),"規定の時間 (例: 1 時間) にわたって生物学的標本中に排泄されるメタネフリンの量の測定。")</f>
        <v>規定の時間 (例: 1 時間) にわたって生物学的標本中に排泄されるメタネフリンの量の測定。</v>
      </c>
      <c r="I3268" s="3" t="str">
        <f ca="1">IFERROR(__xludf.DUMMYFUNCTION("googletranslate(F3268,""en"",""ja"")"),"メタネフリン排泄率")</f>
        <v>メタネフリン排泄率</v>
      </c>
    </row>
    <row r="3269" spans="1:9" ht="30">
      <c r="A3269" s="3" t="s">
        <v>6</v>
      </c>
      <c r="B3269" s="3" t="s">
        <v>13477</v>
      </c>
      <c r="C3269" s="3" t="s">
        <v>13478</v>
      </c>
      <c r="D3269" s="3" t="s">
        <v>13478</v>
      </c>
      <c r="E3269" s="3" t="s">
        <v>13479</v>
      </c>
      <c r="F3269" s="3" t="s">
        <v>13480</v>
      </c>
      <c r="G3269" s="3" t="str">
        <f ca="1">IFERROR(__xludf.DUMMYFUNCTION("googletranslate(D3269,""en"",""ja"")"),"メタルブリサイト/総細胞数")</f>
        <v>メタルブリサイト/総細胞数</v>
      </c>
      <c r="H3269" s="3" t="str">
        <f ca="1">IFERROR(__xludf.DUMMYFUNCTION("googletranslate(E3269,""en"",""ja"")"),"生物学的標本の全細胞に対する金属黄銅細胞の相対的な測定値 (比率またはパーセンテージ)。")</f>
        <v>生物学的標本の全細胞に対する金属黄銅細胞の相対的な測定値 (比率またはパーセンテージ)。</v>
      </c>
      <c r="I3269" s="3" t="str">
        <f ca="1">IFERROR(__xludf.DUMMYFUNCTION("googletranslate(F3269,""en"",""ja"")"),"メタルブリサイトと全細胞の比率の測定")</f>
        <v>メタルブリサイトと全細胞の比率の測定</v>
      </c>
    </row>
    <row r="3270" spans="1:9" ht="30">
      <c r="A3270" s="3" t="s">
        <v>6</v>
      </c>
      <c r="B3270" s="3" t="s">
        <v>13481</v>
      </c>
      <c r="C3270" s="3" t="s">
        <v>13482</v>
      </c>
      <c r="D3270" s="3" t="s">
        <v>13482</v>
      </c>
      <c r="E3270" s="3" t="s">
        <v>13483</v>
      </c>
      <c r="F3270" s="3" t="s">
        <v>13484</v>
      </c>
      <c r="G3270" s="3" t="str">
        <f ca="1">IFERROR(__xludf.DUMMYFUNCTION("googletranslate(D3270,""en"",""ja"")"),"金属赤血球/白血球")</f>
        <v>金属赤血球/白血球</v>
      </c>
      <c r="H3270" s="3" t="str">
        <f ca="1">IFERROR(__xludf.DUMMYFUNCTION("googletranslate(E3270,""en"",""ja"")"),"生物学的標本における白血球に対する金属黄銅球の相対的な測定値 (比率またはパーセンテージ)。")</f>
        <v>生物学的標本における白血球に対する金属黄銅球の相対的な測定値 (比率またはパーセンテージ)。</v>
      </c>
      <c r="I3270" s="3" t="str">
        <f ca="1">IFERROR(__xludf.DUMMYFUNCTION("googletranslate(F3270,""en"",""ja"")"),"金属赤血球と白血球の比率の測定")</f>
        <v>金属赤血球と白血球の比率の測定</v>
      </c>
    </row>
    <row r="3271" spans="1:9" ht="75">
      <c r="A3271" s="3" t="s">
        <v>6</v>
      </c>
      <c r="B3271" s="3" t="s">
        <v>13485</v>
      </c>
      <c r="C3271" s="3" t="s">
        <v>13486</v>
      </c>
      <c r="D3271" s="3" t="s">
        <v>13487</v>
      </c>
      <c r="E3271" s="3" t="s">
        <v>13488</v>
      </c>
      <c r="F3271" s="3" t="s">
        <v>13489</v>
      </c>
      <c r="G3271" s="3" t="str">
        <f ca="1">IFERROR(__xludf.DUMMYFUNCTION("googletranslate(D3271,""en"",""ja"")"),"好酸性赤芽球。メタルブリサイト;オルトクロマトフィリック正常芽細胞。正色性赤芽球。オルソクロミック正常芽細胞")</f>
        <v>好酸性赤芽球。メタルブリサイト;オルトクロマトフィリック正常芽細胞。正色性赤芽球。オルソクロミック正常芽細胞</v>
      </c>
      <c r="H3271" s="3" t="str">
        <f ca="1">IFERROR(__xludf.DUMMYFUNCTION("googletranslate(E3271,""en"",""ja"")"),"生物学的標本中の金属ブリサイトの測定。")</f>
        <v>生物学的標本中の金属ブリサイトの測定。</v>
      </c>
      <c r="I3271" s="3" t="str">
        <f ca="1">IFERROR(__xludf.DUMMYFUNCTION("googletranslate(F3271,""en"",""ja"")"),"金属赤血球数")</f>
        <v>金属赤血球数</v>
      </c>
    </row>
    <row r="3272" spans="1:9" ht="30">
      <c r="A3272" s="3" t="s">
        <v>6</v>
      </c>
      <c r="B3272" s="3" t="s">
        <v>13490</v>
      </c>
      <c r="C3272" s="3" t="s">
        <v>13491</v>
      </c>
      <c r="D3272" s="3" t="s">
        <v>13491</v>
      </c>
      <c r="E3272" s="3" t="s">
        <v>13492</v>
      </c>
      <c r="F3272" s="3" t="s">
        <v>13493</v>
      </c>
      <c r="G3272" s="3" t="str">
        <f ca="1">IFERROR(__xludf.DUMMYFUNCTION("googletranslate(D3272,""en"",""ja"")"),"メチルトランスフェラーゼ")</f>
        <v>メチルトランスフェラーゼ</v>
      </c>
      <c r="H3272" s="3" t="str">
        <f ca="1">IFERROR(__xludf.DUMMYFUNCTION("googletranslate(E3272,""en"",""ja"")"),"生物学的標本中の総メチルトランスフェラーゼの測定。")</f>
        <v>生物学的標本中の総メチルトランスフェラーゼの測定。</v>
      </c>
      <c r="I3272" s="3" t="str">
        <f ca="1">IFERROR(__xludf.DUMMYFUNCTION("googletranslate(F3272,""en"",""ja"")"),"メチルトランスフェラーゼの測定")</f>
        <v>メチルトランスフェラーゼの測定</v>
      </c>
    </row>
    <row r="3273" spans="1:9" ht="30">
      <c r="A3273" s="3" t="s">
        <v>6</v>
      </c>
      <c r="B3273" s="3" t="s">
        <v>13494</v>
      </c>
      <c r="C3273" s="3" t="s">
        <v>13495</v>
      </c>
      <c r="D3273" s="3" t="s">
        <v>13495</v>
      </c>
      <c r="E3273" s="3" t="s">
        <v>13496</v>
      </c>
      <c r="F3273" s="3" t="s">
        <v>13497</v>
      </c>
      <c r="G3273" s="3" t="str">
        <f ca="1">IFERROR(__xludf.DUMMYFUNCTION("googletranslate(D3273,""en"",""ja"")"),"メタンフェタミン")</f>
        <v>メタンフェタミン</v>
      </c>
      <c r="H3273" s="3" t="str">
        <f ca="1">IFERROR(__xludf.DUMMYFUNCTION("googletranslate(E3273,""en"",""ja"")"),"生物学的標本中に存在するメタンフェタミン薬の測定。")</f>
        <v>生物学的標本中に存在するメタンフェタミン薬の測定。</v>
      </c>
      <c r="I3273" s="3" t="str">
        <f ca="1">IFERROR(__xludf.DUMMYFUNCTION("googletranslate(F3273,""en"",""ja"")"),"メタンフェタミンの測定")</f>
        <v>メタンフェタミンの測定</v>
      </c>
    </row>
    <row r="3274" spans="1:9">
      <c r="A3274" s="3" t="s">
        <v>6</v>
      </c>
      <c r="B3274" s="3" t="s">
        <v>13498</v>
      </c>
      <c r="C3274" s="3" t="s">
        <v>13499</v>
      </c>
      <c r="D3274" s="3" t="s">
        <v>13500</v>
      </c>
      <c r="E3274" s="3" t="s">
        <v>13501</v>
      </c>
      <c r="F3274" s="3" t="s">
        <v>13502</v>
      </c>
      <c r="G3274" s="3" t="str">
        <f ca="1">IFERROR(__xludf.DUMMYFUNCTION("googletranslate(D3274,""en"",""ja"")"),"CH4;メタン")</f>
        <v>CH4;メタン</v>
      </c>
      <c r="H3274" s="3" t="str">
        <f ca="1">IFERROR(__xludf.DUMMYFUNCTION("googletranslate(E3274,""en"",""ja"")"),"生物標本中のメタンの測定。")</f>
        <v>生物標本中のメタンの測定。</v>
      </c>
      <c r="I3274" s="3" t="str">
        <f ca="1">IFERROR(__xludf.DUMMYFUNCTION("googletranslate(F3274,""en"",""ja"")"),"メタン測定")</f>
        <v>メタン測定</v>
      </c>
    </row>
    <row r="3275" spans="1:9">
      <c r="A3275" s="3" t="s">
        <v>6</v>
      </c>
      <c r="B3275" s="3" t="s">
        <v>13503</v>
      </c>
      <c r="C3275" s="3" t="s">
        <v>13504</v>
      </c>
      <c r="D3275" s="3" t="s">
        <v>13504</v>
      </c>
      <c r="E3275" s="3" t="s">
        <v>13505</v>
      </c>
      <c r="F3275" s="3" t="s">
        <v>13506</v>
      </c>
      <c r="G3275" s="3" t="str">
        <f ca="1">IFERROR(__xludf.DUMMYFUNCTION("googletranslate(D3275,""en"",""ja"")"),"メタノール")</f>
        <v>メタノール</v>
      </c>
      <c r="H3275" s="3" t="str">
        <f ca="1">IFERROR(__xludf.DUMMYFUNCTION("googletranslate(E3275,""en"",""ja"")"),"生物学的標本中のメタノールの測定。")</f>
        <v>生物学的標本中のメタノールの測定。</v>
      </c>
      <c r="I3275" s="3" t="str">
        <f ca="1">IFERROR(__xludf.DUMMYFUNCTION("googletranslate(F3275,""en"",""ja"")"),"メタノール測定")</f>
        <v>メタノール測定</v>
      </c>
    </row>
    <row r="3276" spans="1:9" ht="30">
      <c r="A3276" s="3" t="s">
        <v>6</v>
      </c>
      <c r="B3276" s="3" t="s">
        <v>13507</v>
      </c>
      <c r="C3276" s="3" t="s">
        <v>13508</v>
      </c>
      <c r="D3276" s="3" t="s">
        <v>13508</v>
      </c>
      <c r="E3276" s="3" t="s">
        <v>13509</v>
      </c>
      <c r="F3276" s="3" t="s">
        <v>13510</v>
      </c>
      <c r="G3276" s="3" t="str">
        <f ca="1">IFERROR(__xludf.DUMMYFUNCTION("googletranslate(D3276,""en"",""ja"")"),"メタドン")</f>
        <v>メタドン</v>
      </c>
      <c r="H3276" s="3" t="str">
        <f ca="1">IFERROR(__xludf.DUMMYFUNCTION("googletranslate(E3276,""en"",""ja"")"),"生物学的標本中に存在するメサドンの測定。")</f>
        <v>生物学的標本中に存在するメサドンの測定。</v>
      </c>
      <c r="I3276" s="3" t="str">
        <f ca="1">IFERROR(__xludf.DUMMYFUNCTION("googletranslate(F3276,""en"",""ja"")"),"メサドンの測定")</f>
        <v>メサドンの測定</v>
      </c>
    </row>
    <row r="3277" spans="1:9" ht="30">
      <c r="A3277" s="3" t="s">
        <v>6</v>
      </c>
      <c r="B3277" s="3" t="s">
        <v>13511</v>
      </c>
      <c r="C3277" s="3" t="s">
        <v>13512</v>
      </c>
      <c r="D3277" s="3" t="s">
        <v>13512</v>
      </c>
      <c r="E3277" s="3" t="s">
        <v>13513</v>
      </c>
      <c r="F3277" s="3" t="s">
        <v>13514</v>
      </c>
      <c r="G3277" s="3" t="str">
        <f ca="1">IFERROR(__xludf.DUMMYFUNCTION("googletranslate(D3277,""en"",""ja"")"),"メチルフェニデート")</f>
        <v>メチルフェニデート</v>
      </c>
      <c r="H3277" s="3" t="str">
        <f ca="1">IFERROR(__xludf.DUMMYFUNCTION("googletranslate(E3277,""en"",""ja"")"),"生物学的標本中のメチルフェニデートの測定。")</f>
        <v>生物学的標本中のメチルフェニデートの測定。</v>
      </c>
      <c r="I3277" s="3" t="str">
        <f ca="1">IFERROR(__xludf.DUMMYFUNCTION("googletranslate(F3277,""en"",""ja"")"),"メチルフェニデートの測定")</f>
        <v>メチルフェニデートの測定</v>
      </c>
    </row>
    <row r="3278" spans="1:9" ht="30">
      <c r="A3278" s="3" t="s">
        <v>6</v>
      </c>
      <c r="B3278" s="3" t="s">
        <v>13515</v>
      </c>
      <c r="C3278" s="3" t="s">
        <v>13516</v>
      </c>
      <c r="D3278" s="3" t="s">
        <v>13516</v>
      </c>
      <c r="E3278" s="3" t="s">
        <v>13517</v>
      </c>
      <c r="F3278" s="3" t="s">
        <v>13518</v>
      </c>
      <c r="G3278" s="3" t="str">
        <f ca="1">IFERROR(__xludf.DUMMYFUNCTION("googletranslate(D3278,""en"",""ja"")"),"メタクアロン")</f>
        <v>メタクアロン</v>
      </c>
      <c r="H3278" s="3" t="str">
        <f ca="1">IFERROR(__xludf.DUMMYFUNCTION("googletranslate(E3278,""en"",""ja"")"),"生物学的標本中に存在するメタカロンの測定。")</f>
        <v>生物学的標本中に存在するメタカロンの測定。</v>
      </c>
      <c r="I3278" s="3" t="str">
        <f ca="1">IFERROR(__xludf.DUMMYFUNCTION("googletranslate(F3278,""en"",""ja"")"),"メタクアロンの測定")</f>
        <v>メタクアロンの測定</v>
      </c>
    </row>
    <row r="3279" spans="1:9" ht="30">
      <c r="A3279" s="3" t="s">
        <v>5519</v>
      </c>
      <c r="B3279" s="3" t="s">
        <v>13519</v>
      </c>
      <c r="C3279" s="3" t="s">
        <v>13520</v>
      </c>
      <c r="D3279" s="3" t="s">
        <v>13520</v>
      </c>
      <c r="E3279" s="3" t="s">
        <v>13521</v>
      </c>
      <c r="F3279" s="3" t="s">
        <v>13520</v>
      </c>
      <c r="G3279" s="3" t="str">
        <f ca="1">IFERROR(__xludf.DUMMYFUNCTION("googletranslate(D3279,""en"",""ja"")"),"転移性腫瘍部位指標")</f>
        <v>転移性腫瘍部位指標</v>
      </c>
      <c r="H3279" s="3" t="str">
        <f ca="1">IFERROR(__xludf.DUMMYFUNCTION("googletranslate(E3279,""en"",""ja"")"),"解剖学的位置に転移があるかどうかの指標。")</f>
        <v>解剖学的位置に転移があるかどうかの指標。</v>
      </c>
      <c r="I3279" s="3" t="str">
        <f ca="1">IFERROR(__xludf.DUMMYFUNCTION("googletranslate(F3279,""en"",""ja"")"),"転移性腫瘍部位指標")</f>
        <v>転移性腫瘍部位指標</v>
      </c>
    </row>
    <row r="3280" spans="1:9">
      <c r="A3280" s="3" t="s">
        <v>6</v>
      </c>
      <c r="B3280" s="3" t="s">
        <v>13522</v>
      </c>
      <c r="C3280" s="3" t="s">
        <v>13523</v>
      </c>
      <c r="D3280" s="3" t="s">
        <v>13523</v>
      </c>
      <c r="E3280" s="3" t="s">
        <v>13524</v>
      </c>
      <c r="F3280" s="3" t="s">
        <v>13525</v>
      </c>
      <c r="G3280" s="3" t="str">
        <f ca="1">IFERROR(__xludf.DUMMYFUNCTION("googletranslate(D3280,""en"",""ja"")"),"メフェノレックス")</f>
        <v>メフェノレックス</v>
      </c>
      <c r="H3280" s="3" t="str">
        <f ca="1">IFERROR(__xludf.DUMMYFUNCTION("googletranslate(E3280,""en"",""ja"")"),"生物学的標本中のメフェノレックスの測定。")</f>
        <v>生物学的標本中のメフェノレックスの測定。</v>
      </c>
      <c r="I3280" s="3" t="str">
        <f ca="1">IFERROR(__xludf.DUMMYFUNCTION("googletranslate(F3280,""en"",""ja"")"),"メフェノレックスの測定")</f>
        <v>メフェノレックスの測定</v>
      </c>
    </row>
    <row r="3281" spans="1:9" ht="45">
      <c r="A3281" s="3" t="s">
        <v>67</v>
      </c>
      <c r="B3281" s="3" t="s">
        <v>13526</v>
      </c>
      <c r="C3281" s="3" t="s">
        <v>13527</v>
      </c>
      <c r="D3281" s="3" t="s">
        <v>13527</v>
      </c>
      <c r="E3281" s="3" t="s">
        <v>13528</v>
      </c>
      <c r="F3281" s="3" t="s">
        <v>13529</v>
      </c>
      <c r="G3281" s="3" t="str">
        <f ca="1">IFERROR(__xludf.DUMMYFUNCTION("googletranslate(D3281,""en"",""ja"")"),"ミクロフィラリア")</f>
        <v>ミクロフィラリア</v>
      </c>
      <c r="H3281" s="3" t="str">
        <f ca="1">IFERROR(__xludf.DUMMYFUNCTION("googletranslate(E3281,""en"",""ja"")"),"全血または他の体液から調製された塗抹標本におけるフィラリア線虫のミクロフィラリア段階の存在。")</f>
        <v>全血または他の体液から調製された塗抹標本におけるフィラリア線虫のミクロフィラリア段階の存在。</v>
      </c>
      <c r="I3281" s="3" t="str">
        <f ca="1">IFERROR(__xludf.DUMMYFUNCTION("googletranslate(F3281,""en"",""ja"")"),"ミクロフィラリアの測定")</f>
        <v>ミクロフィラリアの測定</v>
      </c>
    </row>
    <row r="3282" spans="1:9" ht="30">
      <c r="A3282" s="3" t="s">
        <v>67</v>
      </c>
      <c r="B3282" s="3" t="s">
        <v>13530</v>
      </c>
      <c r="C3282" s="3" t="s">
        <v>13531</v>
      </c>
      <c r="D3282" s="3" t="s">
        <v>13531</v>
      </c>
      <c r="E3282" s="3" t="s">
        <v>13532</v>
      </c>
      <c r="F3282" s="3" t="s">
        <v>13533</v>
      </c>
      <c r="G3282" s="3" t="str">
        <f ca="1">IFERROR(__xludf.DUMMYFUNCTION("googletranslate(D3282,""en"",""ja"")"),"マイコバクテリウム・フォルトゥイタム")</f>
        <v>マイコバクテリウム・フォルトゥイタム</v>
      </c>
      <c r="H3282" s="3" t="str">
        <f ca="1">IFERROR(__xludf.DUMMYFUNCTION("googletranslate(E3282,""en"",""ja"")"),"生物学的標本中のマイコバクテリウム・フォルトゥイタムの測定。")</f>
        <v>生物学的標本中のマイコバクテリウム・フォルトゥイタムの測定。</v>
      </c>
      <c r="I3282" s="3" t="str">
        <f ca="1">IFERROR(__xludf.DUMMYFUNCTION("googletranslate(F3282,""en"",""ja"")"),"マイコバクテリウム・フォルトゥイタムの測定")</f>
        <v>マイコバクテリウム・フォルトゥイタムの測定</v>
      </c>
    </row>
    <row r="3283" spans="1:9">
      <c r="A3283" s="3" t="s">
        <v>6</v>
      </c>
      <c r="B3283" s="3" t="s">
        <v>13534</v>
      </c>
      <c r="C3283" s="3" t="s">
        <v>13535</v>
      </c>
      <c r="D3283" s="3" t="s">
        <v>13535</v>
      </c>
      <c r="E3283" s="3" t="s">
        <v>13536</v>
      </c>
      <c r="F3283" s="3" t="s">
        <v>13537</v>
      </c>
      <c r="G3283" s="3" t="str">
        <f ca="1">IFERROR(__xludf.DUMMYFUNCTION("googletranslate(D3283,""en"",""ja"")"),"マグネシウム")</f>
        <v>マグネシウム</v>
      </c>
      <c r="H3283" s="3" t="str">
        <f ca="1">IFERROR(__xludf.DUMMYFUNCTION("googletranslate(E3283,""en"",""ja"")"),"生物学的標本中のマグネシウムの測定。")</f>
        <v>生物学的標本中のマグネシウムの測定。</v>
      </c>
      <c r="I3283" s="3" t="str">
        <f ca="1">IFERROR(__xludf.DUMMYFUNCTION("googletranslate(F3283,""en"",""ja"")"),"マグネシウムの測定")</f>
        <v>マグネシウムの測定</v>
      </c>
    </row>
    <row r="3284" spans="1:9">
      <c r="A3284" s="3" t="s">
        <v>6</v>
      </c>
      <c r="B3284" s="3" t="s">
        <v>13538</v>
      </c>
      <c r="C3284" s="3" t="s">
        <v>13539</v>
      </c>
      <c r="D3284" s="3" t="s">
        <v>13539</v>
      </c>
      <c r="E3284" s="3" t="s">
        <v>13540</v>
      </c>
      <c r="F3284" s="3" t="s">
        <v>13541</v>
      </c>
      <c r="G3284" s="3" t="str">
        <f ca="1">IFERROR(__xludf.DUMMYFUNCTION("googletranslate(D3284,""en"",""ja"")"),"ミオグロビン")</f>
        <v>ミオグロビン</v>
      </c>
      <c r="H3284" s="3" t="str">
        <f ca="1">IFERROR(__xludf.DUMMYFUNCTION("googletranslate(E3284,""en"",""ja"")"),"生物学的標本中のミオグロビンの測定。")</f>
        <v>生物学的標本中のミオグロビンの測定。</v>
      </c>
      <c r="I3284" s="3" t="str">
        <f ca="1">IFERROR(__xludf.DUMMYFUNCTION("googletranslate(F3284,""en"",""ja"")"),"ミオグロビン測定")</f>
        <v>ミオグロビン測定</v>
      </c>
    </row>
    <row r="3285" spans="1:9" ht="30">
      <c r="A3285" s="3" t="s">
        <v>6</v>
      </c>
      <c r="B3285" s="3" t="s">
        <v>13542</v>
      </c>
      <c r="C3285" s="3" t="s">
        <v>13543</v>
      </c>
      <c r="D3285" s="3" t="s">
        <v>13543</v>
      </c>
      <c r="E3285" s="3" t="s">
        <v>13544</v>
      </c>
      <c r="F3285" s="3" t="s">
        <v>13545</v>
      </c>
      <c r="G3285" s="3" t="str">
        <f ca="1">IFERROR(__xludf.DUMMYFUNCTION("googletranslate(D3285,""en"",""ja"")"),"ミオグロビン/クレアチニン")</f>
        <v>ミオグロビン/クレアチニン</v>
      </c>
      <c r="H3285" s="3" t="str">
        <f ca="1">IFERROR(__xludf.DUMMYFUNCTION("googletranslate(E3285,""en"",""ja"")"),"サンプル中に存在するミオグロビンとクレアチニンの相対測定値 (比率またはパーセンテージ)。")</f>
        <v>サンプル中に存在するミオグロビンとクレアチニンの相対測定値 (比率またはパーセンテージ)。</v>
      </c>
      <c r="I3285" s="3" t="str">
        <f ca="1">IFERROR(__xludf.DUMMYFUNCTION("googletranslate(F3285,""en"",""ja"")"),"ミオグロビンとクレアチニンの比率の測定")</f>
        <v>ミオグロビンとクレアチニンの比率の測定</v>
      </c>
    </row>
    <row r="3286" spans="1:9" ht="30">
      <c r="A3286" s="3" t="s">
        <v>6</v>
      </c>
      <c r="B3286" s="3" t="s">
        <v>13546</v>
      </c>
      <c r="C3286" s="3" t="s">
        <v>13547</v>
      </c>
      <c r="D3286" s="3" t="s">
        <v>13547</v>
      </c>
      <c r="E3286" s="3" t="s">
        <v>13548</v>
      </c>
      <c r="F3286" s="3" t="s">
        <v>13549</v>
      </c>
      <c r="G3286" s="3" t="str">
        <f ca="1">IFERROR(__xludf.DUMMYFUNCTION("googletranslate(D3286,""en"",""ja"")"),"マグネシウム/クレアチニン")</f>
        <v>マグネシウム/クレアチニン</v>
      </c>
      <c r="H3286" s="3" t="str">
        <f ca="1">IFERROR(__xludf.DUMMYFUNCTION("googletranslate(E3286,""en"",""ja"")"),"生物学的標本中のクレアチニンに対するマグネシウムの相対測定値 (比率またはパーセンテージ)。")</f>
        <v>生物学的標本中のクレアチニンに対するマグネシウムの相対測定値 (比率またはパーセンテージ)。</v>
      </c>
      <c r="I3286" s="3" t="str">
        <f ca="1">IFERROR(__xludf.DUMMYFUNCTION("googletranslate(F3286,""en"",""ja"")"),"マグネシウムとクレアチニンの比率の測定")</f>
        <v>マグネシウムとクレアチニンの比率の測定</v>
      </c>
    </row>
    <row r="3287" spans="1:9" ht="30">
      <c r="A3287" s="3" t="s">
        <v>67</v>
      </c>
      <c r="B3287" s="3" t="s">
        <v>13550</v>
      </c>
      <c r="C3287" s="3" t="s">
        <v>13551</v>
      </c>
      <c r="D3287" s="3" t="s">
        <v>13551</v>
      </c>
      <c r="E3287" s="3" t="s">
        <v>13552</v>
      </c>
      <c r="F3287" s="3" t="s">
        <v>13553</v>
      </c>
      <c r="G3287" s="3" t="str">
        <f ca="1">IFERROR(__xludf.DUMMYFUNCTION("googletranslate(D3287,""en"",""ja"")"),"マイコプラズマ・ジェニタリウム")</f>
        <v>マイコプラズマ・ジェニタリウム</v>
      </c>
      <c r="H3287" s="3" t="str">
        <f ca="1">IFERROR(__xludf.DUMMYFUNCTION("googletranslate(E3287,""en"",""ja"")"),"生物学的標本中のマイコプラズマ・ジェニタリウムの測定。")</f>
        <v>生物学的標本中のマイコプラズマ・ジェニタリウムの測定。</v>
      </c>
      <c r="I3287" s="3" t="str">
        <f ca="1">IFERROR(__xludf.DUMMYFUNCTION("googletranslate(F3287,""en"",""ja"")"),"マイコプラズマ・ジェニタリウムの測定")</f>
        <v>マイコプラズマ・ジェニタリウムの測定</v>
      </c>
    </row>
    <row r="3288" spans="1:9" ht="30">
      <c r="A3288" s="3" t="s">
        <v>67</v>
      </c>
      <c r="B3288" s="3" t="s">
        <v>13554</v>
      </c>
      <c r="C3288" s="3" t="s">
        <v>13555</v>
      </c>
      <c r="D3288" s="3" t="s">
        <v>13555</v>
      </c>
      <c r="E3288" s="3" t="s">
        <v>13556</v>
      </c>
      <c r="F3288" s="3" t="s">
        <v>13557</v>
      </c>
      <c r="G3288" s="3" t="str">
        <f ca="1">IFERROR(__xludf.DUMMYFUNCTION("googletranslate(D3288,""en"",""ja"")"),"マイコプラズマ・ジェニタリウムの DNA")</f>
        <v>マイコプラズマ・ジェニタリウムの DNA</v>
      </c>
      <c r="H3288" s="3" t="str">
        <f ca="1">IFERROR(__xludf.DUMMYFUNCTION("googletranslate(E3288,""en"",""ja"")"),"生物学的標本中のマイコプラズマ・ジェニタリウム DNA の測定。")</f>
        <v>生物学的標本中のマイコプラズマ・ジェニタリウム DNA の測定。</v>
      </c>
      <c r="I3288" s="3" t="str">
        <f ca="1">IFERROR(__xludf.DUMMYFUNCTION("googletranslate(F3288,""en"",""ja"")"),"マイコプラズマ・ジェニタリウムのDNA測定")</f>
        <v>マイコプラズマ・ジェニタリウムのDNA測定</v>
      </c>
    </row>
    <row r="3289" spans="1:9" ht="30">
      <c r="A3289" s="3" t="s">
        <v>6</v>
      </c>
      <c r="B3289" s="3" t="s">
        <v>13558</v>
      </c>
      <c r="C3289" s="3" t="s">
        <v>13559</v>
      </c>
      <c r="D3289" s="3" t="s">
        <v>13559</v>
      </c>
      <c r="E3289" s="3" t="s">
        <v>13560</v>
      </c>
      <c r="F3289" s="3" t="s">
        <v>13561</v>
      </c>
      <c r="G3289" s="3" t="str">
        <f ca="1">IFERROR(__xludf.DUMMYFUNCTION("googletranslate(D3289,""en"",""ja"")"),"マグネシウム、イオン化")</f>
        <v>マグネシウム、イオン化</v>
      </c>
      <c r="H3289" s="3" t="str">
        <f ca="1">IFERROR(__xludf.DUMMYFUNCTION("googletranslate(E3289,""en"",""ja"")"),"生体試料中のイオン化マグネシウムの測定。")</f>
        <v>生体試料中のイオン化マグネシウムの測定。</v>
      </c>
      <c r="I3289" s="3" t="str">
        <f ca="1">IFERROR(__xludf.DUMMYFUNCTION("googletranslate(F3289,""en"",""ja"")"),"イオン化マグネシウムの測定")</f>
        <v>イオン化マグネシウムの測定</v>
      </c>
    </row>
    <row r="3290" spans="1:9" ht="30">
      <c r="A3290" s="3" t="s">
        <v>81</v>
      </c>
      <c r="B3290" s="3" t="s">
        <v>13562</v>
      </c>
      <c r="C3290" s="3" t="s">
        <v>13563</v>
      </c>
      <c r="D3290" s="3" t="s">
        <v>13563</v>
      </c>
      <c r="E3290" s="3" t="s">
        <v>13564</v>
      </c>
      <c r="F3290" s="3" t="s">
        <v>13563</v>
      </c>
      <c r="G3290" s="3" t="str">
        <f ca="1">IFERROR(__xludf.DUMMYFUNCTION("googletranslate(D3290,""en"",""ja"")"),"平均圧力勾配")</f>
        <v>平均圧力勾配</v>
      </c>
      <c r="H3290" s="3" t="str">
        <f ca="1">IFERROR(__xludf.DUMMYFUNCTION("googletranslate(E3290,""en"",""ja"")"),"構造物の 2 点間に存在する平均圧力勾配を表す値。")</f>
        <v>構造物の 2 点間に存在する平均圧力勾配を表す値。</v>
      </c>
      <c r="I3290" s="3" t="str">
        <f ca="1">IFERROR(__xludf.DUMMYFUNCTION("googletranslate(F3290,""en"",""ja"")"),"平均圧力勾配")</f>
        <v>平均圧力勾配</v>
      </c>
    </row>
    <row r="3291" spans="1:9" ht="60">
      <c r="A3291" s="3" t="s">
        <v>51</v>
      </c>
      <c r="B3291" s="3" t="s">
        <v>13565</v>
      </c>
      <c r="C3291" s="3" t="s">
        <v>13566</v>
      </c>
      <c r="D3291" s="3" t="s">
        <v>13567</v>
      </c>
      <c r="E3291" s="3" t="s">
        <v>13568</v>
      </c>
      <c r="F3291" s="3" t="s">
        <v>13569</v>
      </c>
      <c r="G3291" s="3" t="str">
        <f ca="1">IFERROR(__xludf.DUMMYFUNCTION("googletranslate(D3291,""en"",""ja"")"),"MHBMA;モノヒドロキシブチルメルカプチュレート;モノヒドロキシブチルメルカプツール酸")</f>
        <v>MHBMA;モノヒドロキシブチルメルカプチュレート;モノヒドロキシブチルメルカプツール酸</v>
      </c>
      <c r="H3291" s="3" t="str">
        <f ca="1">IFERROR(__xludf.DUMMYFUNCTION("googletranslate(E3291,""en"",""ja"")"),"試料中のモノヒドロキシブチルメルカプツール酸の測定。")</f>
        <v>試料中のモノヒドロキシブチルメルカプツール酸の測定。</v>
      </c>
      <c r="I3291" s="3" t="str">
        <f ca="1">IFERROR(__xludf.DUMMYFUNCTION("googletranslate(F3291,""en"",""ja"")"),"モノヒドロキシブチルメルカプツール酸の測定")</f>
        <v>モノヒドロキシブチルメルカプツール酸の測定</v>
      </c>
    </row>
    <row r="3292" spans="1:9" ht="30">
      <c r="A3292" s="3" t="s">
        <v>67</v>
      </c>
      <c r="B3292" s="3" t="s">
        <v>13570</v>
      </c>
      <c r="C3292" s="3" t="s">
        <v>13571</v>
      </c>
      <c r="D3292" s="3" t="s">
        <v>13571</v>
      </c>
      <c r="E3292" s="3" t="s">
        <v>13572</v>
      </c>
      <c r="F3292" s="3" t="s">
        <v>13573</v>
      </c>
      <c r="G3292" s="3" t="str">
        <f ca="1">IFERROR(__xludf.DUMMYFUNCTION("googletranslate(D3292,""en"",""ja"")"),"マイコプラズマ ヒトの DNA")</f>
        <v>マイコプラズマ ヒトの DNA</v>
      </c>
      <c r="H3292" s="3" t="str">
        <f ca="1">IFERROR(__xludf.DUMMYFUNCTION("googletranslate(E3292,""en"",""ja"")"),"生物学的標本中のマイコプラズマ ホミニス DNA の測定。")</f>
        <v>生物学的標本中のマイコプラズマ ホミニス DNA の測定。</v>
      </c>
      <c r="I3292" s="3" t="str">
        <f ca="1">IFERROR(__xludf.DUMMYFUNCTION("googletranslate(F3292,""en"",""ja"")"),"マイコプラズマ・ホミニスのDNA測定")</f>
        <v>マイコプラズマ・ホミニスのDNA測定</v>
      </c>
    </row>
    <row r="3293" spans="1:9" ht="90">
      <c r="A3293" s="3" t="s">
        <v>6</v>
      </c>
      <c r="B3293" s="3" t="s">
        <v>13574</v>
      </c>
      <c r="C3293" s="3" t="s">
        <v>13575</v>
      </c>
      <c r="D3293" s="3" t="s">
        <v>13576</v>
      </c>
      <c r="E3293" s="3" t="s">
        <v>13577</v>
      </c>
      <c r="F3293" s="3" t="s">
        <v>13578</v>
      </c>
      <c r="G3293" s="3" t="str">
        <f ca="1">IFERROR(__xludf.DUMMYFUNCTION("googletranslate(D3293,""en"",""ja"")"),"MHBMA;モノヒドロキシ-3-ブテニルメルカプツール酸;モノヒドロキシブテニルメルカプチュレート;モノヒドロキシブテニルメルカプツール酸")</f>
        <v>MHBMA;モノヒドロキシ-3-ブテニルメルカプツール酸;モノヒドロキシブテニルメルカプチュレート;モノヒドロキシブテニルメルカプツール酸</v>
      </c>
      <c r="H3293" s="3" t="str">
        <f ca="1">IFERROR(__xludf.DUMMYFUNCTION("googletranslate(E3293,""en"",""ja"")"),"試料中のモノヒドロキシブテニルメルカプツール酸の測定。")</f>
        <v>試料中のモノヒドロキシブテニルメルカプツール酸の測定。</v>
      </c>
      <c r="I3293" s="3" t="str">
        <f ca="1">IFERROR(__xludf.DUMMYFUNCTION("googletranslate(F3293,""en"",""ja"")"),"モノヒドロキシブテニルメルカプツール酸の測定")</f>
        <v>モノヒドロキシブテニルメルカプツール酸の測定</v>
      </c>
    </row>
    <row r="3294" spans="1:9" ht="30">
      <c r="A3294" s="3" t="s">
        <v>1664</v>
      </c>
      <c r="B3294" s="3" t="s">
        <v>13579</v>
      </c>
      <c r="C3294" s="3" t="s">
        <v>13580</v>
      </c>
      <c r="D3294" s="3" t="s">
        <v>13580</v>
      </c>
      <c r="E3294" s="3" t="s">
        <v>13581</v>
      </c>
      <c r="F3294" s="3" t="s">
        <v>13582</v>
      </c>
      <c r="G3294" s="3" t="str">
        <f ca="1">IFERROR(__xludf.DUMMYFUNCTION("googletranslate(D3294,""en"",""ja"")"),"心筋梗塞")</f>
        <v>心筋梗塞</v>
      </c>
      <c r="H3294" s="3" t="str">
        <f ca="1">IFERROR(__xludf.DUMMYFUNCTION("googletranslate(E3294,""en"",""ja"")"),"心筋梗塞を示唆する所見を心電図で評価します。")</f>
        <v>心筋梗塞を示唆する所見を心電図で評価します。</v>
      </c>
      <c r="I3294" s="3" t="str">
        <f ca="1">IFERROR(__xludf.DUMMYFUNCTION("googletranslate(F3294,""en"",""ja"")"),"心筋梗塞心電図評価")</f>
        <v>心筋梗塞心電図評価</v>
      </c>
    </row>
    <row r="3295" spans="1:9" ht="30">
      <c r="A3295" s="3" t="s">
        <v>985</v>
      </c>
      <c r="B3295" s="3" t="s">
        <v>13579</v>
      </c>
      <c r="C3295" s="3" t="s">
        <v>13580</v>
      </c>
      <c r="D3295" s="3" t="s">
        <v>13580</v>
      </c>
      <c r="E3295" s="3" t="s">
        <v>13581</v>
      </c>
      <c r="F3295" s="3" t="s">
        <v>13582</v>
      </c>
      <c r="G3295" s="3" t="str">
        <f ca="1">IFERROR(__xludf.DUMMYFUNCTION("googletranslate(D3295,""en"",""ja"")"),"心筋梗塞")</f>
        <v>心筋梗塞</v>
      </c>
      <c r="H3295" s="3" t="str">
        <f ca="1">IFERROR(__xludf.DUMMYFUNCTION("googletranslate(E3295,""en"",""ja"")"),"心筋梗塞を示唆する所見を心電図で評価します。")</f>
        <v>心筋梗塞を示唆する所見を心電図で評価します。</v>
      </c>
      <c r="I3295" s="3" t="str">
        <f ca="1">IFERROR(__xludf.DUMMYFUNCTION("googletranslate(F3295,""en"",""ja"")"),"心筋梗塞心電図評価")</f>
        <v>心筋梗塞心電図評価</v>
      </c>
    </row>
    <row r="3296" spans="1:9" ht="45">
      <c r="A3296" s="3" t="s">
        <v>185</v>
      </c>
      <c r="B3296" s="3" t="s">
        <v>13583</v>
      </c>
      <c r="C3296" s="3" t="s">
        <v>13584</v>
      </c>
      <c r="D3296" s="3" t="s">
        <v>13584</v>
      </c>
      <c r="E3296" s="3" t="s">
        <v>13585</v>
      </c>
      <c r="F3296" s="3" t="s">
        <v>13586</v>
      </c>
      <c r="G3296" s="3" t="str">
        <f ca="1">IFERROR(__xludf.DUMMYFUNCTION("googletranslate(D3296,""en"",""ja"")"),"タイプ 1 およびタイプ 2 MI の除外")</f>
        <v>タイプ 1 およびタイプ 2 MI の除外</v>
      </c>
      <c r="H3296" s="3" t="str">
        <f ca="1">IFERROR(__xludf.DUMMYFUNCTION("googletranslate(E3296,""en"",""ja"")"),"1 型および 2 型心筋梗塞が診断として除外されるかどうかの指標。")</f>
        <v>1 型および 2 型心筋梗塞が診断として除外されるかどうかの指標。</v>
      </c>
      <c r="I3296" s="3" t="str">
        <f ca="1">IFERROR(__xludf.DUMMYFUNCTION("googletranslate(F3296,""en"",""ja"")"),"1 型および 2 型心筋梗塞診断指標の除外")</f>
        <v>1 型および 2 型心筋梗塞診断指標の除外</v>
      </c>
    </row>
    <row r="3297" spans="1:9" ht="30">
      <c r="A3297" s="3" t="s">
        <v>6394</v>
      </c>
      <c r="B3297" s="3" t="s">
        <v>13587</v>
      </c>
      <c r="C3297" s="3" t="s">
        <v>13588</v>
      </c>
      <c r="D3297" s="3" t="s">
        <v>13588</v>
      </c>
      <c r="E3297" s="3" t="s">
        <v>13589</v>
      </c>
      <c r="F3297" s="3" t="s">
        <v>13590</v>
      </c>
      <c r="G3297" s="3" t="str">
        <f ca="1">IFERROR(__xludf.DUMMYFUNCTION("googletranslate(D3297,""en"",""ja"")"),"最小発育阻止濃度")</f>
        <v>最小発育阻止濃度</v>
      </c>
      <c r="H3297" s="3" t="str">
        <f ca="1">IFERROR(__xludf.DUMMYFUNCTION("googletranslate(E3297,""en"",""ja"")"),"生物の増殖が阻害される薬剤の最小濃度を指定する測定値。")</f>
        <v>生物の増殖が阻害される薬剤の最小濃度を指定する測定値。</v>
      </c>
      <c r="I3297" s="3" t="str">
        <f ca="1">IFERROR(__xludf.DUMMYFUNCTION("googletranslate(F3297,""en"",""ja"")"),"最小発育阻止濃度試験")</f>
        <v>最小発育阻止濃度試験</v>
      </c>
    </row>
    <row r="3298" spans="1:9" ht="75">
      <c r="A3298" s="3" t="s">
        <v>6394</v>
      </c>
      <c r="B3298" s="3" t="s">
        <v>13591</v>
      </c>
      <c r="C3298" s="3" t="s">
        <v>13592</v>
      </c>
      <c r="D3298" s="3" t="s">
        <v>13592</v>
      </c>
      <c r="E3298" s="3" t="s">
        <v>13593</v>
      </c>
      <c r="F3298" s="3" t="s">
        <v>13592</v>
      </c>
      <c r="G3298" s="3" t="str">
        <f ca="1">IFERROR(__xludf.DUMMYFUNCTION("googletranslate(D3298,""en"",""ja"")"),"微生物のIC50倍数のベースラインからの変化")</f>
        <v>微生物のIC50倍数のベースラインからの変化</v>
      </c>
      <c r="H3298" s="3" t="str">
        <f ca="1">IFERROR(__xludf.DUMMYFUNCTION("googletranslate(E3298,""en"",""ja"")"),"特定の薬物の濃度に基づく倍率変化は、微生物の酵素活性を 50% 阻害すると予想されます。これは、現在の IC50 被験者の結果を以前の IC50 被験者の結果で割って計算された比率です。")</f>
        <v>特定の薬物の濃度に基づく倍率変化は、微生物の酵素活性を 50% 阻害すると予想されます。これは、現在の IC50 被験者の結果を以前の IC50 被験者の結果で割って計算された比率です。</v>
      </c>
      <c r="I3298" s="3" t="str">
        <f ca="1">IFERROR(__xludf.DUMMYFUNCTION("googletranslate(F3298,""en"",""ja"")"),"微生物のIC50倍数のベースラインからの変化")</f>
        <v>微生物のIC50倍数のベースラインからの変化</v>
      </c>
    </row>
    <row r="3299" spans="1:9" ht="75">
      <c r="A3299" s="3" t="s">
        <v>6394</v>
      </c>
      <c r="B3299" s="3" t="s">
        <v>13594</v>
      </c>
      <c r="C3299" s="3" t="s">
        <v>13595</v>
      </c>
      <c r="D3299" s="3" t="s">
        <v>13596</v>
      </c>
      <c r="E3299" s="3" t="s">
        <v>13597</v>
      </c>
      <c r="F3299" s="3" t="s">
        <v>13598</v>
      </c>
      <c r="G3299" s="3" t="str">
        <f ca="1">IFERROR(__xludf.DUMMYFUNCTION("googletranslate(D3299,""en"",""ja"")"),"微生物の IC50 倍数の参考値からの変化。微生物の IC50 倍数の基準値からの変化")</f>
        <v>微生物の IC50 倍数の参考値からの変化。微生物の IC50 倍数の基準値からの変化</v>
      </c>
      <c r="H3299" s="3" t="str">
        <f ca="1">IFERROR(__xludf.DUMMYFUNCTION("googletranslate(E3299,""en"",""ja"")"),"特定の薬物の濃度に基づく倍率変化は、微生物の酵素活性を 50% 阻害すると予想されます。これは、IC50 被験者結果を IC50 参照対照結果で割って計算された比率です。")</f>
        <v>特定の薬物の濃度に基づく倍率変化は、微生物の酵素活性を 50% 阻害すると予想されます。これは、IC50 被験者結果を IC50 参照対照結果で割って計算された比率です。</v>
      </c>
      <c r="I3299" s="3" t="str">
        <f ca="1">IFERROR(__xludf.DUMMYFUNCTION("googletranslate(F3299,""en"",""ja"")"),"微生物の IC50 倍数の基準値からの変化")</f>
        <v>微生物の IC50 倍数の基準値からの変化</v>
      </c>
    </row>
    <row r="3300" spans="1:9" ht="60">
      <c r="A3300" s="3" t="s">
        <v>6394</v>
      </c>
      <c r="B3300" s="3" t="s">
        <v>13599</v>
      </c>
      <c r="C3300" s="3" t="s">
        <v>13600</v>
      </c>
      <c r="D3300" s="3" t="s">
        <v>13600</v>
      </c>
      <c r="E3300" s="3" t="s">
        <v>13601</v>
      </c>
      <c r="F3300" s="3" t="s">
        <v>13600</v>
      </c>
      <c r="G3300" s="3" t="str">
        <f ca="1">IFERROR(__xludf.DUMMYFUNCTION("googletranslate(D3300,""en"",""ja"")"),"微生物 IC50 基準管理結果")</f>
        <v>微生物 IC50 基準管理結果</v>
      </c>
      <c r="H3300" s="3" t="str">
        <f ca="1">IFERROR(__xludf.DUMMYFUNCTION("googletranslate(E3300,""en"",""ja"")"),"特定の薬物の濃度に基づく参照対照サンプルの反応は、微生物の酵素活性を 50% 阻害すると予想されます。")</f>
        <v>特定の薬物の濃度に基づく参照対照サンプルの反応は、微生物の酵素活性を 50% 阻害すると予想されます。</v>
      </c>
      <c r="I3300" s="3" t="str">
        <f ca="1">IFERROR(__xludf.DUMMYFUNCTION("googletranslate(F3300,""en"",""ja"")"),"微生物 IC50 基準管理結果")</f>
        <v>微生物 IC50 基準管理結果</v>
      </c>
    </row>
    <row r="3301" spans="1:9" ht="75">
      <c r="A3301" s="3" t="s">
        <v>6394</v>
      </c>
      <c r="B3301" s="3" t="s">
        <v>13602</v>
      </c>
      <c r="C3301" s="3" t="s">
        <v>13603</v>
      </c>
      <c r="D3301" s="3" t="s">
        <v>13603</v>
      </c>
      <c r="E3301" s="3" t="s">
        <v>13604</v>
      </c>
      <c r="F3301" s="3" t="s">
        <v>13603</v>
      </c>
      <c r="G3301" s="3" t="str">
        <f ca="1">IFERROR(__xludf.DUMMYFUNCTION("googletranslate(D3301,""en"",""ja"")"),"微生物の IC50 被験者の結果")</f>
        <v>微生物の IC50 被験者の結果</v>
      </c>
      <c r="H3301" s="3" t="str">
        <f ca="1">IFERROR(__xludf.DUMMYFUNCTION("googletranslate(E3301,""en"",""ja"")"),"微生物の酵素活性を 50% 阻害すると予想される特定の薬物濃度に曝露された微生物の生物学的/生化学的反応の測定。")</f>
        <v>微生物の酵素活性を 50% 阻害すると予想される特定の薬物濃度に曝露された微生物の生物学的/生化学的反応の測定。</v>
      </c>
      <c r="I3301" s="3" t="str">
        <f ca="1">IFERROR(__xludf.DUMMYFUNCTION("googletranslate(F3301,""en"",""ja"")"),"微生物の IC50 被験者の結果")</f>
        <v>微生物の IC50 被験者の結果</v>
      </c>
    </row>
    <row r="3302" spans="1:9" ht="75">
      <c r="A3302" s="3" t="s">
        <v>6394</v>
      </c>
      <c r="B3302" s="3" t="s">
        <v>13605</v>
      </c>
      <c r="C3302" s="3" t="s">
        <v>13606</v>
      </c>
      <c r="D3302" s="3" t="s">
        <v>13607</v>
      </c>
      <c r="E3302" s="3" t="s">
        <v>13608</v>
      </c>
      <c r="F3302" s="3" t="s">
        <v>13606</v>
      </c>
      <c r="G3302" s="3" t="str">
        <f ca="1">IFERROR(__xludf.DUMMYFUNCTION("googletranslate(D3302,""en"",""ja"")"),"IC95 ベースラインからの変化倍数。微生物のIC95倍数のベースラインからの変化")</f>
        <v>IC95 ベースラインからの変化倍数。微生物のIC95倍数のベースラインからの変化</v>
      </c>
      <c r="H3302" s="3" t="str">
        <f ca="1">IFERROR(__xludf.DUMMYFUNCTION("googletranslate(E3302,""en"",""ja"")"),"特定の薬物の濃度に基づく倍率変化は、微生物の酵素活性を 95 パーセント阻害すると予想されます。これは、現在の IC95 被験者結果を以前の IC95 被験者結果で割って計算された比率です。")</f>
        <v>特定の薬物の濃度に基づく倍率変化は、微生物の酵素活性を 95 パーセント阻害すると予想されます。これは、現在の IC95 被験者結果を以前の IC95 被験者結果で割って計算された比率です。</v>
      </c>
      <c r="I3302" s="3" t="str">
        <f ca="1">IFERROR(__xludf.DUMMYFUNCTION("googletranslate(F3302,""en"",""ja"")"),"微生物のIC95倍数のベースラインからの変化")</f>
        <v>微生物のIC95倍数のベースラインからの変化</v>
      </c>
    </row>
    <row r="3303" spans="1:9" ht="75">
      <c r="A3303" s="3" t="s">
        <v>6394</v>
      </c>
      <c r="B3303" s="3" t="s">
        <v>13609</v>
      </c>
      <c r="C3303" s="3" t="s">
        <v>13610</v>
      </c>
      <c r="D3303" s="3" t="s">
        <v>13611</v>
      </c>
      <c r="E3303" s="3" t="s">
        <v>13612</v>
      </c>
      <c r="F3303" s="3" t="s">
        <v>13610</v>
      </c>
      <c r="G3303" s="3" t="str">
        <f ca="1">IFERROR(__xludf.DUMMYFUNCTION("googletranslate(D3303,""en"",""ja"")"),"IC95 倍数の基準からの変化。微生物の IC95 倍数の参照値からの変化")</f>
        <v>IC95 倍数の基準からの変化。微生物の IC95 倍数の参照値からの変化</v>
      </c>
      <c r="H3303" s="3" t="str">
        <f ca="1">IFERROR(__xludf.DUMMYFUNCTION("googletranslate(E3303,""en"",""ja"")"),"特定の薬物の濃度に基づく倍率変化は、微生物の酵素活性を 95 パーセント阻害すると予想されます。これは、IC95 被験者結果を IC95 参照対照結果で割って計算された比率です。")</f>
        <v>特定の薬物の濃度に基づく倍率変化は、微生物の酵素活性を 95 パーセント阻害すると予想されます。これは、IC95 被験者結果を IC95 参照対照結果で割って計算された比率です。</v>
      </c>
      <c r="I3303" s="3" t="str">
        <f ca="1">IFERROR(__xludf.DUMMYFUNCTION("googletranslate(F3303,""en"",""ja"")"),"微生物の IC95 倍数の参照値からの変化")</f>
        <v>微生物の IC95 倍数の参照値からの変化</v>
      </c>
    </row>
    <row r="3304" spans="1:9" ht="60">
      <c r="A3304" s="3" t="s">
        <v>6394</v>
      </c>
      <c r="B3304" s="3" t="s">
        <v>13613</v>
      </c>
      <c r="C3304" s="3" t="s">
        <v>13614</v>
      </c>
      <c r="D3304" s="3" t="s">
        <v>13615</v>
      </c>
      <c r="E3304" s="3" t="s">
        <v>13616</v>
      </c>
      <c r="F3304" s="3" t="s">
        <v>13614</v>
      </c>
      <c r="G3304" s="3" t="str">
        <f ca="1">IFERROR(__xludf.DUMMYFUNCTION("googletranslate(D3304,""en"",""ja"")"),"IC95 基準制御結果;微生物 IC95 基準管理結果")</f>
        <v>IC95 基準制御結果;微生物 IC95 基準管理結果</v>
      </c>
      <c r="H3304" s="3" t="str">
        <f ca="1">IFERROR(__xludf.DUMMYFUNCTION("googletranslate(E3304,""en"",""ja"")"),"特定の薬物の濃度に基づく参照対照サンプルの反応は、微生物の酵素活性を 95% 阻害すると予想されます。")</f>
        <v>特定の薬物の濃度に基づく参照対照サンプルの反応は、微生物の酵素活性を 95% 阻害すると予想されます。</v>
      </c>
      <c r="I3304" s="3" t="str">
        <f ca="1">IFERROR(__xludf.DUMMYFUNCTION("googletranslate(F3304,""en"",""ja"")"),"微生物 IC95 基準管理結果")</f>
        <v>微生物 IC95 基準管理結果</v>
      </c>
    </row>
    <row r="3305" spans="1:9" ht="75">
      <c r="A3305" s="3" t="s">
        <v>6394</v>
      </c>
      <c r="B3305" s="3" t="s">
        <v>13617</v>
      </c>
      <c r="C3305" s="3" t="s">
        <v>13618</v>
      </c>
      <c r="D3305" s="3" t="s">
        <v>13619</v>
      </c>
      <c r="E3305" s="3" t="s">
        <v>13620</v>
      </c>
      <c r="F3305" s="3" t="s">
        <v>13618</v>
      </c>
      <c r="G3305" s="3" t="str">
        <f ca="1">IFERROR(__xludf.DUMMYFUNCTION("googletranslate(D3305,""en"",""ja"")"),"IC95 被験者の結果;微生物 IC95 被験者の結果")</f>
        <v>IC95 被験者の結果;微生物 IC95 被験者の結果</v>
      </c>
      <c r="H3305" s="3" t="str">
        <f ca="1">IFERROR(__xludf.DUMMYFUNCTION("googletranslate(E3305,""en"",""ja"")"),"特定の薬物濃度に曝露された微生物の生物学的/生化学的反応の測定では、微生物の酵素活性が 95% 阻害されると予想されます。")</f>
        <v>特定の薬物濃度に曝露された微生物の生物学的/生化学的反応の測定では、微生物の酵素活性が 95% 阻害されると予想されます。</v>
      </c>
      <c r="I3305" s="3" t="str">
        <f ca="1">IFERROR(__xludf.DUMMYFUNCTION("googletranslate(F3305,""en"",""ja"")"),"微生物 IC95 被験者の結果")</f>
        <v>微生物 IC95 被験者の結果</v>
      </c>
    </row>
    <row r="3306" spans="1:9" ht="30">
      <c r="A3306" s="3" t="s">
        <v>6</v>
      </c>
      <c r="B3306" s="3" t="s">
        <v>13621</v>
      </c>
      <c r="C3306" s="3" t="s">
        <v>13622</v>
      </c>
      <c r="D3306" s="3" t="s">
        <v>13622</v>
      </c>
      <c r="E3306" s="3" t="s">
        <v>13623</v>
      </c>
      <c r="F3306" s="3" t="s">
        <v>13624</v>
      </c>
      <c r="G3306" s="3" t="str">
        <f ca="1">IFERROR(__xludf.DUMMYFUNCTION("googletranslate(D3306,""en"",""ja"")"),"MHC クラス I 鎖関連プロテイン A")</f>
        <v>MHC クラス I 鎖関連プロテイン A</v>
      </c>
      <c r="H3306" s="3" t="str">
        <f ca="1">IFERROR(__xludf.DUMMYFUNCTION("googletranslate(E3306,""en"",""ja"")"),"生物学的標本中の MHC クラス I 鎖関連プロテイン A の測定。")</f>
        <v>生物学的標本中の MHC クラス I 鎖関連プロテイン A の測定。</v>
      </c>
      <c r="I3306" s="3" t="str">
        <f ca="1">IFERROR(__xludf.DUMMYFUNCTION("googletranslate(F3306,""en"",""ja"")"),"MHC クラス I 鎖関連プロテイン A の測定")</f>
        <v>MHC クラス I 鎖関連プロテイン A の測定</v>
      </c>
    </row>
    <row r="3307" spans="1:9" ht="30">
      <c r="A3307" s="3" t="s">
        <v>5065</v>
      </c>
      <c r="B3307" s="3" t="s">
        <v>13625</v>
      </c>
      <c r="C3307" s="3" t="s">
        <v>13626</v>
      </c>
      <c r="D3307" s="3" t="s">
        <v>13626</v>
      </c>
      <c r="E3307" s="3" t="s">
        <v>13627</v>
      </c>
      <c r="F3307" s="3" t="s">
        <v>13628</v>
      </c>
      <c r="G3307" s="3" t="str">
        <f ca="1">IFERROR(__xludf.DUMMYFUNCTION("googletranslate(D3307,""en"",""ja"")"),"超小型衛星の不安定性")</f>
        <v>超小型衛星の不安定性</v>
      </c>
      <c r="H3307" s="3" t="str">
        <f ca="1">IFERROR(__xludf.DUMMYFUNCTION("googletranslate(E3307,""en"",""ja"")"),"マイクロサテライト配列の長さの変動の評価。")</f>
        <v>マイクロサテライト配列の長さの変動の評価。</v>
      </c>
      <c r="I3307" s="3" t="str">
        <f ca="1">IFERROR(__xludf.DUMMYFUNCTION("googletranslate(F3307,""en"",""ja"")"),"超小型衛星の不安定性長さの評価")</f>
        <v>超小型衛星の不安定性長さの評価</v>
      </c>
    </row>
    <row r="3308" spans="1:9">
      <c r="A3308" s="3" t="s">
        <v>6</v>
      </c>
      <c r="B3308" s="3" t="s">
        <v>13629</v>
      </c>
      <c r="C3308" s="3" t="s">
        <v>13630</v>
      </c>
      <c r="D3308" s="3" t="s">
        <v>13630</v>
      </c>
      <c r="E3308" s="3" t="s">
        <v>13631</v>
      </c>
      <c r="F3308" s="3" t="s">
        <v>13632</v>
      </c>
      <c r="G3308" s="3" t="str">
        <f ca="1">IFERROR(__xludf.DUMMYFUNCTION("googletranslate(D3308,""en"",""ja"")"),"小球")</f>
        <v>小球</v>
      </c>
      <c r="H3308" s="3" t="str">
        <f ca="1">IFERROR(__xludf.DUMMYFUNCTION("googletranslate(E3308,""en"",""ja"")"),"生物学的標本中の微小球の測定。")</f>
        <v>生物学的標本中の微小球の測定。</v>
      </c>
      <c r="I3308" s="3" t="str">
        <f ca="1">IFERROR(__xludf.DUMMYFUNCTION("googletranslate(F3308,""en"",""ja"")"),"小球数")</f>
        <v>小球数</v>
      </c>
    </row>
    <row r="3309" spans="1:9" ht="30">
      <c r="A3309" s="3" t="s">
        <v>6394</v>
      </c>
      <c r="B3309" s="3" t="s">
        <v>13633</v>
      </c>
      <c r="C3309" s="3" t="s">
        <v>13634</v>
      </c>
      <c r="D3309" s="3" t="s">
        <v>13634</v>
      </c>
      <c r="E3309" s="3" t="s">
        <v>13635</v>
      </c>
      <c r="F3309" s="3" t="s">
        <v>13636</v>
      </c>
      <c r="G3309" s="3" t="str">
        <f ca="1">IFERROR(__xludf.DUMMYFUNCTION("googletranslate(D3309,""en"",""ja"")"),"微生物感受性")</f>
        <v>微生物感受性</v>
      </c>
      <c r="H3309" s="3" t="str">
        <f ca="1">IFERROR(__xludf.DUMMYFUNCTION("googletranslate(E3309,""en"",""ja"")"),"抗菌剤に対する微生物の反応の表現型または遺伝子型の評価。")</f>
        <v>抗菌剤に対する微生物の反応の表現型または遺伝子型の評価。</v>
      </c>
      <c r="I3309" s="3" t="str">
        <f ca="1">IFERROR(__xludf.DUMMYFUNCTION("googletranslate(F3309,""en"",""ja"")"),"微生物感受性検査")</f>
        <v>微生物感受性検査</v>
      </c>
    </row>
    <row r="3310" spans="1:9" ht="45">
      <c r="A3310" s="3" t="s">
        <v>6</v>
      </c>
      <c r="B3310" s="3" t="s">
        <v>13637</v>
      </c>
      <c r="C3310" s="3" t="s">
        <v>13638</v>
      </c>
      <c r="D3310" s="3" t="s">
        <v>13639</v>
      </c>
      <c r="E3310" s="3" t="s">
        <v>13640</v>
      </c>
      <c r="F3310" s="3" t="s">
        <v>13641</v>
      </c>
      <c r="G3310" s="3" t="str">
        <f ca="1">IFERROR(__xludf.DUMMYFUNCTION("googletranslate(D3310,""en"",""ja"")"),"中間細胞画分;ミッドセル")</f>
        <v>中間細胞画分;ミッドセル</v>
      </c>
      <c r="H3310" s="3" t="str">
        <f ca="1">IFERROR(__xludf.DUMMYFUNCTION("googletranslate(E3310,""en"",""ja"")"),"生物学的標本中の好酸球、好塩基球、単球、その他の前駆体白血球を含む中間細胞画分の測定。")</f>
        <v>生物学的標本中の好酸球、好塩基球、単球、その他の前駆体白血球を含む中間細胞画分の測定。</v>
      </c>
      <c r="I3310" s="3" t="str">
        <f ca="1">IFERROR(__xludf.DUMMYFUNCTION("googletranslate(F3310,""en"",""ja"")"),"中間細胞分画の測定")</f>
        <v>中間細胞分画の測定</v>
      </c>
    </row>
    <row r="3311" spans="1:9">
      <c r="A3311" s="3" t="s">
        <v>503</v>
      </c>
      <c r="B3311" s="3" t="s">
        <v>13642</v>
      </c>
      <c r="C3311" s="3" t="s">
        <v>13643</v>
      </c>
      <c r="D3311" s="3" t="s">
        <v>13643</v>
      </c>
      <c r="E3311" s="3" t="s">
        <v>13644</v>
      </c>
      <c r="F3311" s="3" t="s">
        <v>13643</v>
      </c>
      <c r="G3311" s="3" t="str">
        <f ca="1">IFERROR(__xludf.DUMMYFUNCTION("googletranslate(D3311,""en"",""ja"")"),"軍事的地位")</f>
        <v>軍事的地位</v>
      </c>
      <c r="H3311" s="3" t="str">
        <f ca="1">IFERROR(__xludf.DUMMYFUNCTION("googletranslate(E3311,""en"",""ja"")"),"兵役に関する個人の地位。")</f>
        <v>兵役に関する個人の地位。</v>
      </c>
      <c r="I3311" s="3" t="str">
        <f ca="1">IFERROR(__xludf.DUMMYFUNCTION("googletranslate(F3311,""en"",""ja"")"),"軍事的地位")</f>
        <v>軍事的地位</v>
      </c>
    </row>
    <row r="3312" spans="1:9" ht="30">
      <c r="A3312" s="3" t="s">
        <v>81</v>
      </c>
      <c r="B3312" s="3" t="s">
        <v>13645</v>
      </c>
      <c r="C3312" s="3" t="s">
        <v>13646</v>
      </c>
      <c r="D3312" s="3" t="s">
        <v>13646</v>
      </c>
      <c r="E3312" s="3" t="s">
        <v>13647</v>
      </c>
      <c r="F3312" s="3" t="s">
        <v>13646</v>
      </c>
      <c r="G3312" s="3" t="str">
        <f ca="1">IFERROR(__xludf.DUMMYFUNCTION("googletranslate(D3312,""en"",""ja"")"),"最小血管内腔直径")</f>
        <v>最小血管内腔直径</v>
      </c>
      <c r="H3312" s="3" t="str">
        <f ca="1">IFERROR(__xludf.DUMMYFUNCTION("googletranslate(E3312,""en"",""ja"")"),"血管の内側（内腔）の最小直径を一度のビューで定量的に導き出します。")</f>
        <v>血管の内側（内腔）の最小直径を一度のビューで定量的に導き出します。</v>
      </c>
      <c r="I3312" s="3" t="str">
        <f ca="1">IFERROR(__xludf.DUMMYFUNCTION("googletranslate(F3312,""en"",""ja"")"),"最小血管内腔直径")</f>
        <v>最小血管内腔直径</v>
      </c>
    </row>
    <row r="3313" spans="1:9" ht="45">
      <c r="A3313" s="3" t="s">
        <v>490</v>
      </c>
      <c r="B3313" s="3" t="s">
        <v>13648</v>
      </c>
      <c r="C3313" s="3" t="s">
        <v>13649</v>
      </c>
      <c r="D3313" s="3" t="s">
        <v>13650</v>
      </c>
      <c r="E3313" s="3" t="s">
        <v>13651</v>
      </c>
      <c r="F3313" s="3" t="s">
        <v>13649</v>
      </c>
      <c r="G3313" s="3" t="str">
        <f ca="1">IFERROR(__xludf.DUMMYFUNCTION("googletranslate(D3313,""en"",""ja"")"),"最大吸気圧;負の吸気力; NIF")</f>
        <v>最大吸気圧;負の吸気力; NIF</v>
      </c>
      <c r="H3313" s="3" t="str">
        <f ca="1">IFERROR(__xludf.DUMMYFUNCTION("googletranslate(E3313,""en"",""ja"")"),"完全に閉塞した気道に対して吸入時に発生する最大圧力。呼吸筋の強度を測定するために使用されます。 (NCI)")</f>
        <v>完全に閉塞した気道に対して吸入時に発生する最大圧力。呼吸筋の強度を測定するために使用されます。 (NCI)</v>
      </c>
      <c r="I3313" s="3" t="str">
        <f ca="1">IFERROR(__xludf.DUMMYFUNCTION("googletranslate(F3313,""en"",""ja"")"),"最大吸気圧")</f>
        <v>最大吸気圧</v>
      </c>
    </row>
    <row r="3314" spans="1:9" ht="30">
      <c r="A3314" s="3" t="s">
        <v>6</v>
      </c>
      <c r="B3314" s="3" t="s">
        <v>13652</v>
      </c>
      <c r="C3314" s="3" t="s">
        <v>13653</v>
      </c>
      <c r="D3314" s="3" t="s">
        <v>13653</v>
      </c>
      <c r="E3314" s="3" t="s">
        <v>13654</v>
      </c>
      <c r="F3314" s="3" t="s">
        <v>13655</v>
      </c>
      <c r="G3314" s="3" t="str">
        <f ca="1">IFERROR(__xludf.DUMMYFUNCTION("googletranslate(D3314,""en"",""ja"")"),"マクロファージ炎症性タンパク質 1")</f>
        <v>マクロファージ炎症性タンパク質 1</v>
      </c>
      <c r="H3314" s="3" t="str">
        <f ca="1">IFERROR(__xludf.DUMMYFUNCTION("googletranslate(E3314,""en"",""ja"")"),"生物学的標本中の総マクロファージ炎症性タンパク質 1 の測定。")</f>
        <v>生物学的標本中の総マクロファージ炎症性タンパク質 1 の測定。</v>
      </c>
      <c r="I3314" s="3" t="str">
        <f ca="1">IFERROR(__xludf.DUMMYFUNCTION("googletranslate(F3314,""en"",""ja"")"),"マクロファージ炎症性タンパク質 1 の測定")</f>
        <v>マクロファージ炎症性タンパク質 1 の測定</v>
      </c>
    </row>
    <row r="3315" spans="1:9" ht="45">
      <c r="A3315" s="3" t="s">
        <v>6</v>
      </c>
      <c r="B3315" s="3" t="s">
        <v>13656</v>
      </c>
      <c r="C3315" s="3" t="s">
        <v>13657</v>
      </c>
      <c r="D3315" s="3" t="s">
        <v>13658</v>
      </c>
      <c r="E3315" s="3" t="s">
        <v>13659</v>
      </c>
      <c r="F3315" s="3" t="s">
        <v>13660</v>
      </c>
      <c r="G3315" s="3" t="str">
        <f ca="1">IFERROR(__xludf.DUMMYFUNCTION("googletranslate(D3315,""en"",""ja"")"),"ケモカインリガンド 3;マクロファージ炎症性タンパク質 1 アルファ")</f>
        <v>ケモカインリガンド 3;マクロファージ炎症性タンパク質 1 アルファ</v>
      </c>
      <c r="H3315" s="3" t="str">
        <f ca="1">IFERROR(__xludf.DUMMYFUNCTION("googletranslate(E3315,""en"",""ja"")"),"生物学的標本中のマクロファージ炎症性タンパク質 1 α の測定。")</f>
        <v>生物学的標本中のマクロファージ炎症性タンパク質 1 α の測定。</v>
      </c>
      <c r="I3315" s="3" t="str">
        <f ca="1">IFERROR(__xludf.DUMMYFUNCTION("googletranslate(F3315,""en"",""ja"")"),"マクロファージ炎症性タンパク質 1 アルファの測定")</f>
        <v>マクロファージ炎症性タンパク質 1 アルファの測定</v>
      </c>
    </row>
    <row r="3316" spans="1:9" ht="45">
      <c r="A3316" s="3" t="s">
        <v>6</v>
      </c>
      <c r="B3316" s="3" t="s">
        <v>13661</v>
      </c>
      <c r="C3316" s="3" t="s">
        <v>13662</v>
      </c>
      <c r="D3316" s="3" t="s">
        <v>13663</v>
      </c>
      <c r="E3316" s="3" t="s">
        <v>13664</v>
      </c>
      <c r="F3316" s="3" t="s">
        <v>13665</v>
      </c>
      <c r="G3316" s="3" t="str">
        <f ca="1">IFERROR(__xludf.DUMMYFUNCTION("googletranslate(D3316,""en"",""ja"")"),"ケモカインリガンド 4;マクロファージ炎症性タンパク質 1 ベータ")</f>
        <v>ケモカインリガンド 4;マクロファージ炎症性タンパク質 1 ベータ</v>
      </c>
      <c r="H3316" s="3" t="str">
        <f ca="1">IFERROR(__xludf.DUMMYFUNCTION("googletranslate(E3316,""en"",""ja"")"),"生物学的標本中のマクロファージ炎症性タンパク質 1 ベータの測定。")</f>
        <v>生物学的標本中のマクロファージ炎症性タンパク質 1 ベータの測定。</v>
      </c>
      <c r="I3316" s="3" t="str">
        <f ca="1">IFERROR(__xludf.DUMMYFUNCTION("googletranslate(F3316,""en"",""ja"")"),"マクロファージ炎症性タンパク質 1 ベータの測定")</f>
        <v>マクロファージ炎症性タンパク質 1 ベータの測定</v>
      </c>
    </row>
    <row r="3317" spans="1:9" ht="30">
      <c r="A3317" s="3" t="s">
        <v>6</v>
      </c>
      <c r="B3317" s="3" t="s">
        <v>13666</v>
      </c>
      <c r="C3317" s="3" t="s">
        <v>13667</v>
      </c>
      <c r="D3317" s="3" t="s">
        <v>13667</v>
      </c>
      <c r="E3317" s="3" t="s">
        <v>13668</v>
      </c>
      <c r="F3317" s="3" t="s">
        <v>13669</v>
      </c>
      <c r="G3317" s="3" t="str">
        <f ca="1">IFERROR(__xludf.DUMMYFUNCTION("googletranslate(D3317,""en"",""ja"")"),"マクロファージ炎症性タンパク質 1 ガンマ")</f>
        <v>マクロファージ炎症性タンパク質 1 ガンマ</v>
      </c>
      <c r="H3317" s="3" t="str">
        <f ca="1">IFERROR(__xludf.DUMMYFUNCTION("googletranslate(E3317,""en"",""ja"")"),"生物学的標本中のマクロファージ炎症性タンパク質 1 ガンマの測定。")</f>
        <v>生物学的標本中のマクロファージ炎症性タンパク質 1 ガンマの測定。</v>
      </c>
      <c r="I3317" s="3" t="str">
        <f ca="1">IFERROR(__xludf.DUMMYFUNCTION("googletranslate(F3317,""en"",""ja"")"),"マクロファージ炎症性タンパク質 1 のガンマ測定")</f>
        <v>マクロファージ炎症性タンパク質 1 のガンマ測定</v>
      </c>
    </row>
    <row r="3318" spans="1:9" ht="60">
      <c r="A3318" s="3" t="s">
        <v>490</v>
      </c>
      <c r="B3318" s="3" t="s">
        <v>13670</v>
      </c>
      <c r="C3318" s="3" t="s">
        <v>13671</v>
      </c>
      <c r="D3318" s="3" t="s">
        <v>13671</v>
      </c>
      <c r="E3318" s="3" t="s">
        <v>13672</v>
      </c>
      <c r="F3318" s="3" t="s">
        <v>13673</v>
      </c>
      <c r="G3318" s="3" t="str">
        <f ca="1">IFERROR(__xludf.DUMMYFUNCTION("googletranslate(D3318,""en"",""ja"")"),"予測された MIP の割合")</f>
        <v>予測された MIP の割合</v>
      </c>
      <c r="H3318" s="3" t="str">
        <f ca="1">IFERROR(__xludf.DUMMYFUNCTION("googletranslate(E3318,""en"",""ja"")"),"完全に閉塞した気道に対して吸入中に発生する可能性のある最大の圧力。これは、予測された正常値の比率として表される呼吸筋の強さを測定するために使用されます。 (NCI)")</f>
        <v>完全に閉塞した気道に対して吸入中に発生する可能性のある最大の圧力。これは、予測された正常値の比率として表される呼吸筋の強さを測定するために使用されます。 (NCI)</v>
      </c>
      <c r="I3318" s="3" t="str">
        <f ca="1">IFERROR(__xludf.DUMMYFUNCTION("googletranslate(F3318,""en"",""ja"")"),"予測最大吸気圧のパーセント")</f>
        <v>予測最大吸気圧のパーセント</v>
      </c>
    </row>
    <row r="3319" spans="1:9" ht="45">
      <c r="A3319" s="3" t="s">
        <v>81</v>
      </c>
      <c r="B3319" s="3" t="s">
        <v>13674</v>
      </c>
      <c r="C3319" s="3" t="s">
        <v>13675</v>
      </c>
      <c r="D3319" s="3" t="s">
        <v>13675</v>
      </c>
      <c r="E3319" s="3" t="s">
        <v>13676</v>
      </c>
      <c r="F3319" s="3" t="s">
        <v>13675</v>
      </c>
      <c r="G3319" s="3" t="str">
        <f ca="1">IFERROR(__xludf.DUMMYFUNCTION("googletranslate(D3319,""en"",""ja"")"),"僧帽弁E/A比")</f>
        <v>僧帽弁E/A比</v>
      </c>
      <c r="H3319" s="3" t="str">
        <f ca="1">IFERROR(__xludf.DUMMYFUNCTION("googletranslate(E3319,""en"",""ja"")"),"心室拡張期初期 (E) のピーク送信速度と心室拡張期後期 (A) のピーク送信速度の比。")</f>
        <v>心室拡張期初期 (E) のピーク送信速度と心室拡張期後期 (A) のピーク送信速度の比。</v>
      </c>
      <c r="I3319" s="3" t="str">
        <f ca="1">IFERROR(__xludf.DUMMYFUNCTION("googletranslate(F3319,""en"",""ja"")"),"僧帽弁E/A比")</f>
        <v>僧帽弁E/A比</v>
      </c>
    </row>
    <row r="3320" spans="1:9" ht="30">
      <c r="A3320" s="3" t="s">
        <v>81</v>
      </c>
      <c r="B3320" s="3" t="s">
        <v>13677</v>
      </c>
      <c r="C3320" s="3" t="s">
        <v>13678</v>
      </c>
      <c r="D3320" s="3" t="s">
        <v>13678</v>
      </c>
      <c r="E3320" s="3" t="s">
        <v>13679</v>
      </c>
      <c r="F3320" s="3" t="s">
        <v>13678</v>
      </c>
      <c r="G3320" s="3" t="str">
        <f ca="1">IFERROR(__xludf.DUMMYFUNCTION("googletranslate(D3320,""en"",""ja"")"),"僧帽弁E/e'比")</f>
        <v>僧帽弁E/e'比</v>
      </c>
      <c r="H3320" s="3" t="str">
        <f ca="1">IFERROR(__xludf.DUMMYFUNCTION("googletranslate(E3320,""en"",""ja"")"),"心室拡張期初期 (E) のピーク伝達速度と僧帽弁輪状運動初期のピーク速度 (e') の比。")</f>
        <v>心室拡張期初期 (E) のピーク伝達速度と僧帽弁輪状運動初期のピーク速度 (e') の比。</v>
      </c>
      <c r="I3320" s="3" t="str">
        <f ca="1">IFERROR(__xludf.DUMMYFUNCTION("googletranslate(F3320,""en"",""ja"")"),"僧帽弁E/e'比")</f>
        <v>僧帽弁E/e'比</v>
      </c>
    </row>
    <row r="3321" spans="1:9" ht="45">
      <c r="A3321" s="3" t="s">
        <v>81</v>
      </c>
      <c r="B3321" s="3" t="s">
        <v>13680</v>
      </c>
      <c r="C3321" s="3" t="s">
        <v>13681</v>
      </c>
      <c r="D3321" s="3" t="s">
        <v>13682</v>
      </c>
      <c r="E3321" s="3" t="s">
        <v>13683</v>
      </c>
      <c r="F3321" s="3" t="s">
        <v>13684</v>
      </c>
      <c r="G3321" s="3" t="str">
        <f ca="1">IFERROR(__xludf.DUMMYFUNCTION("googletranslate(D3321,""en"",""ja"")"),"長軸断面秒。直径;長軸断面直径")</f>
        <v>長軸断面秒。直径;長軸断面直径</v>
      </c>
      <c r="H3321" s="3" t="str">
        <f ca="1">IFERROR(__xludf.DUMMYFUNCTION("googletranslate(E3321,""en"",""ja"")"),"組織、器官、または構造体の長軸に沿って測定した断面の直径。 (NCI)")</f>
        <v>組織、器官、または構造体の長軸に沿って測定した断面の直径。 (NCI)</v>
      </c>
      <c r="I3321" s="3" t="str">
        <f ca="1">IFERROR(__xludf.DUMMYFUNCTION("googletranslate(F3321,""en"",""ja"")"),"長軸断面直径")</f>
        <v>長軸断面直径</v>
      </c>
    </row>
    <row r="3322" spans="1:9" ht="45">
      <c r="A3322" s="3" t="s">
        <v>81</v>
      </c>
      <c r="B3322" s="3" t="s">
        <v>13685</v>
      </c>
      <c r="C3322" s="3" t="s">
        <v>13686</v>
      </c>
      <c r="D3322" s="3" t="s">
        <v>13687</v>
      </c>
      <c r="E3322" s="3" t="s">
        <v>13688</v>
      </c>
      <c r="F3322" s="3" t="s">
        <v>13689</v>
      </c>
      <c r="G3322" s="3" t="str">
        <f ca="1">IFERROR(__xludf.DUMMYFUNCTION("googletranslate(D3322,""en"",""ja"")"),"長軸断面直径、EVD;長軸断面径、心室拡張末期")</f>
        <v>長軸断面直径、EVD;長軸断面径、心室拡張末期</v>
      </c>
      <c r="H3322" s="3" t="str">
        <f ca="1">IFERROR(__xludf.DUMMYFUNCTION("googletranslate(E3322,""en"",""ja"")"),"心室拡張末期における心血管構造の長軸に沿って測定した心臓血管構造の断面直径。")</f>
        <v>心室拡張末期における心血管構造の長軸に沿って測定した心臓血管構造の断面直径。</v>
      </c>
      <c r="I3322" s="3" t="str">
        <f ca="1">IFERROR(__xludf.DUMMYFUNCTION("googletranslate(F3322,""en"",""ja"")"),"心室拡張末期の長軸断面径")</f>
        <v>心室拡張末期の長軸断面径</v>
      </c>
    </row>
    <row r="3323" spans="1:9" ht="45">
      <c r="A3323" s="3" t="s">
        <v>81</v>
      </c>
      <c r="B3323" s="3" t="s">
        <v>13690</v>
      </c>
      <c r="C3323" s="3" t="s">
        <v>13691</v>
      </c>
      <c r="D3323" s="3" t="s">
        <v>13692</v>
      </c>
      <c r="E3323" s="3" t="s">
        <v>13693</v>
      </c>
      <c r="F3323" s="3" t="s">
        <v>13694</v>
      </c>
      <c r="G3323" s="3" t="str">
        <f ca="1">IFERROR(__xludf.DUMMYFUNCTION("googletranslate(D3323,""en"",""ja"")"),"長軸断面直径、EVS;長軸断面直径、心室収縮末期")</f>
        <v>長軸断面直径、EVS;長軸断面直径、心室収縮末期</v>
      </c>
      <c r="H3323" s="3" t="str">
        <f ca="1">IFERROR(__xludf.DUMMYFUNCTION("googletranslate(E3323,""en"",""ja"")"),"心室収縮末期にその長軸に沿って測定された心血管構造の断面直径。")</f>
        <v>心室収縮末期にその長軸に沿って測定された心血管構造の断面直径。</v>
      </c>
      <c r="I3323" s="3" t="str">
        <f ca="1">IFERROR(__xludf.DUMMYFUNCTION("googletranslate(F3323,""en"",""ja"")"),"心室収縮末期の長軸断面直径")</f>
        <v>心室収縮末期の長軸断面直径</v>
      </c>
    </row>
    <row r="3324" spans="1:9" ht="45">
      <c r="A3324" s="3" t="s">
        <v>81</v>
      </c>
      <c r="B3324" s="3" t="s">
        <v>13695</v>
      </c>
      <c r="C3324" s="3" t="s">
        <v>13696</v>
      </c>
      <c r="D3324" s="3" t="s">
        <v>13697</v>
      </c>
      <c r="E3324" s="3" t="s">
        <v>13698</v>
      </c>
      <c r="F3324" s="3" t="s">
        <v>13699</v>
      </c>
      <c r="G3324" s="3" t="str">
        <f ca="1">IFERROR(__xludf.DUMMYFUNCTION("googletranslate(D3324,""en"",""ja"")"),"長軸断面秒。直径、MVS;長軸断面直径、心室中期収縮期")</f>
        <v>長軸断面秒。直径、MVS;長軸断面直径、心室中期収縮期</v>
      </c>
      <c r="H3324" s="3" t="str">
        <f ca="1">IFERROR(__xludf.DUMMYFUNCTION("googletranslate(E3324,""en"",""ja"")"),"心室収縮中期における心血管構造の長軸に沿って測定された心臓血管構造の断面直径。")</f>
        <v>心室収縮中期における心血管構造の長軸に沿って測定された心臓血管構造の断面直径。</v>
      </c>
      <c r="I3324" s="3" t="str">
        <f ca="1">IFERROR(__xludf.DUMMYFUNCTION("googletranslate(F3324,""en"",""ja"")"),"心室収縮中期における長軸断面直径")</f>
        <v>心室収縮中期における長軸断面直径</v>
      </c>
    </row>
    <row r="3325" spans="1:9" ht="45">
      <c r="A3325" s="3" t="s">
        <v>81</v>
      </c>
      <c r="B3325" s="3" t="s">
        <v>13700</v>
      </c>
      <c r="C3325" s="3" t="s">
        <v>13701</v>
      </c>
      <c r="D3325" s="3" t="s">
        <v>13702</v>
      </c>
      <c r="E3325" s="3" t="s">
        <v>13703</v>
      </c>
      <c r="F3325" s="3" t="s">
        <v>13704</v>
      </c>
      <c r="G3325" s="3" t="str">
        <f ca="1">IFERROR(__xludf.DUMMYFUNCTION("googletranslate(D3325,""en"",""ja"")"),"長軸内径、心室拡張末期。長軸内径、EVD")</f>
        <v>長軸内径、心室拡張末期。長軸内径、EVD</v>
      </c>
      <c r="H3325" s="3" t="str">
        <f ca="1">IFERROR(__xludf.DUMMYFUNCTION("googletranslate(E3325,""en"",""ja"")"),"心室拡張末期における心血管構造の長軸に沿って測定された心臓血管構造の内径。")</f>
        <v>心室拡張末期における心血管構造の長軸に沿って測定された心臓血管構造の内径。</v>
      </c>
      <c r="I3325" s="3" t="str">
        <f ca="1">IFERROR(__xludf.DUMMYFUNCTION("googletranslate(F3325,""en"",""ja"")"),"心室拡張末期の長軸内径")</f>
        <v>心室拡張末期の長軸内径</v>
      </c>
    </row>
    <row r="3326" spans="1:9" ht="45">
      <c r="A3326" s="3" t="s">
        <v>81</v>
      </c>
      <c r="B3326" s="3" t="s">
        <v>13705</v>
      </c>
      <c r="C3326" s="3" t="s">
        <v>13706</v>
      </c>
      <c r="D3326" s="3" t="s">
        <v>13707</v>
      </c>
      <c r="E3326" s="3" t="s">
        <v>13708</v>
      </c>
      <c r="F3326" s="3" t="s">
        <v>13709</v>
      </c>
      <c r="G3326" s="3" t="str">
        <f ca="1">IFERROR(__xludf.DUMMYFUNCTION("googletranslate(D3326,""en"",""ja"")"),"主軸内径、心室収縮末期。長軸内径、EVS")</f>
        <v>主軸内径、心室収縮末期。長軸内径、EVS</v>
      </c>
      <c r="H3326" s="3" t="str">
        <f ca="1">IFERROR(__xludf.DUMMYFUNCTION("googletranslate(E3326,""en"",""ja"")"),"心室収縮末期にその長軸に沿って測定された心血管構造の内径。")</f>
        <v>心室収縮末期にその長軸に沿って測定された心血管構造の内径。</v>
      </c>
      <c r="I3326" s="3" t="str">
        <f ca="1">IFERROR(__xludf.DUMMYFUNCTION("googletranslate(F3326,""en"",""ja"")"),"心室収縮末期の長軸内径")</f>
        <v>心室収縮末期の長軸内径</v>
      </c>
    </row>
    <row r="3327" spans="1:9" ht="30">
      <c r="A3327" s="3" t="s">
        <v>67</v>
      </c>
      <c r="B3327" s="3" t="s">
        <v>13710</v>
      </c>
      <c r="C3327" s="3" t="s">
        <v>13711</v>
      </c>
      <c r="D3327" s="3" t="s">
        <v>13711</v>
      </c>
      <c r="E3327" s="3" t="s">
        <v>13712</v>
      </c>
      <c r="F3327" s="3" t="s">
        <v>13713</v>
      </c>
      <c r="G3327" s="3" t="str">
        <f ca="1">IFERROR(__xludf.DUMMYFUNCTION("googletranslate(D3327,""en"",""ja"")"),"マイコバクテリウム カンサシ")</f>
        <v>マイコバクテリウム カンサシ</v>
      </c>
      <c r="H3327" s="3" t="str">
        <f ca="1">IFERROR(__xludf.DUMMYFUNCTION("googletranslate(E3327,""en"",""ja"")"),"生物学的標本中のマイコバクテリウム カンサシの測定。")</f>
        <v>生物学的標本中のマイコバクテリウム カンサシの測定。</v>
      </c>
      <c r="I3327" s="3" t="str">
        <f ca="1">IFERROR(__xludf.DUMMYFUNCTION("googletranslate(F3327,""en"",""ja"")"),"マイコバクテリウム・カンサシの測定")</f>
        <v>マイコバクテリウム・カンサシの測定</v>
      </c>
    </row>
    <row r="3328" spans="1:9" ht="45">
      <c r="A3328" s="3" t="s">
        <v>6</v>
      </c>
      <c r="B3328" s="3" t="s">
        <v>13714</v>
      </c>
      <c r="C3328" s="3" t="s">
        <v>13715</v>
      </c>
      <c r="D3328" s="3" t="s">
        <v>13716</v>
      </c>
      <c r="E3328" s="3" t="s">
        <v>13717</v>
      </c>
      <c r="F3328" s="3" t="s">
        <v>13718</v>
      </c>
      <c r="G3328" s="3" t="str">
        <f ca="1">IFERROR(__xludf.DUMMYFUNCTION("googletranslate(D3328,""en"",""ja"")"),"巨核球と巨核芽細胞の形態。巨核球と巨核芽球の形態")</f>
        <v>巨核球と巨核芽細胞の形態。巨核球と巨核芽球の形態</v>
      </c>
      <c r="H3328" s="3" t="str">
        <f ca="1">IFERROR(__xludf.DUMMYFUNCTION("googletranslate(E3328,""en"",""ja"")"),"巨核芽細胞と巨核球の形態と構造の検査または評価。")</f>
        <v>巨核芽細胞と巨核球の形態と構造の検査または評価。</v>
      </c>
      <c r="I3328" s="3" t="str">
        <f ca="1">IFERROR(__xludf.DUMMYFUNCTION("googletranslate(F3328,""en"",""ja"")"),"巨核球および巨核芽球の形態評価")</f>
        <v>巨核球および巨核芽球の形態評価</v>
      </c>
    </row>
    <row r="3329" spans="1:9" ht="30">
      <c r="A3329" s="3" t="s">
        <v>6</v>
      </c>
      <c r="B3329" s="3" t="s">
        <v>13719</v>
      </c>
      <c r="C3329" s="3" t="s">
        <v>13720</v>
      </c>
      <c r="D3329" s="3" t="s">
        <v>13720</v>
      </c>
      <c r="E3329" s="3" t="s">
        <v>13721</v>
      </c>
      <c r="F3329" s="3" t="s">
        <v>13722</v>
      </c>
      <c r="G3329" s="3" t="str">
        <f ca="1">IFERROR(__xludf.DUMMYFUNCTION("googletranslate(D3329,""en"",""ja"")"),"メラトニン")</f>
        <v>メラトニン</v>
      </c>
      <c r="H3329" s="3" t="str">
        <f ca="1">IFERROR(__xludf.DUMMYFUNCTION("googletranslate(E3329,""en"",""ja"")"),"生物学的標本中のメラトニン ホルモンの測定。")</f>
        <v>生物学的標本中のメラトニン ホルモンの測定。</v>
      </c>
      <c r="I3329" s="3" t="str">
        <f ca="1">IFERROR(__xludf.DUMMYFUNCTION("googletranslate(F3329,""en"",""ja"")"),"メラトニン測定")</f>
        <v>メラトニン測定</v>
      </c>
    </row>
    <row r="3330" spans="1:9" ht="45">
      <c r="A3330" s="3" t="s">
        <v>1557</v>
      </c>
      <c r="B3330" s="3" t="s">
        <v>13723</v>
      </c>
      <c r="C3330" s="3" t="s">
        <v>13724</v>
      </c>
      <c r="D3330" s="3" t="s">
        <v>13724</v>
      </c>
      <c r="E3330" s="3" t="s">
        <v>13725</v>
      </c>
      <c r="F3330" s="3" t="s">
        <v>13724</v>
      </c>
      <c r="G3330" s="3" t="str">
        <f ca="1">IFERROR(__xludf.DUMMYFUNCTION("googletranslate(D3330,""en"",""ja"")"),"縁縁距離")</f>
        <v>縁縁距離</v>
      </c>
      <c r="H3330" s="3" t="str">
        <f ca="1">IFERROR(__xludf.DUMMYFUNCTION("googletranslate(E3330,""en"",""ja"")"),"患者の視線を上に向けた状態で、下縁から上まぶたの縁中央までの距離の測定値。")</f>
        <v>患者の視線を上に向けた状態で、下縁から上まぶたの縁中央までの距離の測定値。</v>
      </c>
      <c r="I3330" s="3" t="str">
        <f ca="1">IFERROR(__xludf.DUMMYFUNCTION("googletranslate(F3330,""en"",""ja"")"),"縁縁距離")</f>
        <v>縁縁距離</v>
      </c>
    </row>
    <row r="3331" spans="1:9" ht="30">
      <c r="A3331" s="3" t="s">
        <v>6</v>
      </c>
      <c r="B3331" s="3" t="s">
        <v>13726</v>
      </c>
      <c r="C3331" s="3" t="s">
        <v>13727</v>
      </c>
      <c r="D3331" s="3" t="s">
        <v>13727</v>
      </c>
      <c r="E3331" s="3" t="s">
        <v>13728</v>
      </c>
      <c r="F3331" s="3" t="s">
        <v>13729</v>
      </c>
      <c r="G3331" s="3" t="str">
        <f ca="1">IFERROR(__xludf.DUMMYFUNCTION("googletranslate(D3331,""en"",""ja"")"),"悪性細胞、NOS")</f>
        <v>悪性細胞、NOS</v>
      </c>
      <c r="H3331" s="3" t="str">
        <f ca="1">IFERROR(__xludf.DUMMYFUNCTION("googletranslate(E3331,""en"",""ja"")"),"生物学的標本中のあらゆる種類の悪性細胞の測定。")</f>
        <v>生物学的標本中のあらゆる種類の悪性細胞の測定。</v>
      </c>
      <c r="I3331" s="3" t="str">
        <f ca="1">IFERROR(__xludf.DUMMYFUNCTION("googletranslate(F3331,""en"",""ja"")"),"悪性細胞数")</f>
        <v>悪性細胞数</v>
      </c>
    </row>
    <row r="3332" spans="1:9" ht="45">
      <c r="A3332" s="3" t="s">
        <v>6</v>
      </c>
      <c r="B3332" s="3" t="s">
        <v>13730</v>
      </c>
      <c r="C3332" s="3" t="s">
        <v>13731</v>
      </c>
      <c r="D3332" s="3" t="s">
        <v>13731</v>
      </c>
      <c r="E3332" s="3" t="s">
        <v>13732</v>
      </c>
      <c r="F3332" s="3" t="s">
        <v>13733</v>
      </c>
      <c r="G3332" s="3" t="str">
        <f ca="1">IFERROR(__xludf.DUMMYFUNCTION("googletranslate(D3332,""en"",""ja"")"),"悪性細胞、NOS/血液細胞")</f>
        <v>悪性細胞、NOS/血液細胞</v>
      </c>
      <c r="H3332" s="3" t="str">
        <f ca="1">IFERROR(__xludf.DUMMYFUNCTION("googletranslate(E3332,""en"",""ja"")"),"生物学的標本中のすべての血球に対するすべてのタイプの悪性細胞の相対的な測定値 (比率またはパーセンテージ)。")</f>
        <v>生物学的標本中のすべての血球に対するすべてのタイプの悪性細胞の相対的な測定値 (比率またはパーセンテージ)。</v>
      </c>
      <c r="I3332" s="3" t="str">
        <f ca="1">IFERROR(__xludf.DUMMYFUNCTION("googletranslate(F3332,""en"",""ja"")"),"悪性細胞対血球比の測定")</f>
        <v>悪性細胞対血球比の測定</v>
      </c>
    </row>
    <row r="3333" spans="1:9">
      <c r="A3333" s="3" t="s">
        <v>6</v>
      </c>
      <c r="B3333" s="3" t="s">
        <v>13734</v>
      </c>
      <c r="C3333" s="3" t="s">
        <v>13735</v>
      </c>
      <c r="D3333" s="3" t="s">
        <v>13735</v>
      </c>
      <c r="E3333" s="3" t="s">
        <v>13736</v>
      </c>
      <c r="F3333" s="3" t="s">
        <v>13737</v>
      </c>
      <c r="G3333" s="3" t="str">
        <f ca="1">IFERROR(__xludf.DUMMYFUNCTION("googletranslate(D3333,""en"",""ja"")"),"ミルナシプラン")</f>
        <v>ミルナシプラン</v>
      </c>
      <c r="H3333" s="3" t="str">
        <f ca="1">IFERROR(__xludf.DUMMYFUNCTION("googletranslate(E3333,""en"",""ja"")"),"生物学的標本中のミルナシプランの測定。")</f>
        <v>生物学的標本中のミルナシプランの測定。</v>
      </c>
      <c r="I3333" s="3" t="str">
        <f ca="1">IFERROR(__xludf.DUMMYFUNCTION("googletranslate(F3333,""en"",""ja"")"),"ミルナシプランの測定")</f>
        <v>ミルナシプランの測定</v>
      </c>
    </row>
    <row r="3334" spans="1:9" ht="45">
      <c r="A3334" s="3" t="s">
        <v>6</v>
      </c>
      <c r="B3334" s="3" t="s">
        <v>13738</v>
      </c>
      <c r="C3334" s="3" t="s">
        <v>13739</v>
      </c>
      <c r="D3334" s="3" t="s">
        <v>13740</v>
      </c>
      <c r="E3334" s="3" t="s">
        <v>13741</v>
      </c>
      <c r="F3334" s="3" t="s">
        <v>13742</v>
      </c>
      <c r="G3334" s="3" t="str">
        <f ca="1">IFERROR(__xludf.DUMMYFUNCTION("googletranslate(D3334,""en"",""ja"")"),"混合白血球反応;混合リンパ球反応")</f>
        <v>混合白血球反応;混合リンパ球反応</v>
      </c>
      <c r="H3334" s="3" t="str">
        <f ca="1">IFERROR(__xludf.DUMMYFUNCTION("googletranslate(E3334,""en"",""ja"")"),"2 人の別々の個体から採取した 2 つのリンパ球集団間の HL-A 遺伝子座における組織適合性の測定。")</f>
        <v>2 人の別々の個体から採取した 2 つのリンパ球集団間の HL-A 遺伝子座における組織適合性の測定。</v>
      </c>
      <c r="I3334" s="3" t="str">
        <f ca="1">IFERROR(__xludf.DUMMYFUNCTION("googletranslate(F3334,""en"",""ja"")"),"混合リンパ球反応検査")</f>
        <v>混合リンパ球反応検査</v>
      </c>
    </row>
    <row r="3335" spans="1:9" ht="30">
      <c r="A3335" s="3" t="s">
        <v>142</v>
      </c>
      <c r="B3335" s="3" t="s">
        <v>13743</v>
      </c>
      <c r="C3335" s="3" t="s">
        <v>13744</v>
      </c>
      <c r="D3335" s="3" t="s">
        <v>13745</v>
      </c>
      <c r="E3335" s="3" t="s">
        <v>13746</v>
      </c>
      <c r="F3335" s="3" t="s">
        <v>13744</v>
      </c>
      <c r="G3335" s="3" t="str">
        <f ca="1">IFERROR(__xludf.DUMMYFUNCTION("googletranslate(D3335,""en"",""ja"")"),"胞状奇胎インジケーター;臼歯妊娠インジケーター")</f>
        <v>胞状奇胎インジケーター;臼歯妊娠インジケーター</v>
      </c>
      <c r="H3335" s="3" t="str">
        <f ca="1">IFERROR(__xludf.DUMMYFUNCTION("googletranslate(E3335,""en"",""ja"")"),"奇胎妊娠（胞状奇胎）が発生したかどうかの指標。")</f>
        <v>奇胎妊娠（胞状奇胎）が発生したかどうかの指標。</v>
      </c>
      <c r="I3335" s="3" t="str">
        <f ca="1">IFERROR(__xludf.DUMMYFUNCTION("googletranslate(F3335,""en"",""ja"")"),"臼歯妊娠インジケーター")</f>
        <v>臼歯妊娠インジケーター</v>
      </c>
    </row>
    <row r="3336" spans="1:9" ht="30">
      <c r="A3336" s="3" t="s">
        <v>6</v>
      </c>
      <c r="B3336" s="3" t="s">
        <v>13747</v>
      </c>
      <c r="C3336" s="3" t="s">
        <v>13748</v>
      </c>
      <c r="D3336" s="3" t="s">
        <v>13749</v>
      </c>
      <c r="E3336" s="3" t="s">
        <v>13750</v>
      </c>
      <c r="F3336" s="3" t="s">
        <v>13751</v>
      </c>
      <c r="G3336" s="3" t="str">
        <f ca="1">IFERROR(__xludf.DUMMYFUNCTION("googletranslate(D3336,""en"",""ja"")"),"マロン酸メチル;メチルマロン酸")</f>
        <v>マロン酸メチル;メチルマロン酸</v>
      </c>
      <c r="H3336" s="3" t="str">
        <f ca="1">IFERROR(__xludf.DUMMYFUNCTION("googletranslate(E3336,""en"",""ja"")"),"生物学的標本中のメチルマロン酸の測定。")</f>
        <v>生物学的標本中のメチルマロン酸の測定。</v>
      </c>
      <c r="I3336" s="3" t="str">
        <f ca="1">IFERROR(__xludf.DUMMYFUNCTION("googletranslate(F3336,""en"",""ja"")"),"メチルマロン酸の測定")</f>
        <v>メチルマロン酸の測定</v>
      </c>
    </row>
    <row r="3337" spans="1:9" ht="30">
      <c r="A3337" s="3" t="s">
        <v>6</v>
      </c>
      <c r="B3337" s="3" t="s">
        <v>13752</v>
      </c>
      <c r="C3337" s="3" t="s">
        <v>13753</v>
      </c>
      <c r="D3337" s="3" t="s">
        <v>13754</v>
      </c>
      <c r="E3337" s="3" t="s">
        <v>13755</v>
      </c>
      <c r="F3337" s="3" t="s">
        <v>13756</v>
      </c>
      <c r="G3337" s="3" t="str">
        <f ca="1">IFERROR(__xludf.DUMMYFUNCTION("googletranslate(D3337,""en"",""ja"")"),"モノメチルアルギニン;ティラルギニン")</f>
        <v>モノメチルアルギニン;ティラルギニン</v>
      </c>
      <c r="H3337" s="3" t="str">
        <f ca="1">IFERROR(__xludf.DUMMYFUNCTION("googletranslate(E3337,""en"",""ja"")"),"生物学的標本中のモノメチルアルギニンの測定。")</f>
        <v>生物学的標本中のモノメチルアルギニンの測定。</v>
      </c>
      <c r="I3337" s="3" t="str">
        <f ca="1">IFERROR(__xludf.DUMMYFUNCTION("googletranslate(F3337,""en"",""ja"")"),"モノメチルアルギニンの測定")</f>
        <v>モノメチルアルギニンの測定</v>
      </c>
    </row>
    <row r="3338" spans="1:9" ht="30">
      <c r="A3338" s="3" t="s">
        <v>6</v>
      </c>
      <c r="B3338" s="3" t="s">
        <v>13757</v>
      </c>
      <c r="C3338" s="3" t="s">
        <v>13758</v>
      </c>
      <c r="D3338" s="3" t="s">
        <v>13759</v>
      </c>
      <c r="E3338" s="3" t="s">
        <v>13760</v>
      </c>
      <c r="F3338" s="3" t="s">
        <v>13761</v>
      </c>
      <c r="G3338" s="3" t="str">
        <f ca="1">IFERROR(__xludf.DUMMYFUNCTION("googletranslate(D3338,""en"",""ja"")"),"マクロファージ遊走阻害因子。 MIF")</f>
        <v>マクロファージ遊走阻害因子。 MIF</v>
      </c>
      <c r="H3338" s="3" t="str">
        <f ca="1">IFERROR(__xludf.DUMMYFUNCTION("googletranslate(E3338,""en"",""ja"")"),"生体試料中のマクロファージ遊走阻害因子の測定。")</f>
        <v>生体試料中のマクロファージ遊走阻害因子の測定。</v>
      </c>
      <c r="I3338" s="3" t="str">
        <f ca="1">IFERROR(__xludf.DUMMYFUNCTION("googletranslate(F3338,""en"",""ja"")"),"マクロファージ遊走阻害因子測定")</f>
        <v>マクロファージ遊走阻害因子測定</v>
      </c>
    </row>
    <row r="3339" spans="1:9" ht="30">
      <c r="A3339" s="3" t="s">
        <v>67</v>
      </c>
      <c r="B3339" s="3" t="s">
        <v>13762</v>
      </c>
      <c r="C3339" s="3" t="s">
        <v>13763</v>
      </c>
      <c r="D3339" s="3" t="s">
        <v>13763</v>
      </c>
      <c r="E3339" s="3" t="s">
        <v>13764</v>
      </c>
      <c r="F3339" s="3" t="s">
        <v>13765</v>
      </c>
      <c r="G3339" s="3" t="str">
        <f ca="1">IFERROR(__xludf.DUMMYFUNCTION("googletranslate(D3339,""en"",""ja"")"),"モルガネラ・モルガニ")</f>
        <v>モルガネラ・モルガニ</v>
      </c>
      <c r="H3339" s="3" t="str">
        <f ca="1">IFERROR(__xludf.DUMMYFUNCTION("googletranslate(E3339,""en"",""ja"")"),"生物学的標本中のモルガネラ モルガニの測定。")</f>
        <v>生物学的標本中のモルガネラ モルガニの測定。</v>
      </c>
      <c r="I3339" s="3" t="str">
        <f ca="1">IFERROR(__xludf.DUMMYFUNCTION("googletranslate(F3339,""en"",""ja"")"),"モルガネラ・モルガニの測定")</f>
        <v>モルガネラ・モルガニの測定</v>
      </c>
    </row>
    <row r="3340" spans="1:9" ht="30">
      <c r="A3340" s="3" t="s">
        <v>6</v>
      </c>
      <c r="B3340" s="3" t="s">
        <v>13766</v>
      </c>
      <c r="C3340" s="3" t="s">
        <v>13767</v>
      </c>
      <c r="D3340" s="3" t="s">
        <v>13768</v>
      </c>
      <c r="E3340" s="3" t="s">
        <v>13769</v>
      </c>
      <c r="F3340" s="3" t="s">
        <v>13770</v>
      </c>
      <c r="G3340" s="3" t="str">
        <f ca="1">IFERROR(__xludf.DUMMYFUNCTION("googletranslate(D3340,""en"",""ja"")"),"間質性コラゲナーゼ;マトリックスメタロプロテイナーゼ 1")</f>
        <v>間質性コラゲナーゼ;マトリックスメタロプロテイナーゼ 1</v>
      </c>
      <c r="H3340" s="3" t="str">
        <f ca="1">IFERROR(__xludf.DUMMYFUNCTION("googletranslate(E3340,""en"",""ja"")"),"生体試料中のマトリックスメタロプロテイナーゼ 1 の測定。")</f>
        <v>生体試料中のマトリックスメタロプロテイナーゼ 1 の測定。</v>
      </c>
      <c r="I3340" s="3" t="str">
        <f ca="1">IFERROR(__xludf.DUMMYFUNCTION("googletranslate(F3340,""en"",""ja"")"),"マトリックスメタロプロテイナーゼ 1 の測定")</f>
        <v>マトリックスメタロプロテイナーゼ 1 の測定</v>
      </c>
    </row>
    <row r="3341" spans="1:9" ht="30">
      <c r="A3341" s="3" t="s">
        <v>6</v>
      </c>
      <c r="B3341" s="3" t="s">
        <v>13771</v>
      </c>
      <c r="C3341" s="3" t="s">
        <v>13772</v>
      </c>
      <c r="D3341" s="3" t="s">
        <v>13773</v>
      </c>
      <c r="E3341" s="3" t="s">
        <v>13774</v>
      </c>
      <c r="F3341" s="3" t="s">
        <v>13775</v>
      </c>
      <c r="G3341" s="3" t="str">
        <f ca="1">IFERROR(__xludf.DUMMYFUNCTION("googletranslate(D3341,""en"",""ja"")"),"マトリックスメタロプロテイナーゼ 10;ストロメライシン 2")</f>
        <v>マトリックスメタロプロテイナーゼ 10;ストロメライシン 2</v>
      </c>
      <c r="H3341" s="3" t="str">
        <f ca="1">IFERROR(__xludf.DUMMYFUNCTION("googletranslate(E3341,""en"",""ja"")"),"検体中のマトリックスメタロプロテイナーゼ 10 の測定。")</f>
        <v>検体中のマトリックスメタロプロテイナーゼ 10 の測定。</v>
      </c>
      <c r="I3341" s="3" t="str">
        <f ca="1">IFERROR(__xludf.DUMMYFUNCTION("googletranslate(F3341,""en"",""ja"")"),"マトリックスメタロプロテイナーゼ 10 の測定")</f>
        <v>マトリックスメタロプロテイナーゼ 10 の測定</v>
      </c>
    </row>
    <row r="3342" spans="1:9" ht="75">
      <c r="A3342" s="3" t="s">
        <v>6</v>
      </c>
      <c r="B3342" s="3" t="s">
        <v>13776</v>
      </c>
      <c r="C3342" s="3" t="s">
        <v>13777</v>
      </c>
      <c r="D3342" s="3" t="s">
        <v>13778</v>
      </c>
      <c r="E3342" s="3" t="s">
        <v>13779</v>
      </c>
      <c r="F3342" s="3" t="s">
        <v>13780</v>
      </c>
      <c r="G3342" s="3" t="str">
        <f ca="1">IFERROR(__xludf.DUMMYFUNCTION("googletranslate(D3342,""en"",""ja"")"),"マクロファージエラスターゼ;マクロファージメタロエラスターゼ;マトリックスメタロペプチダーゼ 12;マトリックスメタロプロテイナーゼ 12; MME")</f>
        <v>マクロファージエラスターゼ;マクロファージメタロエラスターゼ;マトリックスメタロペプチダーゼ 12;マトリックスメタロプロテイナーゼ 12; MME</v>
      </c>
      <c r="H3342" s="3" t="str">
        <f ca="1">IFERROR(__xludf.DUMMYFUNCTION("googletranslate(E3342,""en"",""ja"")"),"検体中のマトリックスメタロプロテイナーゼ 12 の測定。")</f>
        <v>検体中のマトリックスメタロプロテイナーゼ 12 の測定。</v>
      </c>
      <c r="I3342" s="3" t="str">
        <f ca="1">IFERROR(__xludf.DUMMYFUNCTION("googletranslate(F3342,""en"",""ja"")"),"マトリックスメタロプロテイナーゼ 12 の測定")</f>
        <v>マトリックスメタロプロテイナーゼ 12 の測定</v>
      </c>
    </row>
    <row r="3343" spans="1:9" ht="30">
      <c r="A3343" s="3" t="s">
        <v>6</v>
      </c>
      <c r="B3343" s="3" t="s">
        <v>13781</v>
      </c>
      <c r="C3343" s="3" t="s">
        <v>13782</v>
      </c>
      <c r="D3343" s="3" t="s">
        <v>13783</v>
      </c>
      <c r="E3343" s="3" t="s">
        <v>13784</v>
      </c>
      <c r="F3343" s="3" t="s">
        <v>13785</v>
      </c>
      <c r="G3343" s="3" t="str">
        <f ca="1">IFERROR(__xludf.DUMMYFUNCTION("googletranslate(D3343,""en"",""ja"")"),"CLG3;コラゲナーゼ 3;マトリックスメタロプロテイナーゼ 13")</f>
        <v>CLG3;コラゲナーゼ 3;マトリックスメタロプロテイナーゼ 13</v>
      </c>
      <c r="H3343" s="3" t="str">
        <f ca="1">IFERROR(__xludf.DUMMYFUNCTION("googletranslate(E3343,""en"",""ja"")"),"検体中のマトリックスメタロプロテイナーゼ 13 の測定。")</f>
        <v>検体中のマトリックスメタロプロテイナーゼ 13 の測定。</v>
      </c>
      <c r="I3343" s="3" t="str">
        <f ca="1">IFERROR(__xludf.DUMMYFUNCTION("googletranslate(F3343,""en"",""ja"")"),"マトリックスメタロプロテイナーゼ 13 の測定")</f>
        <v>マトリックスメタロプロテイナーゼ 13 の測定</v>
      </c>
    </row>
    <row r="3344" spans="1:9" ht="30">
      <c r="A3344" s="3" t="s">
        <v>6</v>
      </c>
      <c r="B3344" s="3" t="s">
        <v>13786</v>
      </c>
      <c r="C3344" s="3" t="s">
        <v>13787</v>
      </c>
      <c r="D3344" s="3" t="s">
        <v>13788</v>
      </c>
      <c r="E3344" s="3" t="s">
        <v>13789</v>
      </c>
      <c r="F3344" s="3" t="s">
        <v>13790</v>
      </c>
      <c r="G3344" s="3" t="str">
        <f ca="1">IFERROR(__xludf.DUMMYFUNCTION("googletranslate(D3344,""en"",""ja"")"),"ゼラチナーゼA;マトリックスメタロプロテイナーゼ 2")</f>
        <v>ゼラチナーゼA;マトリックスメタロプロテイナーゼ 2</v>
      </c>
      <c r="H3344" s="3" t="str">
        <f ca="1">IFERROR(__xludf.DUMMYFUNCTION("googletranslate(E3344,""en"",""ja"")"),"生体試料中のマトリックスメタロプロテイナーゼ 2 の測定。")</f>
        <v>生体試料中のマトリックスメタロプロテイナーゼ 2 の測定。</v>
      </c>
      <c r="I3344" s="3" t="str">
        <f ca="1">IFERROR(__xludf.DUMMYFUNCTION("googletranslate(F3344,""en"",""ja"")"),"マトリックスメタロプロテイナーゼ 2 の測定")</f>
        <v>マトリックスメタロプロテイナーゼ 2 の測定</v>
      </c>
    </row>
    <row r="3345" spans="1:9" ht="30">
      <c r="A3345" s="3" t="s">
        <v>6</v>
      </c>
      <c r="B3345" s="3" t="s">
        <v>13791</v>
      </c>
      <c r="C3345" s="3" t="s">
        <v>13792</v>
      </c>
      <c r="D3345" s="3" t="s">
        <v>13793</v>
      </c>
      <c r="E3345" s="3" t="s">
        <v>13794</v>
      </c>
      <c r="F3345" s="3" t="s">
        <v>13795</v>
      </c>
      <c r="G3345" s="3" t="str">
        <f ca="1">IFERROR(__xludf.DUMMYFUNCTION("googletranslate(D3345,""en"",""ja"")"),"マトリックスメタロプロテイナーゼ 3;ストロメライシン 1")</f>
        <v>マトリックスメタロプロテイナーゼ 3;ストロメライシン 1</v>
      </c>
      <c r="H3345" s="3" t="str">
        <f ca="1">IFERROR(__xludf.DUMMYFUNCTION("googletranslate(E3345,""en"",""ja"")"),"生体試料中のマトリックスメタロプロテイナーゼ 3 の測定。")</f>
        <v>生体試料中のマトリックスメタロプロテイナーゼ 3 の測定。</v>
      </c>
      <c r="I3345" s="3" t="str">
        <f ca="1">IFERROR(__xludf.DUMMYFUNCTION("googletranslate(F3345,""en"",""ja"")"),"マトリックスメタロプロテイナーゼ 3 の測定")</f>
        <v>マトリックスメタロプロテイナーゼ 3 の測定</v>
      </c>
    </row>
    <row r="3346" spans="1:9" ht="30">
      <c r="A3346" s="3" t="s">
        <v>6</v>
      </c>
      <c r="B3346" s="3" t="s">
        <v>13796</v>
      </c>
      <c r="C3346" s="3" t="s">
        <v>13797</v>
      </c>
      <c r="D3346" s="3" t="s">
        <v>13798</v>
      </c>
      <c r="E3346" s="3" t="s">
        <v>13799</v>
      </c>
      <c r="F3346" s="3" t="s">
        <v>13800</v>
      </c>
      <c r="G3346" s="3" t="str">
        <f ca="1">IFERROR(__xludf.DUMMYFUNCTION("googletranslate(D3346,""en"",""ja"")"),"マトリリシン;マトリックスメタロプロテイナーゼ 7")</f>
        <v>マトリリシン;マトリックスメタロプロテイナーゼ 7</v>
      </c>
      <c r="H3346" s="3" t="str">
        <f ca="1">IFERROR(__xludf.DUMMYFUNCTION("googletranslate(E3346,""en"",""ja"")"),"生体試料中のマトリックスメタロプロテイナーゼ 7 の測定。")</f>
        <v>生体試料中のマトリックスメタロプロテイナーゼ 7 の測定。</v>
      </c>
      <c r="I3346" s="3" t="str">
        <f ca="1">IFERROR(__xludf.DUMMYFUNCTION("googletranslate(F3346,""en"",""ja"")"),"マトリックスメタロプロテイナーゼ 7 の測定")</f>
        <v>マトリックスメタロプロテイナーゼ 7 の測定</v>
      </c>
    </row>
    <row r="3347" spans="1:9" ht="30">
      <c r="A3347" s="3" t="s">
        <v>6</v>
      </c>
      <c r="B3347" s="3" t="s">
        <v>13801</v>
      </c>
      <c r="C3347" s="3" t="s">
        <v>13802</v>
      </c>
      <c r="D3347" s="3" t="s">
        <v>13803</v>
      </c>
      <c r="E3347" s="3" t="s">
        <v>13804</v>
      </c>
      <c r="F3347" s="3" t="s">
        <v>13805</v>
      </c>
      <c r="G3347" s="3" t="str">
        <f ca="1">IFERROR(__xludf.DUMMYFUNCTION("googletranslate(D3347,""en"",""ja"")"),"マトリックスメタロプロテイナーゼ 8;好中球コラゲナーゼ")</f>
        <v>マトリックスメタロプロテイナーゼ 8;好中球コラゲナーゼ</v>
      </c>
      <c r="H3347" s="3" t="str">
        <f ca="1">IFERROR(__xludf.DUMMYFUNCTION("googletranslate(E3347,""en"",""ja"")"),"生体試料中のマトリックスメタロプロテイナーゼ 8 の測定。")</f>
        <v>生体試料中のマトリックスメタロプロテイナーゼ 8 の測定。</v>
      </c>
      <c r="I3347" s="3" t="str">
        <f ca="1">IFERROR(__xludf.DUMMYFUNCTION("googletranslate(F3347,""en"",""ja"")"),"マトリックスメタロプロテイナーゼ 8 の測定")</f>
        <v>マトリックスメタロプロテイナーゼ 8 の測定</v>
      </c>
    </row>
    <row r="3348" spans="1:9" ht="30">
      <c r="A3348" s="3" t="s">
        <v>6</v>
      </c>
      <c r="B3348" s="3" t="s">
        <v>13806</v>
      </c>
      <c r="C3348" s="3" t="s">
        <v>13807</v>
      </c>
      <c r="D3348" s="3" t="s">
        <v>13808</v>
      </c>
      <c r="E3348" s="3" t="s">
        <v>13809</v>
      </c>
      <c r="F3348" s="3" t="s">
        <v>13810</v>
      </c>
      <c r="G3348" s="3" t="str">
        <f ca="1">IFERROR(__xludf.DUMMYFUNCTION("googletranslate(D3348,""en"",""ja"")"),"ゼラチナーゼB;マトリックスメタロプロテイナーゼ 9")</f>
        <v>ゼラチナーゼB;マトリックスメタロプロテイナーゼ 9</v>
      </c>
      <c r="H3348" s="3" t="str">
        <f ca="1">IFERROR(__xludf.DUMMYFUNCTION("googletranslate(E3348,""en"",""ja"")"),"生体試料中のマトリックスメタロプロテイナーゼ 9 の測定。")</f>
        <v>生体試料中のマトリックスメタロプロテイナーゼ 9 の測定。</v>
      </c>
      <c r="I3348" s="3" t="str">
        <f ca="1">IFERROR(__xludf.DUMMYFUNCTION("googletranslate(F3348,""en"",""ja"")"),"マトリックスメタロプロテイナーゼ 9 の測定")</f>
        <v>マトリックスメタロプロテイナーゼ 9 の測定</v>
      </c>
    </row>
    <row r="3349" spans="1:9" ht="45">
      <c r="A3349" s="3" t="s">
        <v>67</v>
      </c>
      <c r="B3349" s="3" t="s">
        <v>13811</v>
      </c>
      <c r="C3349" s="3" t="s">
        <v>13812</v>
      </c>
      <c r="D3349" s="3" t="s">
        <v>13813</v>
      </c>
      <c r="E3349" s="3" t="s">
        <v>13814</v>
      </c>
      <c r="F3349" s="3" t="s">
        <v>13815</v>
      </c>
      <c r="G3349" s="3" t="str">
        <f ca="1">IFERROR(__xludf.DUMMYFUNCTION("googletranslate(D3349,""en"",""ja"")"),"おたふく風邪ルブラウイルス RNA;おたふく風邪ウイルスのRNA")</f>
        <v>おたふく風邪ルブラウイルス RNA;おたふく風邪ウイルスのRNA</v>
      </c>
      <c r="H3349" s="3" t="str">
        <f ca="1">IFERROR(__xludf.DUMMYFUNCTION("googletranslate(E3349,""en"",""ja"")"),"生物学的標本中のムンプス・ルブラウイルス RNA の測定。")</f>
        <v>生物学的標本中のムンプス・ルブラウイルス RNA の測定。</v>
      </c>
      <c r="I3349" s="3" t="str">
        <f ca="1">IFERROR(__xludf.DUMMYFUNCTION("googletranslate(F3349,""en"",""ja"")"),"おたふく風邪ウイルスRNA測定")</f>
        <v>おたふく風邪ウイルスRNA測定</v>
      </c>
    </row>
    <row r="3350" spans="1:9" ht="30">
      <c r="A3350" s="3" t="s">
        <v>6</v>
      </c>
      <c r="B3350" s="3" t="s">
        <v>13816</v>
      </c>
      <c r="C3350" s="3" t="s">
        <v>13817</v>
      </c>
      <c r="D3350" s="3" t="s">
        <v>13818</v>
      </c>
      <c r="E3350" s="3" t="s">
        <v>13819</v>
      </c>
      <c r="F3350" s="3" t="s">
        <v>13820</v>
      </c>
      <c r="G3350" s="3" t="str">
        <f ca="1">IFERROR(__xludf.DUMMYFUNCTION("googletranslate(D3350,""en"",""ja"")"),"成熟中の骨髄細胞/全細胞")</f>
        <v>成熟中の骨髄細胞/全細胞</v>
      </c>
      <c r="H3350" s="3" t="str">
        <f ca="1">IFERROR(__xludf.DUMMYFUNCTION("googletranslate(E3350,""en"",""ja"")"),"生物学的標本の全細胞に対する成熟骨髄細胞の相対的な測定値 (比率またはパーセンテージ)。")</f>
        <v>生物学的標本の全細胞に対する成熟骨髄細胞の相対的な測定値 (比率またはパーセンテージ)。</v>
      </c>
      <c r="I3350" s="3" t="str">
        <f ca="1">IFERROR(__xludf.DUMMYFUNCTION("googletranslate(F3350,""en"",""ja"")"),"成熟骨髄細胞対総細胞比の測定")</f>
        <v>成熟骨髄細胞対総細胞比の測定</v>
      </c>
    </row>
    <row r="3351" spans="1:9" ht="45">
      <c r="A3351" s="3" t="s">
        <v>1557</v>
      </c>
      <c r="B3351" s="3" t="s">
        <v>13821</v>
      </c>
      <c r="C3351" s="3" t="s">
        <v>13822</v>
      </c>
      <c r="D3351" s="3" t="s">
        <v>13822</v>
      </c>
      <c r="E3351" s="3" t="s">
        <v>13823</v>
      </c>
      <c r="F3351" s="3" t="s">
        <v>13822</v>
      </c>
      <c r="G3351" s="3" t="str">
        <f ca="1">IFERROR(__xludf.DUMMYFUNCTION("googletranslate(D3351,""en"",""ja"")"),"最小解像度角度")</f>
        <v>最小解像度角度</v>
      </c>
      <c r="H3351" s="3" t="str">
        <f ca="1">IFERROR(__xludf.DUMMYFUNCTION("googletranslate(E3351,""en"",""ja"")"),"網膜を含む画像形成装置が 2 つの物体を別個の存在として区別できるようにする最小分離角。")</f>
        <v>網膜を含む画像形成装置が 2 つの物体を別個の存在として区別できるようにする最小分離角。</v>
      </c>
      <c r="I3351" s="3" t="str">
        <f ca="1">IFERROR(__xludf.DUMMYFUNCTION("googletranslate(F3351,""en"",""ja"")"),"最小解像度角度")</f>
        <v>最小解像度角度</v>
      </c>
    </row>
    <row r="3352" spans="1:9" ht="30">
      <c r="A3352" s="3" t="s">
        <v>1557</v>
      </c>
      <c r="B3352" s="3" t="s">
        <v>13824</v>
      </c>
      <c r="C3352" s="3" t="s">
        <v>13825</v>
      </c>
      <c r="D3352" s="3" t="s">
        <v>13825</v>
      </c>
      <c r="E3352" s="3" t="s">
        <v>13826</v>
      </c>
      <c r="F3352" s="3" t="s">
        <v>13827</v>
      </c>
      <c r="G3352" s="3" t="str">
        <f ca="1">IFERROR(__xludf.DUMMYFUNCTION("googletranslate(D3352,""en"",""ja"")"),"最小解像度角度、Log10")</f>
        <v>最小解像度角度、Log10</v>
      </c>
      <c r="H3352" s="3" t="str">
        <f ca="1">IFERROR(__xludf.DUMMYFUNCTION("googletranslate(E3352,""en"",""ja"")"),"テスト中に個人が達成した最小解像度角度の 10 を底とする対数。")</f>
        <v>テスト中に個人が達成した最小解像度角度の 10 を底とする対数。</v>
      </c>
      <c r="I3352" s="3" t="str">
        <f ca="1">IFERROR(__xludf.DUMMYFUNCTION("googletranslate(F3352,""en"",""ja"")"),"Log10 最小解像度角度")</f>
        <v>Log10 最小解像度角度</v>
      </c>
    </row>
    <row r="3353" spans="1:9" ht="30">
      <c r="A3353" s="3" t="s">
        <v>6</v>
      </c>
      <c r="B3353" s="3" t="s">
        <v>13828</v>
      </c>
      <c r="C3353" s="3" t="s">
        <v>13829</v>
      </c>
      <c r="D3353" s="3" t="s">
        <v>13830</v>
      </c>
      <c r="E3353" s="3" t="s">
        <v>13831</v>
      </c>
      <c r="F3353" s="3" t="s">
        <v>13832</v>
      </c>
      <c r="G3353" s="3" t="str">
        <f ca="1">IFERROR(__xludf.DUMMYFUNCTION("googletranslate(D3353,""en"",""ja"")"),"単核細胞;単核細胞")</f>
        <v>単核細胞;単核細胞</v>
      </c>
      <c r="H3353" s="3" t="str">
        <f ca="1">IFERROR(__xludf.DUMMYFUNCTION("googletranslate(E3353,""en"",""ja"")"),"生物学的標本中の単核球の測定。")</f>
        <v>生物学的標本中の単核球の測定。</v>
      </c>
      <c r="I3353" s="3" t="str">
        <f ca="1">IFERROR(__xludf.DUMMYFUNCTION("googletranslate(F3353,""en"",""ja"")"),"単核球数")</f>
        <v>単核球数</v>
      </c>
    </row>
    <row r="3354" spans="1:9" ht="30">
      <c r="A3354" s="3" t="s">
        <v>6</v>
      </c>
      <c r="B3354" s="3" t="s">
        <v>13833</v>
      </c>
      <c r="C3354" s="3" t="s">
        <v>13834</v>
      </c>
      <c r="D3354" s="3" t="s">
        <v>13834</v>
      </c>
      <c r="E3354" s="3" t="s">
        <v>13835</v>
      </c>
      <c r="F3354" s="3" t="s">
        <v>13836</v>
      </c>
      <c r="G3354" s="3" t="str">
        <f ca="1">IFERROR(__xludf.DUMMYFUNCTION("googletranslate(D3354,""en"",""ja"")"),"非定型単核細胞")</f>
        <v>非定型単核細胞</v>
      </c>
      <c r="H3354" s="3" t="str">
        <f ca="1">IFERROR(__xludf.DUMMYFUNCTION("googletranslate(E3354,""en"",""ja"")"),"生物学的標本中の異型単核球の測定。")</f>
        <v>生物学的標本中の異型単核球の測定。</v>
      </c>
      <c r="I3354" s="3" t="str">
        <f ca="1">IFERROR(__xludf.DUMMYFUNCTION("googletranslate(F3354,""en"",""ja"")"),"非定型単核球数")</f>
        <v>非定型単核球数</v>
      </c>
    </row>
    <row r="3355" spans="1:9" ht="30">
      <c r="A3355" s="3" t="s">
        <v>6</v>
      </c>
      <c r="B3355" s="3" t="s">
        <v>13837</v>
      </c>
      <c r="C3355" s="3" t="s">
        <v>13838</v>
      </c>
      <c r="D3355" s="3" t="s">
        <v>13838</v>
      </c>
      <c r="E3355" s="3" t="s">
        <v>13839</v>
      </c>
      <c r="F3355" s="3" t="s">
        <v>13840</v>
      </c>
      <c r="G3355" s="3" t="str">
        <f ca="1">IFERROR(__xludf.DUMMYFUNCTION("googletranslate(D3355,""en"",""ja"")"),"異型単核球/白血球")</f>
        <v>異型単核球/白血球</v>
      </c>
      <c r="H3355" s="3" t="str">
        <f ca="1">IFERROR(__xludf.DUMMYFUNCTION("googletranslate(E3355,""en"",""ja"")"),"生物学的標本中の白血球に対する異型単核球の相対測定値 (比率またはパーセンテージ)。")</f>
        <v>生物学的標本中の白血球に対する異型単核球の相対測定値 (比率またはパーセンテージ)。</v>
      </c>
      <c r="I3355" s="3" t="str">
        <f ca="1">IFERROR(__xludf.DUMMYFUNCTION("googletranslate(F3355,""en"",""ja"")"),"異型単核球と白血球の比率の測定")</f>
        <v>異型単核球と白血球の比率の測定</v>
      </c>
    </row>
    <row r="3356" spans="1:9" ht="30">
      <c r="A3356" s="3" t="s">
        <v>103</v>
      </c>
      <c r="B3356" s="3" t="s">
        <v>13841</v>
      </c>
      <c r="C3356" s="3" t="s">
        <v>13842</v>
      </c>
      <c r="D3356" s="3" t="s">
        <v>13843</v>
      </c>
      <c r="E3356" s="3" t="s">
        <v>13844</v>
      </c>
      <c r="F3356" s="3" t="s">
        <v>13845</v>
      </c>
      <c r="G3356" s="3" t="str">
        <f ca="1">IFERROR(__xludf.DUMMYFUNCTION("googletranslate(D3356,""en"",""ja"")"),"モノラルクラシック;単球の古典")</f>
        <v>モノラルクラシック;単球の古典</v>
      </c>
      <c r="H3356" s="3" t="str">
        <f ca="1">IFERROR(__xludf.DUMMYFUNCTION("googletranslate(E3356,""en"",""ja"")"),"生物学的標本中の古典的な単球の測定。")</f>
        <v>生物学的標本中の古典的な単球の測定。</v>
      </c>
      <c r="I3356" s="3" t="str">
        <f ca="1">IFERROR(__xludf.DUMMYFUNCTION("googletranslate(F3356,""en"",""ja"")"),"古典的な単球数")</f>
        <v>古典的な単球数</v>
      </c>
    </row>
    <row r="3357" spans="1:9" ht="30">
      <c r="A3357" s="3" t="s">
        <v>103</v>
      </c>
      <c r="B3357" s="3" t="s">
        <v>13846</v>
      </c>
      <c r="C3357" s="3" t="s">
        <v>13847</v>
      </c>
      <c r="D3357" s="3" t="s">
        <v>13848</v>
      </c>
      <c r="E3357" s="3" t="s">
        <v>13849</v>
      </c>
      <c r="F3357" s="3" t="s">
        <v>13850</v>
      </c>
      <c r="G3357" s="3" t="str">
        <f ca="1">IFERROR(__xludf.DUMMYFUNCTION("googletranslate(D3357,""en"",""ja"")"),"モノクラシック/ロイク;クラシック単球/白血球")</f>
        <v>モノクラシック/ロイク;クラシック単球/白血球</v>
      </c>
      <c r="H3357" s="3" t="str">
        <f ca="1">IFERROR(__xludf.DUMMYFUNCTION("googletranslate(E3357,""en"",""ja"")"),"生物学的標本中の総白血球に対する古典的単球の相対測定値 (比率またはパーセンテージ)。")</f>
        <v>生物学的標本中の総白血球に対する古典的単球の相対測定値 (比率またはパーセンテージ)。</v>
      </c>
      <c r="I3357" s="3" t="str">
        <f ca="1">IFERROR(__xludf.DUMMYFUNCTION("googletranslate(F3357,""en"",""ja"")"),"古典的な単球と白血球の比率の測定")</f>
        <v>古典的な単球と白血球の比率の測定</v>
      </c>
    </row>
    <row r="3358" spans="1:9" ht="60">
      <c r="A3358" s="3" t="s">
        <v>103</v>
      </c>
      <c r="B3358" s="3" t="s">
        <v>13851</v>
      </c>
      <c r="C3358" s="3" t="s">
        <v>13852</v>
      </c>
      <c r="D3358" s="3" t="s">
        <v>13853</v>
      </c>
      <c r="E3358" s="3" t="s">
        <v>13854</v>
      </c>
      <c r="F3358" s="3" t="s">
        <v>13855</v>
      </c>
      <c r="G3358" s="3" t="str">
        <f ca="1">IFERROR(__xludf.DUMMYFUNCTION("googletranslate(D3358,""en"",""ja"")"),"モノラルクラシック/ロイクサブ;古典的単球/白血球サブ集団。古典的単球/白血球サブ集団")</f>
        <v>モノラルクラシック/ロイクサブ;古典的単球/白血球サブ集団。古典的単球/白血球サブ集団</v>
      </c>
      <c r="H3358" s="3" t="str">
        <f ca="1">IFERROR(__xludf.DUMMYFUNCTION("googletranslate(E3358,""en"",""ja"")"),"生物学的標本中の白血球の部分集団に対する古典的単球の相対測定値 (比率またはパーセンテージ)。")</f>
        <v>生物学的標本中の白血球の部分集団に対する古典的単球の相対測定値 (比率またはパーセンテージ)。</v>
      </c>
      <c r="I3358" s="3" t="str">
        <f ca="1">IFERROR(__xludf.DUMMYFUNCTION("googletranslate(F3358,""en"",""ja"")"),"古典的な単球対白血球部分集団比の測定")</f>
        <v>古典的な単球対白血球部分集団比の測定</v>
      </c>
    </row>
    <row r="3359" spans="1:9" ht="75">
      <c r="A3359" s="3" t="s">
        <v>103</v>
      </c>
      <c r="B3359" s="3" t="s">
        <v>13856</v>
      </c>
      <c r="C3359" s="3" t="s">
        <v>13857</v>
      </c>
      <c r="D3359" s="3" t="s">
        <v>13858</v>
      </c>
      <c r="E3359" s="3" t="s">
        <v>13859</v>
      </c>
      <c r="F3359" s="3" t="s">
        <v>13860</v>
      </c>
      <c r="G3359" s="3" t="str">
        <f ca="1">IFERROR(__xludf.DUMMYFUNCTION("googletranslate(D3359,""en"",""ja"")"),"モノラルクラシック/リムサブ;古典的単球/リンパ球サブ集団。古典的単球/リンパ球サブ集団")</f>
        <v>モノラルクラシック/リムサブ;古典的単球/リンパ球サブ集団。古典的単球/リンパ球サブ集団</v>
      </c>
      <c r="H3359" s="3" t="str">
        <f ca="1">IFERROR(__xludf.DUMMYFUNCTION("googletranslate(E3359,""en"",""ja"")"),"生物学的標本中のリンパ球の部分集団に対する古典的単球の相対測定値 (比率またはパーセンテージ)。")</f>
        <v>生物学的標本中のリンパ球の部分集団に対する古典的単球の相対測定値 (比率またはパーセンテージ)。</v>
      </c>
      <c r="I3359" s="3" t="str">
        <f ca="1">IFERROR(__xludf.DUMMYFUNCTION("googletranslate(F3359,""en"",""ja"")"),"古典的な単球対リンパ球部分集団比の測定")</f>
        <v>古典的な単球対リンパ球部分集団比の測定</v>
      </c>
    </row>
    <row r="3360" spans="1:9" ht="45">
      <c r="A3360" s="3" t="s">
        <v>103</v>
      </c>
      <c r="B3360" s="3" t="s">
        <v>13861</v>
      </c>
      <c r="C3360" s="3" t="s">
        <v>13862</v>
      </c>
      <c r="D3360" s="3" t="s">
        <v>13863</v>
      </c>
      <c r="E3360" s="3" t="s">
        <v>13864</v>
      </c>
      <c r="F3360" s="3" t="s">
        <v>13865</v>
      </c>
      <c r="G3360" s="3" t="str">
        <f ca="1">IFERROR(__xludf.DUMMYFUNCTION("googletranslate(D3360,""en"",""ja"")"),"モノラルクラシック/モノラル;単球クラシック/単球;単球古典/単球")</f>
        <v>モノラルクラシック/モノラル;単球クラシック/単球;単球古典/単球</v>
      </c>
      <c r="H3360" s="3" t="str">
        <f ca="1">IFERROR(__xludf.DUMMYFUNCTION("googletranslate(E3360,""en"",""ja"")"),"生物学的標本中の単球に対する古典的単球の相対測定値 (比率またはパーセンテージ)。")</f>
        <v>生物学的標本中の単球に対する古典的単球の相対測定値 (比率またはパーセンテージ)。</v>
      </c>
      <c r="I3360" s="3" t="str">
        <f ca="1">IFERROR(__xludf.DUMMYFUNCTION("googletranslate(F3360,""en"",""ja"")"),"古典的な単球対単球比の測定")</f>
        <v>古典的な単球対単球比の測定</v>
      </c>
    </row>
    <row r="3361" spans="1:9" ht="30">
      <c r="A3361" s="3" t="s">
        <v>103</v>
      </c>
      <c r="B3361" s="3" t="s">
        <v>13866</v>
      </c>
      <c r="C3361" s="3" t="s">
        <v>13867</v>
      </c>
      <c r="D3361" s="3" t="s">
        <v>13868</v>
      </c>
      <c r="E3361" s="3" t="s">
        <v>13869</v>
      </c>
      <c r="F3361" s="3" t="s">
        <v>13870</v>
      </c>
      <c r="G3361" s="3" t="str">
        <f ca="1">IFERROR(__xludf.DUMMYFUNCTION("googletranslate(D3361,""en"",""ja"")"),"モノクラシック/骨髄細胞;単球 古典的/骨髄細胞")</f>
        <v>モノクラシック/骨髄細胞;単球 古典的/骨髄細胞</v>
      </c>
      <c r="H3361" s="3" t="str">
        <f ca="1">IFERROR(__xludf.DUMMYFUNCTION("googletranslate(E3361,""en"",""ja"")"),"生物学的標本中の総骨髄細胞に対する古典的単球の相対測定値 (比率またはパーセンテージ)。")</f>
        <v>生物学的標本中の総骨髄細胞に対する古典的単球の相対測定値 (比率またはパーセンテージ)。</v>
      </c>
      <c r="I3361" s="3" t="str">
        <f ca="1">IFERROR(__xludf.DUMMYFUNCTION("googletranslate(F3361,""en"",""ja"")"),"古典的な単球対骨髄細胞比の測定")</f>
        <v>古典的な単球対骨髄細胞比の測定</v>
      </c>
    </row>
    <row r="3362" spans="1:9" ht="30">
      <c r="A3362" s="3" t="s">
        <v>103</v>
      </c>
      <c r="B3362" s="3" t="s">
        <v>13871</v>
      </c>
      <c r="C3362" s="3" t="s">
        <v>13872</v>
      </c>
      <c r="D3362" s="3" t="s">
        <v>13873</v>
      </c>
      <c r="E3362" s="3" t="s">
        <v>13874</v>
      </c>
      <c r="F3362" s="3" t="s">
        <v>13875</v>
      </c>
      <c r="G3362" s="3" t="str">
        <f ca="1">IFERROR(__xludf.DUMMYFUNCTION("googletranslate(D3362,""en"",""ja"")"),"モノラルクラシックサブ;単球の古典的な部分集団")</f>
        <v>モノラルクラシックサブ;単球の古典的な部分集団</v>
      </c>
      <c r="H3362" s="3" t="str">
        <f ca="1">IFERROR(__xludf.DUMMYFUNCTION("googletranslate(E3362,""en"",""ja"")"),"生物学的標本中の古典的単球の部分集団の測定。")</f>
        <v>生物学的標本中の古典的単球の部分集団の測定。</v>
      </c>
      <c r="I3362" s="3" t="str">
        <f ca="1">IFERROR(__xludf.DUMMYFUNCTION("googletranslate(F3362,""en"",""ja"")"),"古典的単球部分集団数")</f>
        <v>古典的単球部分集団数</v>
      </c>
    </row>
    <row r="3363" spans="1:9" ht="45">
      <c r="A3363" s="3" t="s">
        <v>103</v>
      </c>
      <c r="B3363" s="3" t="s">
        <v>13876</v>
      </c>
      <c r="C3363" s="3" t="s">
        <v>13877</v>
      </c>
      <c r="D3363" s="3" t="s">
        <v>13878</v>
      </c>
      <c r="E3363" s="3" t="s">
        <v>13879</v>
      </c>
      <c r="F3363" s="3" t="s">
        <v>13880</v>
      </c>
      <c r="G3363" s="3" t="str">
        <f ca="1">IFERROR(__xludf.DUMMYFUNCTION("googletranslate(D3363,""en"",""ja"")"),"モノラルクラシックサブ/モノラルクラシック;古典的単球部分集団/古典的単球")</f>
        <v>モノラルクラシックサブ/モノラルクラシック;古典的単球部分集団/古典的単球</v>
      </c>
      <c r="H3363" s="3" t="str">
        <f ca="1">IFERROR(__xludf.DUMMYFUNCTION("googletranslate(E3363,""en"",""ja"")"),"生物学的標本中の古典的単球の総数に対する古典的単球の部分集団の相対的な測定値 (比率またはパーセンテージ)。")</f>
        <v>生物学的標本中の古典的単球の総数に対する古典的単球の部分集団の相対的な測定値 (比率またはパーセンテージ)。</v>
      </c>
      <c r="I3363" s="3" t="str">
        <f ca="1">IFERROR(__xludf.DUMMYFUNCTION("googletranslate(F3363,""en"",""ja"")"),"古典的単球部分集団と古典的単球の比率の測定")</f>
        <v>古典的単球部分集団と古典的単球の比率の測定</v>
      </c>
    </row>
    <row r="3364" spans="1:9" ht="45">
      <c r="A3364" s="3" t="s">
        <v>81</v>
      </c>
      <c r="B3364" s="3" t="s">
        <v>13881</v>
      </c>
      <c r="C3364" s="3" t="s">
        <v>13882</v>
      </c>
      <c r="D3364" s="3" t="s">
        <v>13883</v>
      </c>
      <c r="E3364" s="3" t="s">
        <v>13884</v>
      </c>
      <c r="F3364" s="3" t="s">
        <v>13885</v>
      </c>
      <c r="G3364" s="3" t="str">
        <f ca="1">IFERROR(__xludf.DUMMYFUNCTION("googletranslate(D3364,""en"",""ja"")"),"短軸断面秒。直径;短軸断面直径")</f>
        <v>短軸断面秒。直径;短軸断面直径</v>
      </c>
      <c r="H3364" s="3" t="str">
        <f ca="1">IFERROR(__xludf.DUMMYFUNCTION("googletranslate(E3364,""en"",""ja"")"),"短軸に沿って測定した組織、器官、または構造の断面直径。 (NCI)")</f>
        <v>短軸に沿って測定した組織、器官、または構造の断面直径。 (NCI)</v>
      </c>
      <c r="I3364" s="3" t="str">
        <f ca="1">IFERROR(__xludf.DUMMYFUNCTION("googletranslate(F3364,""en"",""ja"")"),"短軸断面直径")</f>
        <v>短軸断面直径</v>
      </c>
    </row>
    <row r="3365" spans="1:9" ht="45">
      <c r="A3365" s="3" t="s">
        <v>81</v>
      </c>
      <c r="B3365" s="3" t="s">
        <v>13886</v>
      </c>
      <c r="C3365" s="3" t="s">
        <v>13887</v>
      </c>
      <c r="D3365" s="3" t="s">
        <v>13888</v>
      </c>
      <c r="E3365" s="3" t="s">
        <v>13889</v>
      </c>
      <c r="F3365" s="3" t="s">
        <v>13890</v>
      </c>
      <c r="G3365" s="3" t="str">
        <f ca="1">IFERROR(__xludf.DUMMYFUNCTION("googletranslate(D3365,""en"",""ja"")"),"短軸断面直径、EVD;短軸断面直径、心室拡張末期")</f>
        <v>短軸断面直径、EVD;短軸断面直径、心室拡張末期</v>
      </c>
      <c r="H3365" s="3" t="str">
        <f ca="1">IFERROR(__xludf.DUMMYFUNCTION("googletranslate(E3365,""en"",""ja"")"),"心室拡張末期における短軸に沿って測定した心臓血管構造の断面直径。")</f>
        <v>心室拡張末期における短軸に沿って測定した心臓血管構造の断面直径。</v>
      </c>
      <c r="I3365" s="3" t="str">
        <f ca="1">IFERROR(__xludf.DUMMYFUNCTION("googletranslate(F3365,""en"",""ja"")"),"心室拡張末期における短軸断面直径")</f>
        <v>心室拡張末期における短軸断面直径</v>
      </c>
    </row>
    <row r="3366" spans="1:9" ht="45">
      <c r="A3366" s="3" t="s">
        <v>81</v>
      </c>
      <c r="B3366" s="3" t="s">
        <v>13891</v>
      </c>
      <c r="C3366" s="3" t="s">
        <v>13892</v>
      </c>
      <c r="D3366" s="3" t="s">
        <v>13893</v>
      </c>
      <c r="E3366" s="3" t="s">
        <v>13894</v>
      </c>
      <c r="F3366" s="3" t="s">
        <v>13895</v>
      </c>
      <c r="G3366" s="3" t="str">
        <f ca="1">IFERROR(__xludf.DUMMYFUNCTION("googletranslate(D3366,""en"",""ja"")"),"短軸断面直径、EVS;短軸断面直径、心室収縮末期")</f>
        <v>短軸断面直径、EVS;短軸断面直径、心室収縮末期</v>
      </c>
      <c r="H3366" s="3" t="str">
        <f ca="1">IFERROR(__xludf.DUMMYFUNCTION("googletranslate(E3366,""en"",""ja"")"),"心室収縮末期における短軸に沿って測定した心血管構造の断面直径。")</f>
        <v>心室収縮末期における短軸に沿って測定した心血管構造の断面直径。</v>
      </c>
      <c r="I3366" s="3" t="str">
        <f ca="1">IFERROR(__xludf.DUMMYFUNCTION("googletranslate(F3366,""en"",""ja"")"),"心室収縮末期の短軸断面直径")</f>
        <v>心室収縮末期の短軸断面直径</v>
      </c>
    </row>
    <row r="3367" spans="1:9" ht="45">
      <c r="A3367" s="3" t="s">
        <v>81</v>
      </c>
      <c r="B3367" s="3" t="s">
        <v>13896</v>
      </c>
      <c r="C3367" s="3" t="s">
        <v>13897</v>
      </c>
      <c r="D3367" s="3" t="s">
        <v>13898</v>
      </c>
      <c r="E3367" s="3" t="s">
        <v>13899</v>
      </c>
      <c r="F3367" s="3" t="s">
        <v>13900</v>
      </c>
      <c r="G3367" s="3" t="str">
        <f ca="1">IFERROR(__xludf.DUMMYFUNCTION("googletranslate(D3367,""en"",""ja"")"),"短軸断面秒。直径、MVS;短軸断面直径、心室中期収縮期")</f>
        <v>短軸断面秒。直径、MVS;短軸断面直径、心室中期収縮期</v>
      </c>
      <c r="H3367" s="3" t="str">
        <f ca="1">IFERROR(__xludf.DUMMYFUNCTION("googletranslate(E3367,""en"",""ja"")"),"心室収縮期中期における短軸に沿って測定された心血管構造の断面直径。")</f>
        <v>心室収縮期中期における短軸に沿って測定された心血管構造の断面直径。</v>
      </c>
      <c r="I3367" s="3" t="str">
        <f ca="1">IFERROR(__xludf.DUMMYFUNCTION("googletranslate(F3367,""en"",""ja"")"),"心室収縮中期における短軸断面直径")</f>
        <v>心室収縮中期における短軸断面直径</v>
      </c>
    </row>
    <row r="3368" spans="1:9" ht="45">
      <c r="A3368" s="3" t="s">
        <v>81</v>
      </c>
      <c r="B3368" s="3" t="s">
        <v>13901</v>
      </c>
      <c r="C3368" s="3" t="s">
        <v>13902</v>
      </c>
      <c r="D3368" s="3" t="s">
        <v>13903</v>
      </c>
      <c r="E3368" s="3" t="s">
        <v>13904</v>
      </c>
      <c r="F3368" s="3" t="s">
        <v>13905</v>
      </c>
      <c r="G3368" s="3" t="str">
        <f ca="1">IFERROR(__xludf.DUMMYFUNCTION("googletranslate(D3368,""en"",""ja"")"),"短軸内径、心室拡張末期。短軸内径、EVD")</f>
        <v>短軸内径、心室拡張末期。短軸内径、EVD</v>
      </c>
      <c r="H3368" s="3" t="str">
        <f ca="1">IFERROR(__xludf.DUMMYFUNCTION("googletranslate(E3368,""en"",""ja"")"),"心室拡張末期における短軸に沿って測定された心臓血管構造の内径。")</f>
        <v>心室拡張末期における短軸に沿って測定された心臓血管構造の内径。</v>
      </c>
      <c r="I3368" s="3" t="str">
        <f ca="1">IFERROR(__xludf.DUMMYFUNCTION("googletranslate(F3368,""en"",""ja"")"),"心室拡張末期の短軸内径")</f>
        <v>心室拡張末期の短軸内径</v>
      </c>
    </row>
    <row r="3369" spans="1:9" ht="45">
      <c r="A3369" s="3" t="s">
        <v>81</v>
      </c>
      <c r="B3369" s="3" t="s">
        <v>13906</v>
      </c>
      <c r="C3369" s="3" t="s">
        <v>13907</v>
      </c>
      <c r="D3369" s="3" t="s">
        <v>13908</v>
      </c>
      <c r="E3369" s="3" t="s">
        <v>13909</v>
      </c>
      <c r="F3369" s="3" t="s">
        <v>13910</v>
      </c>
      <c r="G3369" s="3" t="str">
        <f ca="1">IFERROR(__xludf.DUMMYFUNCTION("googletranslate(D3369,""en"",""ja"")"),"短軸内径、心室収縮末期。短軸内径、EVS")</f>
        <v>短軸内径、心室収縮末期。短軸内径、EVS</v>
      </c>
      <c r="H3369" s="3" t="str">
        <f ca="1">IFERROR(__xludf.DUMMYFUNCTION("googletranslate(E3369,""en"",""ja"")"),"心室収縮末期に短軸に沿って測定した心血管構造の内径。")</f>
        <v>心室収縮末期に短軸に沿って測定した心血管構造の内径。</v>
      </c>
      <c r="I3369" s="3" t="str">
        <f ca="1">IFERROR(__xludf.DUMMYFUNCTION("googletranslate(F3369,""en"",""ja"")"),"心室収縮末期の短軸内径")</f>
        <v>心室収縮末期の短軸内径</v>
      </c>
    </row>
    <row r="3370" spans="1:9" ht="30">
      <c r="A3370" s="3" t="s">
        <v>103</v>
      </c>
      <c r="B3370" s="3" t="s">
        <v>13911</v>
      </c>
      <c r="C3370" s="3" t="s">
        <v>13912</v>
      </c>
      <c r="D3370" s="3" t="s">
        <v>13913</v>
      </c>
      <c r="E3370" s="3" t="s">
        <v>13914</v>
      </c>
      <c r="F3370" s="3" t="s">
        <v>13915</v>
      </c>
      <c r="G3370" s="3" t="str">
        <f ca="1">IFERROR(__xludf.DUMMYFUNCTION("googletranslate(D3370,""en"",""ja"")"),"モノインフラム;単球 炎症性")</f>
        <v>モノインフラム;単球 炎症性</v>
      </c>
      <c r="H3370" s="3" t="str">
        <f ca="1">IFERROR(__xludf.DUMMYFUNCTION("googletranslate(E3370,""en"",""ja"")"),"生物学的標本中の炎症性単球の測定。")</f>
        <v>生物学的標本中の炎症性単球の測定。</v>
      </c>
      <c r="I3370" s="3" t="str">
        <f ca="1">IFERROR(__xludf.DUMMYFUNCTION("googletranslate(F3370,""en"",""ja"")"),"炎症性単球数")</f>
        <v>炎症性単球数</v>
      </c>
    </row>
    <row r="3371" spans="1:9" ht="30">
      <c r="A3371" s="3" t="s">
        <v>103</v>
      </c>
      <c r="B3371" s="3" t="s">
        <v>13916</v>
      </c>
      <c r="C3371" s="3" t="s">
        <v>13917</v>
      </c>
      <c r="D3371" s="3" t="s">
        <v>13918</v>
      </c>
      <c r="E3371" s="3" t="s">
        <v>13919</v>
      </c>
      <c r="F3371" s="3" t="s">
        <v>13920</v>
      </c>
      <c r="G3371" s="3" t="str">
        <f ca="1">IFERROR(__xludf.DUMMYFUNCTION("googletranslate(D3371,""en"",""ja"")"),"モノラル中間。単球中間体")</f>
        <v>モノラル中間。単球中間体</v>
      </c>
      <c r="H3371" s="3" t="str">
        <f ca="1">IFERROR(__xludf.DUMMYFUNCTION("googletranslate(E3371,""en"",""ja"")"),"生物学的標本中の中間単球の測定。")</f>
        <v>生物学的標本中の中間単球の測定。</v>
      </c>
      <c r="I3371" s="3" t="str">
        <f ca="1">IFERROR(__xludf.DUMMYFUNCTION("googletranslate(F3371,""en"",""ja"")"),"中間単球数")</f>
        <v>中間単球数</v>
      </c>
    </row>
    <row r="3372" spans="1:9" ht="45">
      <c r="A3372" s="3" t="s">
        <v>103</v>
      </c>
      <c r="B3372" s="3" t="s">
        <v>13921</v>
      </c>
      <c r="C3372" s="3" t="s">
        <v>13922</v>
      </c>
      <c r="D3372" s="3" t="s">
        <v>13923</v>
      </c>
      <c r="E3372" s="3" t="s">
        <v>13924</v>
      </c>
      <c r="F3372" s="3" t="s">
        <v>13925</v>
      </c>
      <c r="G3372" s="3" t="str">
        <f ca="1">IFERROR(__xludf.DUMMYFUNCTION("googletranslate(D3372,""en"",""ja"")"),"モノインターメド/ロイク;単球 中間体/白血球")</f>
        <v>モノインターメド/ロイク;単球 中間体/白血球</v>
      </c>
      <c r="H3372" s="3" t="str">
        <f ca="1">IFERROR(__xludf.DUMMYFUNCTION("googletranslate(E3372,""en"",""ja"")"),"生物学的標本中の全白血球に対する中間単球の相対測定値 (比率またはパーセンテージ)。")</f>
        <v>生物学的標本中の全白血球に対する中間単球の相対測定値 (比率またはパーセンテージ)。</v>
      </c>
      <c r="I3372" s="3" t="str">
        <f ca="1">IFERROR(__xludf.DUMMYFUNCTION("googletranslate(F3372,""en"",""ja"")"),"中間単球対白血球比の測定")</f>
        <v>中間単球対白血球比の測定</v>
      </c>
    </row>
    <row r="3373" spans="1:9" ht="60">
      <c r="A3373" s="3" t="s">
        <v>103</v>
      </c>
      <c r="B3373" s="3" t="s">
        <v>13926</v>
      </c>
      <c r="C3373" s="3" t="s">
        <v>13927</v>
      </c>
      <c r="D3373" s="3" t="s">
        <v>13928</v>
      </c>
      <c r="E3373" s="3" t="s">
        <v>13929</v>
      </c>
      <c r="F3373" s="3" t="s">
        <v>13930</v>
      </c>
      <c r="G3373" s="3" t="str">
        <f ca="1">IFERROR(__xludf.DUMMYFUNCTION("googletranslate(D3373,""en"",""ja"")"),"モノインターメド/ロイクサブ;単球中間体/白血球サブ集団")</f>
        <v>モノインターメド/ロイクサブ;単球中間体/白血球サブ集団</v>
      </c>
      <c r="H3373" s="3" t="str">
        <f ca="1">IFERROR(__xludf.DUMMYFUNCTION("googletranslate(E3373,""en"",""ja"")"),"生物学的標本中の白血球の部分集団に対する中間単球の相対測定値 (比率またはパーセンテージ)。")</f>
        <v>生物学的標本中の白血球の部分集団に対する中間単球の相対測定値 (比率またはパーセンテージ)。</v>
      </c>
      <c r="I3373" s="3" t="str">
        <f ca="1">IFERROR(__xludf.DUMMYFUNCTION("googletranslate(F3373,""en"",""ja"")"),"中間単球対白血球部分集団比の測定")</f>
        <v>中間単球対白血球部分集団比の測定</v>
      </c>
    </row>
    <row r="3374" spans="1:9" ht="60">
      <c r="A3374" s="3" t="s">
        <v>103</v>
      </c>
      <c r="B3374" s="3" t="s">
        <v>13931</v>
      </c>
      <c r="C3374" s="3" t="s">
        <v>13932</v>
      </c>
      <c r="D3374" s="3" t="s">
        <v>13933</v>
      </c>
      <c r="E3374" s="3" t="s">
        <v>13934</v>
      </c>
      <c r="F3374" s="3" t="s">
        <v>13935</v>
      </c>
      <c r="G3374" s="3" t="str">
        <f ca="1">IFERROR(__xludf.DUMMYFUNCTION("googletranslate(D3374,""en"",""ja"")"),"モノ中間/リムサブ;単球中間/リンパ球サブ集団")</f>
        <v>モノ中間/リムサブ;単球中間/リンパ球サブ集団</v>
      </c>
      <c r="H3374" s="3" t="str">
        <f ca="1">IFERROR(__xludf.DUMMYFUNCTION("googletranslate(E3374,""en"",""ja"")"),"生物学的標本中のリンパ球の部分集団に対する中間単球の相対測定値 (比率またはパーセンテージ)。")</f>
        <v>生物学的標本中のリンパ球の部分集団に対する中間単球の相対測定値 (比率またはパーセンテージ)。</v>
      </c>
      <c r="I3374" s="3" t="str">
        <f ca="1">IFERROR(__xludf.DUMMYFUNCTION("googletranslate(F3374,""en"",""ja"")"),"中間単球対リンパ球部分集団比の測定")</f>
        <v>中間単球対リンパ球部分集団比の測定</v>
      </c>
    </row>
    <row r="3375" spans="1:9" ht="30">
      <c r="A3375" s="3" t="s">
        <v>103</v>
      </c>
      <c r="B3375" s="3" t="s">
        <v>13936</v>
      </c>
      <c r="C3375" s="3" t="s">
        <v>13937</v>
      </c>
      <c r="D3375" s="3" t="s">
        <v>13938</v>
      </c>
      <c r="E3375" s="3" t="s">
        <v>13939</v>
      </c>
      <c r="F3375" s="3" t="s">
        <v>13940</v>
      </c>
      <c r="G3375" s="3" t="str">
        <f ca="1">IFERROR(__xludf.DUMMYFUNCTION("googletranslate(D3375,""en"",""ja"")"),"モノラル中間/モノラル;単球中間体/単球")</f>
        <v>モノラル中間/モノラル;単球中間体/単球</v>
      </c>
      <c r="H3375" s="3" t="str">
        <f ca="1">IFERROR(__xludf.DUMMYFUNCTION("googletranslate(E3375,""en"",""ja"")"),"生物学的標本中の単球に対する中間単球の相対測定値 (比率またはパーセンテージ)。")</f>
        <v>生物学的標本中の単球に対する中間単球の相対測定値 (比率またはパーセンテージ)。</v>
      </c>
      <c r="I3375" s="3" t="str">
        <f ca="1">IFERROR(__xludf.DUMMYFUNCTION("googletranslate(F3375,""en"",""ja"")"),"中間単球対単球比の測定")</f>
        <v>中間単球対単球比の測定</v>
      </c>
    </row>
    <row r="3376" spans="1:9" ht="45">
      <c r="A3376" s="3" t="s">
        <v>103</v>
      </c>
      <c r="B3376" s="3" t="s">
        <v>13941</v>
      </c>
      <c r="C3376" s="3" t="s">
        <v>13942</v>
      </c>
      <c r="D3376" s="3" t="s">
        <v>13943</v>
      </c>
      <c r="E3376" s="3" t="s">
        <v>13944</v>
      </c>
      <c r="F3376" s="3" t="s">
        <v>13945</v>
      </c>
      <c r="G3376" s="3" t="str">
        <f ca="1">IFERROR(__xludf.DUMMYFUNCTION("googletranslate(D3376,""en"",""ja"")"),"単一媒質/骨髄細胞;単球 中間/骨髄細胞")</f>
        <v>単一媒質/骨髄細胞;単球 中間/骨髄細胞</v>
      </c>
      <c r="H3376" s="3" t="str">
        <f ca="1">IFERROR(__xludf.DUMMYFUNCTION("googletranslate(E3376,""en"",""ja"")"),"生物学的標本における骨髄細胞に対する中間単球の相対測定値 (比率またはパーセンテージ)。")</f>
        <v>生物学的標本における骨髄細胞に対する中間単球の相対測定値 (比率またはパーセンテージ)。</v>
      </c>
      <c r="I3376" s="3" t="str">
        <f ca="1">IFERROR(__xludf.DUMMYFUNCTION("googletranslate(F3376,""en"",""ja"")"),"中間単球対骨髄細胞比の測定")</f>
        <v>中間単球対骨髄細胞比の測定</v>
      </c>
    </row>
    <row r="3377" spans="1:9" ht="30">
      <c r="A3377" s="3" t="s">
        <v>103</v>
      </c>
      <c r="B3377" s="3" t="s">
        <v>13946</v>
      </c>
      <c r="C3377" s="3" t="s">
        <v>13947</v>
      </c>
      <c r="D3377" s="3" t="s">
        <v>13948</v>
      </c>
      <c r="E3377" s="3" t="s">
        <v>13949</v>
      </c>
      <c r="F3377" s="3" t="s">
        <v>13950</v>
      </c>
      <c r="G3377" s="3" t="str">
        <f ca="1">IFERROR(__xludf.DUMMYFUNCTION("googletranslate(D3377,""en"",""ja"")"),"モノラル中間サブ;単球の中間部分集団")</f>
        <v>モノラル中間サブ;単球の中間部分集団</v>
      </c>
      <c r="H3377" s="3" t="str">
        <f ca="1">IFERROR(__xludf.DUMMYFUNCTION("googletranslate(E3377,""en"",""ja"")"),"生物学的標本中の中間単球の部分集団の測定。")</f>
        <v>生物学的標本中の中間単球の部分集団の測定。</v>
      </c>
      <c r="I3377" s="3" t="str">
        <f ca="1">IFERROR(__xludf.DUMMYFUNCTION("googletranslate(F3377,""en"",""ja"")"),"中間単球部分集団数")</f>
        <v>中間単球部分集団数</v>
      </c>
    </row>
    <row r="3378" spans="1:9" ht="75">
      <c r="A3378" s="3" t="s">
        <v>103</v>
      </c>
      <c r="B3378" s="3" t="s">
        <v>13951</v>
      </c>
      <c r="C3378" s="3" t="s">
        <v>13952</v>
      </c>
      <c r="D3378" s="3" t="s">
        <v>13953</v>
      </c>
      <c r="E3378" s="3" t="s">
        <v>13954</v>
      </c>
      <c r="F3378" s="3" t="s">
        <v>13955</v>
      </c>
      <c r="G3378" s="3" t="str">
        <f ca="1">IFERROR(__xludf.DUMMYFUNCTION("googletranslate(D3378,""en"",""ja"")"),"Mono Intermed Sub/Mono Int;モノ中間サブ/モノ中間。単球中型サブ集団/単球中型")</f>
        <v>Mono Intermed Sub/Mono Int;モノ中間サブ/モノ中間。単球中型サブ集団/単球中型</v>
      </c>
      <c r="H3378" s="3" t="str">
        <f ca="1">IFERROR(__xludf.DUMMYFUNCTION("googletranslate(E3378,""en"",""ja"")"),"生物学的標本中の総中間単球に対する中間単球の部分集団の相対測定値 (比率またはパーセンテージ)。")</f>
        <v>生物学的標本中の総中間単球に対する中間単球の部分集団の相対測定値 (比率またはパーセンテージ)。</v>
      </c>
      <c r="I3378" s="3" t="str">
        <f ca="1">IFERROR(__xludf.DUMMYFUNCTION("googletranslate(F3378,""en"",""ja"")"),"中間単球部分集団対中間単球比の測定")</f>
        <v>中間単球部分集団対中間単球比の測定</v>
      </c>
    </row>
    <row r="3379" spans="1:9" ht="30">
      <c r="A3379" s="3" t="s">
        <v>103</v>
      </c>
      <c r="B3379" s="3" t="s">
        <v>13956</v>
      </c>
      <c r="C3379" s="3" t="s">
        <v>13957</v>
      </c>
      <c r="D3379" s="3" t="s">
        <v>13958</v>
      </c>
      <c r="E3379" s="3" t="s">
        <v>13959</v>
      </c>
      <c r="F3379" s="3" t="s">
        <v>13960</v>
      </c>
      <c r="G3379" s="3" t="str">
        <f ca="1">IFERROR(__xludf.DUMMYFUNCTION("googletranslate(D3379,""en"",""ja"")"),"モノマット;成熟した単球")</f>
        <v>モノマット;成熟した単球</v>
      </c>
      <c r="H3379" s="3" t="str">
        <f ca="1">IFERROR(__xludf.DUMMYFUNCTION("googletranslate(E3379,""en"",""ja"")"),"生物学的標本中の成熟単球の測定。")</f>
        <v>生物学的標本中の成熟単球の測定。</v>
      </c>
      <c r="I3379" s="3" t="str">
        <f ca="1">IFERROR(__xludf.DUMMYFUNCTION("googletranslate(F3379,""en"",""ja"")"),"成熟単球数")</f>
        <v>成熟単球数</v>
      </c>
    </row>
    <row r="3380" spans="1:9" ht="30">
      <c r="A3380" s="3" t="s">
        <v>103</v>
      </c>
      <c r="B3380" s="3" t="s">
        <v>13961</v>
      </c>
      <c r="C3380" s="3" t="s">
        <v>13962</v>
      </c>
      <c r="D3380" s="3" t="s">
        <v>13963</v>
      </c>
      <c r="E3380" s="3" t="s">
        <v>13964</v>
      </c>
      <c r="F3380" s="3" t="s">
        <v>13965</v>
      </c>
      <c r="G3380" s="3" t="str">
        <f ca="1">IFERROR(__xludf.DUMMYFUNCTION("googletranslate(D3380,""en"",""ja"")"),"モノラル非クラシック;非古典的な単球")</f>
        <v>モノラル非クラシック;非古典的な単球</v>
      </c>
      <c r="H3380" s="3" t="str">
        <f ca="1">IFERROR(__xludf.DUMMYFUNCTION("googletranslate(E3380,""en"",""ja"")"),"生物学的標本中の非古典的単球の測定。")</f>
        <v>生物学的標本中の非古典的単球の測定。</v>
      </c>
      <c r="I3380" s="3" t="str">
        <f ca="1">IFERROR(__xludf.DUMMYFUNCTION("googletranslate(F3380,""en"",""ja"")"),"非古典的単球数")</f>
        <v>非古典的単球数</v>
      </c>
    </row>
    <row r="3381" spans="1:9" ht="60">
      <c r="A3381" s="3" t="s">
        <v>103</v>
      </c>
      <c r="B3381" s="3" t="s">
        <v>13966</v>
      </c>
      <c r="C3381" s="3" t="s">
        <v>13967</v>
      </c>
      <c r="D3381" s="3" t="s">
        <v>13968</v>
      </c>
      <c r="E3381" s="3" t="s">
        <v>13969</v>
      </c>
      <c r="F3381" s="3" t="s">
        <v>13970</v>
      </c>
      <c r="G3381" s="3" t="str">
        <f ca="1">IFERROR(__xludf.DUMMYFUNCTION("googletranslate(D3381,""en"",""ja"")"),"モノラルノンクラシック/ロイク;単球 非古典的/白血球;単球 非古典的/白血球")</f>
        <v>モノラルノンクラシック/ロイク;単球 非古典的/白血球;単球 非古典的/白血球</v>
      </c>
      <c r="H3381" s="3" t="str">
        <f ca="1">IFERROR(__xludf.DUMMYFUNCTION("googletranslate(E3381,""en"",""ja"")"),"生物学的標本中の全白血球に対する非古典的単球の相対測定値 (比率またはパーセンテージ)。")</f>
        <v>生物学的標本中の全白血球に対する非古典的単球の相対測定値 (比率またはパーセンテージ)。</v>
      </c>
      <c r="I3381" s="3" t="str">
        <f ca="1">IFERROR(__xludf.DUMMYFUNCTION("googletranslate(F3381,""en"",""ja"")"),"非古典的な単球と白血球の比率の測定")</f>
        <v>非古典的な単球と白血球の比率の測定</v>
      </c>
    </row>
    <row r="3382" spans="1:9" ht="75">
      <c r="A3382" s="3" t="s">
        <v>103</v>
      </c>
      <c r="B3382" s="3" t="s">
        <v>13971</v>
      </c>
      <c r="C3382" s="3" t="s">
        <v>13972</v>
      </c>
      <c r="D3382" s="3" t="s">
        <v>13973</v>
      </c>
      <c r="E3382" s="3" t="s">
        <v>13974</v>
      </c>
      <c r="F3382" s="3" t="s">
        <v>13975</v>
      </c>
      <c r="G3382" s="3" t="str">
        <f ca="1">IFERROR(__xludf.DUMMYFUNCTION("googletranslate(D3382,""en"",""ja"")"),"Mono NonClassic/Leuk Sub;非古典的単球/白血球サブ集団。非古典的単球/白血球部分集団")</f>
        <v>Mono NonClassic/Leuk Sub;非古典的単球/白血球サブ集団。非古典的単球/白血球部分集団</v>
      </c>
      <c r="H3382" s="3" t="str">
        <f ca="1">IFERROR(__xludf.DUMMYFUNCTION("googletranslate(E3382,""en"",""ja"")"),"生物学的標本中の白血球の部分集団に対する非古典的単球の相対測定値 (比率またはパーセンテージ)。")</f>
        <v>生物学的標本中の白血球の部分集団に対する非古典的単球の相対測定値 (比率またはパーセンテージ)。</v>
      </c>
      <c r="I3382" s="3" t="str">
        <f ca="1">IFERROR(__xludf.DUMMYFUNCTION("googletranslate(F3382,""en"",""ja"")"),"非古典的な単球対白血球部分集団比の測定")</f>
        <v>非古典的な単球対白血球部分集団比の測定</v>
      </c>
    </row>
    <row r="3383" spans="1:9" ht="90">
      <c r="A3383" s="3" t="s">
        <v>103</v>
      </c>
      <c r="B3383" s="3" t="s">
        <v>13976</v>
      </c>
      <c r="C3383" s="3" t="s">
        <v>13977</v>
      </c>
      <c r="D3383" s="3" t="s">
        <v>13978</v>
      </c>
      <c r="E3383" s="3" t="s">
        <v>13979</v>
      </c>
      <c r="F3383" s="3" t="s">
        <v>13980</v>
      </c>
      <c r="G3383" s="3" t="str">
        <f ca="1">IFERROR(__xludf.DUMMYFUNCTION("googletranslate(D3383,""en"",""ja"")"),"モノラル非クラシック/リムサブ;単球非古典的/リンパ球サブ集団。非古典的単球/リンパ球部分集団")</f>
        <v>モノラル非クラシック/リムサブ;単球非古典的/リンパ球サブ集団。非古典的単球/リンパ球部分集団</v>
      </c>
      <c r="H3383" s="3" t="str">
        <f ca="1">IFERROR(__xludf.DUMMYFUNCTION("googletranslate(E3383,""en"",""ja"")"),"生物学的標本中のリンパ球の部分集団に対する非古典的単球の相対測定値 (比率またはパーセンテージ)。")</f>
        <v>生物学的標本中のリンパ球の部分集団に対する非古典的単球の相対測定値 (比率またはパーセンテージ)。</v>
      </c>
      <c r="I3383" s="3" t="str">
        <f ca="1">IFERROR(__xludf.DUMMYFUNCTION("googletranslate(F3383,""en"",""ja"")"),"非古典的単球対リンパ球部分集団比の測定")</f>
        <v>非古典的単球対リンパ球部分集団比の測定</v>
      </c>
    </row>
    <row r="3384" spans="1:9" ht="30">
      <c r="A3384" s="3" t="s">
        <v>103</v>
      </c>
      <c r="B3384" s="3" t="s">
        <v>13981</v>
      </c>
      <c r="C3384" s="3" t="s">
        <v>13982</v>
      </c>
      <c r="D3384" s="3" t="s">
        <v>13982</v>
      </c>
      <c r="E3384" s="3" t="s">
        <v>13983</v>
      </c>
      <c r="F3384" s="3" t="s">
        <v>13984</v>
      </c>
      <c r="G3384" s="3" t="str">
        <f ca="1">IFERROR(__xludf.DUMMYFUNCTION("googletranslate(D3384,""en"",""ja"")"),"モノラル ノンクラシック/モノラル")</f>
        <v>モノラル ノンクラシック/モノラル</v>
      </c>
      <c r="H3384" s="3" t="str">
        <f ca="1">IFERROR(__xludf.DUMMYFUNCTION("googletranslate(E3384,""en"",""ja"")"),"生物学的標本中の単球に対する非古典的単球の相対的な測定値 (比率またはパーセンテージ)。")</f>
        <v>生物学的標本中の単球に対する非古典的単球の相対的な測定値 (比率またはパーセンテージ)。</v>
      </c>
      <c r="I3384" s="3" t="str">
        <f ca="1">IFERROR(__xludf.DUMMYFUNCTION("googletranslate(F3384,""en"",""ja"")"),"非古典的な単球対単球比の測定")</f>
        <v>非古典的な単球対単球比の測定</v>
      </c>
    </row>
    <row r="3385" spans="1:9" ht="60">
      <c r="A3385" s="3" t="s">
        <v>103</v>
      </c>
      <c r="B3385" s="3" t="s">
        <v>13985</v>
      </c>
      <c r="C3385" s="3" t="s">
        <v>13986</v>
      </c>
      <c r="D3385" s="3" t="s">
        <v>13987</v>
      </c>
      <c r="E3385" s="3" t="s">
        <v>13988</v>
      </c>
      <c r="F3385" s="3" t="s">
        <v>13989</v>
      </c>
      <c r="G3385" s="3" t="str">
        <f ca="1">IFERROR(__xludf.DUMMYFUNCTION("googletranslate(D3385,""en"",""ja"")"),"単一非古典/骨髄細胞;単球 非古典的/骨髄性細胞;単球 非古典的/骨髄性細胞")</f>
        <v>単一非古典/骨髄細胞;単球 非古典的/骨髄性細胞;単球 非古典的/骨髄性細胞</v>
      </c>
      <c r="H3385" s="3" t="str">
        <f ca="1">IFERROR(__xludf.DUMMYFUNCTION("googletranslate(E3385,""en"",""ja"")"),"生物学的標本における骨髄細胞に対する非古典的単球の相対的な測定値 (比率またはパーセンテージ)。")</f>
        <v>生物学的標本における骨髄細胞に対する非古典的単球の相対的な測定値 (比率またはパーセンテージ)。</v>
      </c>
      <c r="I3385" s="3" t="str">
        <f ca="1">IFERROR(__xludf.DUMMYFUNCTION("googletranslate(F3385,""en"",""ja"")"),"非古典的単球対骨髄細胞比の測定")</f>
        <v>非古典的単球対骨髄細胞比の測定</v>
      </c>
    </row>
    <row r="3386" spans="1:9" ht="30">
      <c r="A3386" s="3" t="s">
        <v>103</v>
      </c>
      <c r="B3386" s="3" t="s">
        <v>13990</v>
      </c>
      <c r="C3386" s="3" t="s">
        <v>13991</v>
      </c>
      <c r="D3386" s="3" t="s">
        <v>13992</v>
      </c>
      <c r="E3386" s="3" t="s">
        <v>13993</v>
      </c>
      <c r="F3386" s="3" t="s">
        <v>13994</v>
      </c>
      <c r="G3386" s="3" t="str">
        <f ca="1">IFERROR(__xludf.DUMMYFUNCTION("googletranslate(D3386,""en"",""ja"")"),"モノラル非クラシックサブ;単球の非古典的部分集団")</f>
        <v>モノラル非クラシックサブ;単球の非古典的部分集団</v>
      </c>
      <c r="H3386" s="3" t="str">
        <f ca="1">IFERROR(__xludf.DUMMYFUNCTION("googletranslate(E3386,""en"",""ja"")"),"生物学的標本中の非古典的単球の部分集団の測定。")</f>
        <v>生物学的標本中の非古典的単球の部分集団の測定。</v>
      </c>
      <c r="I3386" s="3" t="str">
        <f ca="1">IFERROR(__xludf.DUMMYFUNCTION("googletranslate(F3386,""en"",""ja"")"),"非古典的単球部分集団数")</f>
        <v>非古典的単球部分集団数</v>
      </c>
    </row>
    <row r="3387" spans="1:9" ht="75">
      <c r="A3387" s="3" t="s">
        <v>103</v>
      </c>
      <c r="B3387" s="3" t="s">
        <v>13995</v>
      </c>
      <c r="C3387" s="3" t="s">
        <v>13996</v>
      </c>
      <c r="D3387" s="3" t="s">
        <v>13997</v>
      </c>
      <c r="E3387" s="3" t="s">
        <v>13998</v>
      </c>
      <c r="F3387" s="3" t="s">
        <v>13999</v>
      </c>
      <c r="G3387" s="3" t="str">
        <f ca="1">IFERROR(__xludf.DUMMYFUNCTION("googletranslate(D3387,""en"",""ja"")"),"モノラル ノンクラシック サブ/モノラル ノンクラシック;非古典的単球亜集団/非古典的単球")</f>
        <v>モノラル ノンクラシック サブ/モノラル ノンクラシック;非古典的単球亜集団/非古典的単球</v>
      </c>
      <c r="H3387" s="3" t="str">
        <f ca="1">IFERROR(__xludf.DUMMYFUNCTION("googletranslate(E3387,""en"",""ja"")"),"生物学的標本中の非古典的単球の総数に対する非古典的単球の部分集団の相対的な測定値 (比率またはパーセンテージ)。")</f>
        <v>生物学的標本中の非古典的単球の総数に対する非古典的単球の部分集団の相対的な測定値 (比率またはパーセンテージ)。</v>
      </c>
      <c r="I3387" s="3" t="str">
        <f ca="1">IFERROR(__xludf.DUMMYFUNCTION("googletranslate(F3387,""en"",""ja"")"),"非古典的単球部分集団対非古典的単球比の測定")</f>
        <v>非古典的単球部分集団対非古典的単球比の測定</v>
      </c>
    </row>
    <row r="3388" spans="1:9" ht="30">
      <c r="A3388" s="3" t="s">
        <v>103</v>
      </c>
      <c r="B3388" s="3" t="s">
        <v>14000</v>
      </c>
      <c r="C3388" s="3" t="s">
        <v>14001</v>
      </c>
      <c r="D3388" s="3" t="s">
        <v>14002</v>
      </c>
      <c r="E3388" s="3" t="s">
        <v>14003</v>
      </c>
      <c r="F3388" s="3" t="s">
        <v>14004</v>
      </c>
      <c r="G3388" s="3" t="str">
        <f ca="1">IFERROR(__xludf.DUMMYFUNCTION("googletranslate(D3388,""en"",""ja"")"),"モノプロインフラム;炎症誘発性単球")</f>
        <v>モノプロインフラム;炎症誘発性単球</v>
      </c>
      <c r="H3388" s="3" t="str">
        <f ca="1">IFERROR(__xludf.DUMMYFUNCTION("googletranslate(E3388,""en"",""ja"")"),"生物学的標本中の炎症誘発性単球の測定。")</f>
        <v>生物学的標本中の炎症誘発性単球の測定。</v>
      </c>
      <c r="I3388" s="3" t="str">
        <f ca="1">IFERROR(__xludf.DUMMYFUNCTION("googletranslate(F3388,""en"",""ja"")"),"炎症誘発性単球数")</f>
        <v>炎症誘発性単球数</v>
      </c>
    </row>
    <row r="3389" spans="1:9" ht="45">
      <c r="A3389" s="3" t="s">
        <v>103</v>
      </c>
      <c r="B3389" s="3" t="s">
        <v>14005</v>
      </c>
      <c r="C3389" s="3" t="s">
        <v>14006</v>
      </c>
      <c r="D3389" s="3" t="s">
        <v>14007</v>
      </c>
      <c r="E3389" s="3" t="s">
        <v>14008</v>
      </c>
      <c r="F3389" s="3" t="s">
        <v>14009</v>
      </c>
      <c r="G3389" s="3" t="str">
        <f ca="1">IFERROR(__xludf.DUMMYFUNCTION("googletranslate(D3389,""en"",""ja"")"),"モノプロインフラム/モノ;単球 炎症誘発性/単球")</f>
        <v>モノプロインフラム/モノ;単球 炎症誘発性/単球</v>
      </c>
      <c r="H3389" s="3" t="str">
        <f ca="1">IFERROR(__xludf.DUMMYFUNCTION("googletranslate(E3389,""en"",""ja"")"),"生物学的検体中の総単球に対する炎症誘発性単球の相対測定値 (比率またはパーセンテージ)。")</f>
        <v>生物学的検体中の総単球に対する炎症誘発性単球の相対測定値 (比率またはパーセンテージ)。</v>
      </c>
      <c r="I3389" s="3" t="str">
        <f ca="1">IFERROR(__xludf.DUMMYFUNCTION("googletranslate(F3389,""en"",""ja"")"),"炎症誘発性単球対単球比の測定")</f>
        <v>炎症誘発性単球対単球比の測定</v>
      </c>
    </row>
    <row r="3390" spans="1:9" ht="60">
      <c r="A3390" s="3" t="s">
        <v>103</v>
      </c>
      <c r="B3390" s="3" t="s">
        <v>14010</v>
      </c>
      <c r="C3390" s="3" t="s">
        <v>14011</v>
      </c>
      <c r="D3390" s="3" t="s">
        <v>14012</v>
      </c>
      <c r="E3390" s="3" t="s">
        <v>14013</v>
      </c>
      <c r="F3390" s="3" t="s">
        <v>14014</v>
      </c>
      <c r="G3390" s="3" t="str">
        <f ca="1">IFERROR(__xludf.DUMMYFUNCTION("googletranslate(D3390,""en"",""ja"")"),"モノプロインフラムサブ;単球炎症誘発性部分集団。炎症誘発性単球サブ集団")</f>
        <v>モノプロインフラムサブ;単球炎症誘発性部分集団。炎症誘発性単球サブ集団</v>
      </c>
      <c r="H3390" s="3" t="str">
        <f ca="1">IFERROR(__xludf.DUMMYFUNCTION("googletranslate(E3390,""en"",""ja"")"),"生物学的標本中の炎症誘発性単球の部分集団の測定。")</f>
        <v>生物学的標本中の炎症誘発性単球の部分集団の測定。</v>
      </c>
      <c r="I3390" s="3" t="str">
        <f ca="1">IFERROR(__xludf.DUMMYFUNCTION("googletranslate(F3390,""en"",""ja"")"),"炎症誘発性単球部分集団数")</f>
        <v>炎症誘発性単球部分集団数</v>
      </c>
    </row>
    <row r="3391" spans="1:9" ht="90">
      <c r="A3391" s="3" t="s">
        <v>103</v>
      </c>
      <c r="B3391" s="3" t="s">
        <v>14015</v>
      </c>
      <c r="C3391" s="3" t="s">
        <v>14016</v>
      </c>
      <c r="D3391" s="3" t="s">
        <v>14017</v>
      </c>
      <c r="E3391" s="3" t="s">
        <v>14018</v>
      </c>
      <c r="F3391" s="3" t="s">
        <v>14019</v>
      </c>
      <c r="G3391" s="3" t="str">
        <f ca="1">IFERROR(__xludf.DUMMYFUNCTION("googletranslate(D3391,""en"",""ja"")"),"モノ プロインフラム サブ/モノ プロインフラム;モノプロインフラムサブ/モノPI;単球炎症誘発性亜集団/単球炎症誘発性")</f>
        <v>モノ プロインフラム サブ/モノ プロインフラム;モノプロインフラムサブ/モノPI;単球炎症誘発性亜集団/単球炎症誘発性</v>
      </c>
      <c r="H3391" s="3" t="str">
        <f ca="1">IFERROR(__xludf.DUMMYFUNCTION("googletranslate(E3391,""en"",""ja"")"),"生物学的標本中の総炎症性単球に対する炎症性単球の部分集団の相対測定値 (比率またはパーセンテージ)。")</f>
        <v>生物学的標本中の総炎症性単球に対する炎症性単球の部分集団の相対測定値 (比率またはパーセンテージ)。</v>
      </c>
      <c r="I3391" s="3" t="str">
        <f ca="1">IFERROR(__xludf.DUMMYFUNCTION("googletranslate(F3391,""en"",""ja"")"),"炎症誘発性単球部分集団と炎症誘発性単球の比率の測定")</f>
        <v>炎症誘発性単球部分集団と炎症誘発性単球の比率の測定</v>
      </c>
    </row>
    <row r="3392" spans="1:9" ht="30">
      <c r="A3392" s="3" t="s">
        <v>103</v>
      </c>
      <c r="B3392" s="3" t="s">
        <v>14020</v>
      </c>
      <c r="C3392" s="3" t="s">
        <v>14021</v>
      </c>
      <c r="D3392" s="3" t="s">
        <v>14022</v>
      </c>
      <c r="E3392" s="3" t="s">
        <v>14023</v>
      </c>
      <c r="F3392" s="3" t="s">
        <v>14024</v>
      </c>
      <c r="G3392" s="3" t="str">
        <f ca="1">IFERROR(__xludf.DUMMYFUNCTION("googletranslate(D3392,""en"",""ja"")"),"モノ居住者。単球常在者")</f>
        <v>モノ居住者。単球常在者</v>
      </c>
      <c r="H3392" s="3" t="str">
        <f ca="1">IFERROR(__xludf.DUMMYFUNCTION("googletranslate(E3392,""en"",""ja"")"),"生物学的標本に存在する単球の測定。")</f>
        <v>生物学的標本に存在する単球の測定。</v>
      </c>
      <c r="I3392" s="3" t="str">
        <f ca="1">IFERROR(__xludf.DUMMYFUNCTION("googletranslate(F3392,""en"",""ja"")"),"常駐単球数")</f>
        <v>常駐単球数</v>
      </c>
    </row>
    <row r="3393" spans="1:9" ht="30">
      <c r="A3393" s="3" t="s">
        <v>103</v>
      </c>
      <c r="B3393" s="3" t="s">
        <v>14025</v>
      </c>
      <c r="C3393" s="3" t="s">
        <v>14026</v>
      </c>
      <c r="D3393" s="3" t="s">
        <v>14027</v>
      </c>
      <c r="E3393" s="3" t="s">
        <v>14028</v>
      </c>
      <c r="F3393" s="3" t="s">
        <v>14029</v>
      </c>
      <c r="G3393" s="3" t="str">
        <f ca="1">IFERROR(__xludf.DUMMYFUNCTION("googletranslate(D3393,""en"",""ja"")"),"モノサブ;単球サブ;単球部分集団")</f>
        <v>モノサブ;単球サブ;単球部分集団</v>
      </c>
      <c r="H3393" s="3" t="str">
        <f ca="1">IFERROR(__xludf.DUMMYFUNCTION("googletranslate(E3393,""en"",""ja"")"),"生物学的標本中の単球の部分集団の測定。")</f>
        <v>生物学的標本中の単球の部分集団の測定。</v>
      </c>
      <c r="I3393" s="3" t="str">
        <f ca="1">IFERROR(__xludf.DUMMYFUNCTION("googletranslate(F3393,""en"",""ja"")"),"単球部分集団数")</f>
        <v>単球部分集団数</v>
      </c>
    </row>
    <row r="3394" spans="1:9" ht="45">
      <c r="A3394" s="3" t="s">
        <v>103</v>
      </c>
      <c r="B3394" s="3" t="s">
        <v>14030</v>
      </c>
      <c r="C3394" s="3" t="s">
        <v>14031</v>
      </c>
      <c r="D3394" s="3" t="s">
        <v>14032</v>
      </c>
      <c r="E3394" s="3" t="s">
        <v>14033</v>
      </c>
      <c r="F3394" s="3" t="s">
        <v>14034</v>
      </c>
      <c r="G3394" s="3" t="str">
        <f ca="1">IFERROR(__xludf.DUMMYFUNCTION("googletranslate(D3394,""en"",""ja"")"),"モノラルサブ/モノラル;単球部分集団/単球;単球サブ/単球")</f>
        <v>モノラルサブ/モノラル;単球部分集団/単球;単球サブ/単球</v>
      </c>
      <c r="H3394" s="3" t="str">
        <f ca="1">IFERROR(__xludf.DUMMYFUNCTION("googletranslate(E3394,""en"",""ja"")"),"生物学的標本中の単球に対する単球の部分集団の相対的な測定値 (比率またはパーセンテージ)。")</f>
        <v>生物学的標本中の単球に対する単球の部分集団の相対的な測定値 (比率またはパーセンテージ)。</v>
      </c>
      <c r="I3394" s="3" t="str">
        <f ca="1">IFERROR(__xludf.DUMMYFUNCTION("googletranslate(F3394,""en"",""ja"")"),"総単球に対する単球部分集団の比率の測定")</f>
        <v>総単球に対する単球部分集団の比率の測定</v>
      </c>
    </row>
    <row r="3395" spans="1:9" ht="45">
      <c r="A3395" s="3" t="s">
        <v>103</v>
      </c>
      <c r="B3395" s="3" t="s">
        <v>14035</v>
      </c>
      <c r="C3395" s="3" t="s">
        <v>14036</v>
      </c>
      <c r="D3395" s="3" t="s">
        <v>14037</v>
      </c>
      <c r="E3395" s="3" t="s">
        <v>14038</v>
      </c>
      <c r="F3395" s="3" t="s">
        <v>14039</v>
      </c>
      <c r="G3395" s="3" t="str">
        <f ca="1">IFERROR(__xludf.DUMMYFUNCTION("googletranslate(D3395,""en"",""ja"")"),"モノサブ/モノサブ;単球サブ集団/単球サブ集団")</f>
        <v>モノサブ/モノサブ;単球サブ集団/単球サブ集団</v>
      </c>
      <c r="H3395" s="3" t="str">
        <f ca="1">IFERROR(__xludf.DUMMYFUNCTION("googletranslate(E3395,""en"",""ja"")"),"生物学的標本中の単球の部分集団に対する単球の部分集団の相対的な測定値 (比率またはパーセンテージ)。")</f>
        <v>生物学的標本中の単球の部分集団に対する単球の部分集団の相対的な測定値 (比率またはパーセンテージ)。</v>
      </c>
      <c r="I3395" s="3" t="str">
        <f ca="1">IFERROR(__xludf.DUMMYFUNCTION("googletranslate(F3395,""en"",""ja"")"),"単球部分集団対単球部分集団比の測定")</f>
        <v>単球部分集団対単球部分集団比の測定</v>
      </c>
    </row>
    <row r="3396" spans="1:9" ht="30">
      <c r="A3396" s="3" t="s">
        <v>67</v>
      </c>
      <c r="B3396" s="3" t="s">
        <v>14040</v>
      </c>
      <c r="C3396" s="3" t="s">
        <v>14041</v>
      </c>
      <c r="D3396" s="3" t="s">
        <v>14041</v>
      </c>
      <c r="E3396" s="3" t="s">
        <v>14042</v>
      </c>
      <c r="F3396" s="3" t="s">
        <v>14043</v>
      </c>
      <c r="G3396" s="3" t="str">
        <f ca="1">IFERROR(__xludf.DUMMYFUNCTION("googletranslate(D3396,""en"",""ja"")"),"伝染性軟属腫ウイルス DNA")</f>
        <v>伝染性軟属腫ウイルス DNA</v>
      </c>
      <c r="H3396" s="3" t="str">
        <f ca="1">IFERROR(__xludf.DUMMYFUNCTION("googletranslate(E3396,""en"",""ja"")"),"生物学的検体中の伝染性軟属腫ウイルス DNA の測定。")</f>
        <v>生物学的検体中の伝染性軟属腫ウイルス DNA の測定。</v>
      </c>
      <c r="I3396" s="3" t="str">
        <f ca="1">IFERROR(__xludf.DUMMYFUNCTION("googletranslate(F3396,""en"",""ja"")"),"伝染性軟属腫ウイルスDNA測定")</f>
        <v>伝染性軟属腫ウイルスDNA測定</v>
      </c>
    </row>
    <row r="3397" spans="1:9" ht="30">
      <c r="A3397" s="3" t="s">
        <v>6</v>
      </c>
      <c r="B3397" s="3" t="s">
        <v>14044</v>
      </c>
      <c r="C3397" s="3" t="s">
        <v>14045</v>
      </c>
      <c r="D3397" s="3" t="s">
        <v>14045</v>
      </c>
      <c r="E3397" s="3" t="s">
        <v>14046</v>
      </c>
      <c r="F3397" s="3" t="s">
        <v>14047</v>
      </c>
      <c r="G3397" s="3" t="str">
        <f ca="1">IFERROR(__xludf.DUMMYFUNCTION("googletranslate(D3397,""en"",""ja"")"),"単球様細胞")</f>
        <v>単球様細胞</v>
      </c>
      <c r="H3397" s="3" t="str">
        <f ca="1">IFERROR(__xludf.DUMMYFUNCTION("googletranslate(E3397,""en"",""ja"")"),"生物学的標本中の単球様細胞の測定。")</f>
        <v>生物学的標本中の単球様細胞の測定。</v>
      </c>
      <c r="I3397" s="3" t="str">
        <f ca="1">IFERROR(__xludf.DUMMYFUNCTION("googletranslate(F3397,""en"",""ja"")"),"単球様細胞数")</f>
        <v>単球様細胞数</v>
      </c>
    </row>
    <row r="3398" spans="1:9" ht="30">
      <c r="A3398" s="3" t="s">
        <v>6</v>
      </c>
      <c r="B3398" s="3" t="s">
        <v>14048</v>
      </c>
      <c r="C3398" s="3" t="s">
        <v>14049</v>
      </c>
      <c r="D3398" s="3" t="s">
        <v>14049</v>
      </c>
      <c r="E3398" s="3" t="s">
        <v>14050</v>
      </c>
      <c r="F3398" s="3" t="s">
        <v>14051</v>
      </c>
      <c r="G3398" s="3" t="str">
        <f ca="1">IFERROR(__xludf.DUMMYFUNCTION("googletranslate(D3398,""en"",""ja"")"),"単球様細胞/総細胞数")</f>
        <v>単球様細胞/総細胞数</v>
      </c>
      <c r="H3398" s="3" t="str">
        <f ca="1">IFERROR(__xludf.DUMMYFUNCTION("googletranslate(E3398,""en"",""ja"")"),"生物学的標本の全細胞に対する単球様細胞の相対的な測定値 (比率またはパーセンテージ)。")</f>
        <v>生物学的標本の全細胞に対する単球様細胞の相対的な測定値 (比率またはパーセンテージ)。</v>
      </c>
      <c r="I3398" s="3" t="str">
        <f ca="1">IFERROR(__xludf.DUMMYFUNCTION("googletranslate(F3398,""en"",""ja"")"),"単球様細胞対全細胞比の測定")</f>
        <v>単球様細胞対全細胞比の測定</v>
      </c>
    </row>
    <row r="3399" spans="1:9" ht="30">
      <c r="A3399" s="3" t="s">
        <v>6</v>
      </c>
      <c r="B3399" s="3" t="s">
        <v>14052</v>
      </c>
      <c r="C3399" s="3" t="s">
        <v>14053</v>
      </c>
      <c r="D3399" s="3" t="s">
        <v>14053</v>
      </c>
      <c r="E3399" s="3" t="s">
        <v>14054</v>
      </c>
      <c r="F3399" s="3" t="s">
        <v>14055</v>
      </c>
      <c r="G3399" s="3" t="str">
        <f ca="1">IFERROR(__xludf.DUMMYFUNCTION("googletranslate(D3399,""en"",""ja"")"),"単球様細胞/白血球")</f>
        <v>単球様細胞/白血球</v>
      </c>
      <c r="H3399" s="3" t="str">
        <f ca="1">IFERROR(__xludf.DUMMYFUNCTION("googletranslate(E3399,""en"",""ja"")"),"生物学的標本における白血球に対する単球様細胞の相対的な測定値 (比率またはパーセンテージ)。")</f>
        <v>生物学的標本における白血球に対する単球様細胞の相対的な測定値 (比率またはパーセンテージ)。</v>
      </c>
      <c r="I3399" s="3" t="str">
        <f ca="1">IFERROR(__xludf.DUMMYFUNCTION("googletranslate(F3399,""en"",""ja"")"),"単球様細胞と白血球の比率の測定")</f>
        <v>単球様細胞と白血球の比率の測定</v>
      </c>
    </row>
    <row r="3400" spans="1:9">
      <c r="A3400" s="3" t="s">
        <v>6</v>
      </c>
      <c r="B3400" s="3" t="s">
        <v>14056</v>
      </c>
      <c r="C3400" s="3" t="s">
        <v>14057</v>
      </c>
      <c r="D3400" s="3" t="s">
        <v>14057</v>
      </c>
      <c r="E3400" s="3" t="s">
        <v>14058</v>
      </c>
      <c r="F3400" s="3" t="s">
        <v>14059</v>
      </c>
      <c r="G3400" s="3" t="str">
        <f ca="1">IFERROR(__xludf.DUMMYFUNCTION("googletranslate(D3400,""en"",""ja"")"),"モダフィニル")</f>
        <v>モダフィニル</v>
      </c>
      <c r="H3400" s="3" t="str">
        <f ca="1">IFERROR(__xludf.DUMMYFUNCTION("googletranslate(E3400,""en"",""ja"")"),"生物学的標本中のモダフィニルの測定。")</f>
        <v>生物学的標本中のモダフィニルの測定。</v>
      </c>
      <c r="I3400" s="3" t="str">
        <f ca="1">IFERROR(__xludf.DUMMYFUNCTION("googletranslate(F3400,""en"",""ja"")"),"モダフィニルの測定")</f>
        <v>モダフィニルの測定</v>
      </c>
    </row>
    <row r="3401" spans="1:9">
      <c r="A3401" s="3" t="s">
        <v>6</v>
      </c>
      <c r="B3401" s="3" t="s">
        <v>14060</v>
      </c>
      <c r="C3401" s="3" t="s">
        <v>14061</v>
      </c>
      <c r="D3401" s="3" t="s">
        <v>14061</v>
      </c>
      <c r="E3401" s="3" t="s">
        <v>14062</v>
      </c>
      <c r="F3401" s="3" t="s">
        <v>14063</v>
      </c>
      <c r="G3401" s="3" t="str">
        <f ca="1">IFERROR(__xludf.DUMMYFUNCTION("googletranslate(D3401,""en"",""ja"")"),"メトヘキシタール")</f>
        <v>メトヘキシタール</v>
      </c>
      <c r="H3401" s="3" t="str">
        <f ca="1">IFERROR(__xludf.DUMMYFUNCTION("googletranslate(E3401,""en"",""ja"")"),"生物学的標本中のメトヘキシタールの測定。")</f>
        <v>生物学的標本中のメトヘキシタールの測定。</v>
      </c>
      <c r="I3401" s="3" t="str">
        <f ca="1">IFERROR(__xludf.DUMMYFUNCTION("googletranslate(F3401,""en"",""ja"")"),"メトヘキシタル測定")</f>
        <v>メトヘキシタル測定</v>
      </c>
    </row>
    <row r="3402" spans="1:9" ht="30">
      <c r="A3402" s="3" t="s">
        <v>51</v>
      </c>
      <c r="B3402" s="3" t="s">
        <v>14064</v>
      </c>
      <c r="C3402" s="3" t="s">
        <v>14065</v>
      </c>
      <c r="D3402" s="3" t="s">
        <v>14066</v>
      </c>
      <c r="E3402" s="3" t="s">
        <v>14067</v>
      </c>
      <c r="F3402" s="3" t="s">
        <v>14065</v>
      </c>
      <c r="G3402" s="3" t="str">
        <f ca="1">IFERROR(__xludf.DUMMYFUNCTION("googletranslate(D3402,""en"",""ja"")"),"水分;水分含有量")</f>
        <v>水分;水分含有量</v>
      </c>
      <c r="H3402" s="3" t="str">
        <f ca="1">IFERROR(__xludf.DUMMYFUNCTION("googletranslate(E3402,""en"",""ja"")"),"成分、コンポーネント、または製品に含まれる水およびその他の揮発分の総量。")</f>
        <v>成分、コンポーネント、または製品に含まれる水およびその他の揮発分の総量。</v>
      </c>
      <c r="I3402" s="3" t="str">
        <f ca="1">IFERROR(__xludf.DUMMYFUNCTION("googletranslate(F3402,""en"",""ja"")"),"水分含有量")</f>
        <v>水分含有量</v>
      </c>
    </row>
    <row r="3403" spans="1:9">
      <c r="A3403" s="3" t="s">
        <v>6</v>
      </c>
      <c r="B3403" s="3" t="s">
        <v>14068</v>
      </c>
      <c r="C3403" s="3" t="s">
        <v>14069</v>
      </c>
      <c r="D3403" s="3" t="s">
        <v>14069</v>
      </c>
      <c r="E3403" s="3" t="s">
        <v>14070</v>
      </c>
      <c r="F3403" s="3" t="s">
        <v>14071</v>
      </c>
      <c r="G3403" s="3" t="str">
        <f ca="1">IFERROR(__xludf.DUMMYFUNCTION("googletranslate(D3403,""en"",""ja"")"),"モリンドン")</f>
        <v>モリンドン</v>
      </c>
      <c r="H3403" s="3" t="str">
        <f ca="1">IFERROR(__xludf.DUMMYFUNCTION("googletranslate(E3403,""en"",""ja"")"),"生物学的標本中のモリンドンの測定。")</f>
        <v>生物学的標本中のモリンドンの測定。</v>
      </c>
      <c r="I3403" s="3" t="str">
        <f ca="1">IFERROR(__xludf.DUMMYFUNCTION("googletranslate(F3403,""en"",""ja"")"),"モリンドン測定")</f>
        <v>モリンドン測定</v>
      </c>
    </row>
    <row r="3404" spans="1:9" ht="45">
      <c r="A3404" s="3" t="s">
        <v>103</v>
      </c>
      <c r="B3404" s="3" t="s">
        <v>14072</v>
      </c>
      <c r="C3404" s="3" t="s">
        <v>14073</v>
      </c>
      <c r="D3404" s="3" t="s">
        <v>14073</v>
      </c>
      <c r="E3404" s="3" t="s">
        <v>14074</v>
      </c>
      <c r="F3404" s="3" t="s">
        <v>14075</v>
      </c>
      <c r="G3404" s="3" t="str">
        <f ca="1">IFERROR(__xludf.DUMMYFUNCTION("googletranslate(D3404,""en"",""ja"")"),"単球とマクロファージ/白血球")</f>
        <v>単球とマクロファージ/白血球</v>
      </c>
      <c r="H3404" s="3" t="str">
        <f ca="1">IFERROR(__xludf.DUMMYFUNCTION("googletranslate(E3404,""en"",""ja"")"),"生物学的標本中の総白血球に対する単球とマクロファージの相対的な測定値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404" s="3" t="str">
        <f ca="1">IFERROR(__xludf.DUMMYFUNCTION("googletranslate(F3404,""en"",""ja"")"),"単球およびマクロファージと白血球の比率の測定")</f>
        <v>単球およびマクロファージと白血球の比率の測定</v>
      </c>
    </row>
    <row r="3405" spans="1:9" ht="45">
      <c r="A3405" s="3" t="s">
        <v>6</v>
      </c>
      <c r="B3405" s="3" t="s">
        <v>14072</v>
      </c>
      <c r="C3405" s="3" t="s">
        <v>14073</v>
      </c>
      <c r="D3405" s="3" t="s">
        <v>14073</v>
      </c>
      <c r="E3405" s="3" t="s">
        <v>14074</v>
      </c>
      <c r="F3405" s="3" t="s">
        <v>14075</v>
      </c>
      <c r="G3405" s="3" t="str">
        <f ca="1">IFERROR(__xludf.DUMMYFUNCTION("googletranslate(D3405,""en"",""ja"")"),"単球とマクロファージ/白血球")</f>
        <v>単球とマクロファージ/白血球</v>
      </c>
      <c r="H3405" s="3" t="str">
        <f ca="1">IFERROR(__xludf.DUMMYFUNCTION("googletranslate(E3405,""en"",""ja"")"),"生物学的標本中の総白血球に対する単球とマクロファージの相対的な測定値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405" s="3" t="str">
        <f ca="1">IFERROR(__xludf.DUMMYFUNCTION("googletranslate(F3405,""en"",""ja"")"),"単球およびマクロファージと白血球の比率の測定")</f>
        <v>単球およびマクロファージと白血球の比率の測定</v>
      </c>
    </row>
    <row r="3406" spans="1:9">
      <c r="A3406" s="3" t="s">
        <v>6</v>
      </c>
      <c r="B3406" s="3" t="s">
        <v>14076</v>
      </c>
      <c r="C3406" s="3" t="s">
        <v>14077</v>
      </c>
      <c r="D3406" s="3" t="s">
        <v>14077</v>
      </c>
      <c r="E3406" s="3" t="s">
        <v>14078</v>
      </c>
      <c r="F3406" s="3" t="s">
        <v>14079</v>
      </c>
      <c r="G3406" s="3" t="str">
        <f ca="1">IFERROR(__xludf.DUMMYFUNCTION("googletranslate(D3406,""en"",""ja"")"),"単球")</f>
        <v>単球</v>
      </c>
      <c r="H3406" s="3" t="str">
        <f ca="1">IFERROR(__xludf.DUMMYFUNCTION("googletranslate(E3406,""en"",""ja"")"),"生物学的標本中の単球の測定。")</f>
        <v>生物学的標本中の単球の測定。</v>
      </c>
      <c r="I3406" s="3" t="str">
        <f ca="1">IFERROR(__xludf.DUMMYFUNCTION("googletranslate(F3406,""en"",""ja"")"),"単球数")</f>
        <v>単球数</v>
      </c>
    </row>
    <row r="3407" spans="1:9">
      <c r="A3407" s="3" t="s">
        <v>103</v>
      </c>
      <c r="B3407" s="3" t="s">
        <v>14076</v>
      </c>
      <c r="C3407" s="3" t="s">
        <v>14077</v>
      </c>
      <c r="D3407" s="3" t="s">
        <v>14077</v>
      </c>
      <c r="E3407" s="3" t="s">
        <v>14078</v>
      </c>
      <c r="F3407" s="3" t="s">
        <v>14079</v>
      </c>
      <c r="G3407" s="3" t="str">
        <f ca="1">IFERROR(__xludf.DUMMYFUNCTION("googletranslate(D3407,""en"",""ja"")"),"単球")</f>
        <v>単球</v>
      </c>
      <c r="H3407" s="3" t="str">
        <f ca="1">IFERROR(__xludf.DUMMYFUNCTION("googletranslate(E3407,""en"",""ja"")"),"生物学的標本中の単球の測定。")</f>
        <v>生物学的標本中の単球の測定。</v>
      </c>
      <c r="I3407" s="3" t="str">
        <f ca="1">IFERROR(__xludf.DUMMYFUNCTION("googletranslate(F3407,""en"",""ja"")"),"単球数")</f>
        <v>単球数</v>
      </c>
    </row>
    <row r="3408" spans="1:9" ht="30">
      <c r="A3408" s="3" t="s">
        <v>6</v>
      </c>
      <c r="B3408" s="3" t="s">
        <v>14080</v>
      </c>
      <c r="C3408" s="3" t="s">
        <v>14081</v>
      </c>
      <c r="D3408" s="3" t="s">
        <v>14081</v>
      </c>
      <c r="E3408" s="3" t="s">
        <v>14082</v>
      </c>
      <c r="F3408" s="3" t="s">
        <v>14083</v>
      </c>
      <c r="G3408" s="3" t="str">
        <f ca="1">IFERROR(__xludf.DUMMYFUNCTION("googletranslate(D3408,""en"",""ja"")"),"単芽球")</f>
        <v>単芽球</v>
      </c>
      <c r="H3408" s="3" t="str">
        <f ca="1">IFERROR(__xludf.DUMMYFUNCTION("googletranslate(E3408,""en"",""ja"")"),"生物学的標本中の単芽球細胞の測定。")</f>
        <v>生物学的標本中の単芽球細胞の測定。</v>
      </c>
      <c r="I3408" s="3" t="str">
        <f ca="1">IFERROR(__xludf.DUMMYFUNCTION("googletranslate(F3408,""en"",""ja"")"),"単芽球数")</f>
        <v>単芽球数</v>
      </c>
    </row>
    <row r="3409" spans="1:9" ht="30">
      <c r="A3409" s="3" t="s">
        <v>6</v>
      </c>
      <c r="B3409" s="3" t="s">
        <v>14084</v>
      </c>
      <c r="C3409" s="3" t="s">
        <v>14085</v>
      </c>
      <c r="D3409" s="3" t="s">
        <v>14085</v>
      </c>
      <c r="E3409" s="3" t="s">
        <v>14086</v>
      </c>
      <c r="F3409" s="3" t="s">
        <v>14087</v>
      </c>
      <c r="G3409" s="3" t="str">
        <f ca="1">IFERROR(__xludf.DUMMYFUNCTION("googletranslate(D3409,""en"",""ja"")"),"単芽球/全細胞")</f>
        <v>単芽球/全細胞</v>
      </c>
      <c r="H3409" s="3" t="str">
        <f ca="1">IFERROR(__xludf.DUMMYFUNCTION("googletranslate(E3409,""en"",""ja"")"),"生物学的標本の全細胞に対する単芽球の相対的な測定値 (比率またはパーセンテージ)。")</f>
        <v>生物学的標本の全細胞に対する単芽球の相対的な測定値 (比率またはパーセンテージ)。</v>
      </c>
      <c r="I3409" s="3" t="str">
        <f ca="1">IFERROR(__xludf.DUMMYFUNCTION("googletranslate(F3409,""en"",""ja"")"),"単芽細胞対総細胞比の測定")</f>
        <v>単芽細胞対総細胞比の測定</v>
      </c>
    </row>
    <row r="3410" spans="1:9" ht="30">
      <c r="A3410" s="3" t="s">
        <v>6</v>
      </c>
      <c r="B3410" s="3" t="s">
        <v>14088</v>
      </c>
      <c r="C3410" s="3" t="s">
        <v>14089</v>
      </c>
      <c r="D3410" s="3" t="s">
        <v>14089</v>
      </c>
      <c r="E3410" s="3" t="s">
        <v>14090</v>
      </c>
      <c r="F3410" s="3" t="s">
        <v>14091</v>
      </c>
      <c r="G3410" s="3" t="str">
        <f ca="1">IFERROR(__xludf.DUMMYFUNCTION("googletranslate(D3410,""en"",""ja"")"),"単芽球/白血球")</f>
        <v>単芽球/白血球</v>
      </c>
      <c r="H3410" s="3" t="str">
        <f ca="1">IFERROR(__xludf.DUMMYFUNCTION("googletranslate(E3410,""en"",""ja"")"),"生物学的標本における白血球に対する単芽球の相対的な測定値 (比率またはパーセンテージ)。")</f>
        <v>生物学的標本における白血球に対する単芽球の相対的な測定値 (比率またはパーセンテージ)。</v>
      </c>
      <c r="I3410" s="3" t="str">
        <f ca="1">IFERROR(__xludf.DUMMYFUNCTION("googletranslate(F3410,""en"",""ja"")"),"単芽球と白血球の比率の測定")</f>
        <v>単芽球と白血球の比率の測定</v>
      </c>
    </row>
    <row r="3411" spans="1:9" ht="45">
      <c r="A3411" s="3" t="s">
        <v>103</v>
      </c>
      <c r="B3411" s="3" t="s">
        <v>14092</v>
      </c>
      <c r="C3411" s="3" t="s">
        <v>14093</v>
      </c>
      <c r="D3411" s="3" t="s">
        <v>14093</v>
      </c>
      <c r="E3411" s="3" t="s">
        <v>14094</v>
      </c>
      <c r="F3411" s="3" t="s">
        <v>14095</v>
      </c>
      <c r="G3411" s="3" t="str">
        <f ca="1">IFERROR(__xludf.DUMMYFUNCTION("googletranslate(D3411,""en"",""ja"")"),"単球/全細胞数")</f>
        <v>単球/全細胞数</v>
      </c>
      <c r="H3411" s="3" t="str">
        <f ca="1">IFERROR(__xludf.DUMMYFUNCTION("googletranslate(E3411,""en"",""ja"")"),"生物学的標本（骨髄標本など）中の全細胞に対する単球の相対測定値（比率またはパーセンテージ）。")</f>
        <v>生物学的標本（骨髄標本など）中の全細胞に対する単球の相対測定値（比率またはパーセンテージ）。</v>
      </c>
      <c r="I3411" s="3" t="str">
        <f ca="1">IFERROR(__xludf.DUMMYFUNCTION("googletranslate(F3411,""en"",""ja"")"),"単球対総細胞比の測定")</f>
        <v>単球対総細胞比の測定</v>
      </c>
    </row>
    <row r="3412" spans="1:9" ht="45">
      <c r="A3412" s="3" t="s">
        <v>6</v>
      </c>
      <c r="B3412" s="3" t="s">
        <v>14092</v>
      </c>
      <c r="C3412" s="3" t="s">
        <v>14093</v>
      </c>
      <c r="D3412" s="3" t="s">
        <v>14093</v>
      </c>
      <c r="E3412" s="3" t="s">
        <v>14094</v>
      </c>
      <c r="F3412" s="3" t="s">
        <v>14095</v>
      </c>
      <c r="G3412" s="3" t="str">
        <f ca="1">IFERROR(__xludf.DUMMYFUNCTION("googletranslate(D3412,""en"",""ja"")"),"単球/全細胞数")</f>
        <v>単球/全細胞数</v>
      </c>
      <c r="H3412" s="3" t="str">
        <f ca="1">IFERROR(__xludf.DUMMYFUNCTION("googletranslate(E3412,""en"",""ja"")"),"生物学的標本（骨髄標本など）中の全細胞に対する単球の相対測定値（比率またはパーセンテージ）。")</f>
        <v>生物学的標本（骨髄標本など）中の全細胞に対する単球の相対測定値（比率またはパーセンテージ）。</v>
      </c>
      <c r="I3412" s="3" t="str">
        <f ca="1">IFERROR(__xludf.DUMMYFUNCTION("googletranslate(F3412,""en"",""ja"")"),"単球対総細胞比の測定")</f>
        <v>単球対総細胞比の測定</v>
      </c>
    </row>
    <row r="3413" spans="1:9" ht="30">
      <c r="A3413" s="3" t="s">
        <v>6</v>
      </c>
      <c r="B3413" s="3" t="s">
        <v>14096</v>
      </c>
      <c r="C3413" s="3" t="s">
        <v>14097</v>
      </c>
      <c r="D3413" s="3" t="s">
        <v>14097</v>
      </c>
      <c r="E3413" s="3" t="s">
        <v>14098</v>
      </c>
      <c r="F3413" s="3" t="s">
        <v>14099</v>
      </c>
      <c r="G3413" s="3" t="str">
        <f ca="1">IFERROR(__xludf.DUMMYFUNCTION("googletranslate(D3413,""en"",""ja"")"),"未熟な単球")</f>
        <v>未熟な単球</v>
      </c>
      <c r="H3413" s="3" t="str">
        <f ca="1">IFERROR(__xludf.DUMMYFUNCTION("googletranslate(E3413,""en"",""ja"")"),"生物学的標本中の未成熟単球の測定。")</f>
        <v>生物学的標本中の未成熟単球の測定。</v>
      </c>
      <c r="I3413" s="3" t="str">
        <f ca="1">IFERROR(__xludf.DUMMYFUNCTION("googletranslate(F3413,""en"",""ja"")"),"未熟単球数")</f>
        <v>未熟単球数</v>
      </c>
    </row>
    <row r="3414" spans="1:9" ht="30">
      <c r="A3414" s="3" t="s">
        <v>103</v>
      </c>
      <c r="B3414" s="3" t="s">
        <v>14096</v>
      </c>
      <c r="C3414" s="3" t="s">
        <v>14097</v>
      </c>
      <c r="D3414" s="3" t="s">
        <v>14097</v>
      </c>
      <c r="E3414" s="3" t="s">
        <v>14098</v>
      </c>
      <c r="F3414" s="3" t="s">
        <v>14099</v>
      </c>
      <c r="G3414" s="3" t="str">
        <f ca="1">IFERROR(__xludf.DUMMYFUNCTION("googletranslate(D3414,""en"",""ja"")"),"未熟な単球")</f>
        <v>未熟な単球</v>
      </c>
      <c r="H3414" s="3" t="str">
        <f ca="1">IFERROR(__xludf.DUMMYFUNCTION("googletranslate(E3414,""en"",""ja"")"),"生物学的標本中の未成熟単球の測定。")</f>
        <v>生物学的標本中の未成熟単球の測定。</v>
      </c>
      <c r="I3414" s="3" t="str">
        <f ca="1">IFERROR(__xludf.DUMMYFUNCTION("googletranslate(F3414,""en"",""ja"")"),"未熟単球数")</f>
        <v>未熟単球数</v>
      </c>
    </row>
    <row r="3415" spans="1:9" ht="30">
      <c r="A3415" s="3" t="s">
        <v>6</v>
      </c>
      <c r="B3415" s="3" t="s">
        <v>14100</v>
      </c>
      <c r="C3415" s="3" t="s">
        <v>14101</v>
      </c>
      <c r="D3415" s="3" t="s">
        <v>14101</v>
      </c>
      <c r="E3415" s="3" t="s">
        <v>14102</v>
      </c>
      <c r="F3415" s="3" t="s">
        <v>14103</v>
      </c>
      <c r="G3415" s="3" t="str">
        <f ca="1">IFERROR(__xludf.DUMMYFUNCTION("googletranslate(D3415,""en"",""ja"")"),"未熟な単球/白血球")</f>
        <v>未熟な単球/白血球</v>
      </c>
      <c r="H3415" s="3" t="str">
        <f ca="1">IFERROR(__xludf.DUMMYFUNCTION("googletranslate(E3415,""en"",""ja"")"),"生物学的標本中の全白血球に対する未熟単球の相対測定値 (比率またはパーセンテージ)。")</f>
        <v>生物学的標本中の全白血球に対する未熟単球の相対測定値 (比率またはパーセンテージ)。</v>
      </c>
      <c r="I3415" s="3" t="str">
        <f ca="1">IFERROR(__xludf.DUMMYFUNCTION("googletranslate(F3415,""en"",""ja"")"),"未熟単球と白血球の比率の測定")</f>
        <v>未熟単球と白血球の比率の測定</v>
      </c>
    </row>
    <row r="3416" spans="1:9" ht="30">
      <c r="A3416" s="3" t="s">
        <v>6</v>
      </c>
      <c r="B3416" s="3" t="s">
        <v>14104</v>
      </c>
      <c r="C3416" s="3" t="s">
        <v>14105</v>
      </c>
      <c r="D3416" s="3" t="s">
        <v>14105</v>
      </c>
      <c r="E3416" s="3" t="s">
        <v>14106</v>
      </c>
      <c r="F3416" s="3" t="s">
        <v>14107</v>
      </c>
      <c r="G3416" s="3" t="str">
        <f ca="1">IFERROR(__xludf.DUMMYFUNCTION("googletranslate(D3416,""en"",""ja"")"),"単球/白血球")</f>
        <v>単球/白血球</v>
      </c>
      <c r="H3416" s="3" t="str">
        <f ca="1">IFERROR(__xludf.DUMMYFUNCTION("googletranslate(E3416,""en"",""ja"")"),"生物学的標本における白血球に対する単球の相対的な測定値 (比率またはパーセンテージ)。")</f>
        <v>生物学的標本における白血球に対する単球の相対的な測定値 (比率またはパーセンテージ)。</v>
      </c>
      <c r="I3416" s="3" t="str">
        <f ca="1">IFERROR(__xludf.DUMMYFUNCTION("googletranslate(F3416,""en"",""ja"")"),"単球と白血球の比率")</f>
        <v>単球と白血球の比率</v>
      </c>
    </row>
    <row r="3417" spans="1:9" ht="30">
      <c r="A3417" s="3" t="s">
        <v>103</v>
      </c>
      <c r="B3417" s="3" t="s">
        <v>14104</v>
      </c>
      <c r="C3417" s="3" t="s">
        <v>14105</v>
      </c>
      <c r="D3417" s="3" t="s">
        <v>14105</v>
      </c>
      <c r="E3417" s="3" t="s">
        <v>14106</v>
      </c>
      <c r="F3417" s="3" t="s">
        <v>14107</v>
      </c>
      <c r="G3417" s="3" t="str">
        <f ca="1">IFERROR(__xludf.DUMMYFUNCTION("googletranslate(D3417,""en"",""ja"")"),"単球/白血球")</f>
        <v>単球/白血球</v>
      </c>
      <c r="H3417" s="3" t="str">
        <f ca="1">IFERROR(__xludf.DUMMYFUNCTION("googletranslate(E3417,""en"",""ja"")"),"生物学的標本における白血球に対する単球の相対的な測定値 (比率またはパーセンテージ)。")</f>
        <v>生物学的標本における白血球に対する単球の相対的な測定値 (比率またはパーセンテージ)。</v>
      </c>
      <c r="I3417" s="3" t="str">
        <f ca="1">IFERROR(__xludf.DUMMYFUNCTION("googletranslate(F3417,""en"",""ja"")"),"単球と白血球の比率")</f>
        <v>単球と白血球の比率</v>
      </c>
    </row>
    <row r="3418" spans="1:9" ht="45">
      <c r="A3418" s="3" t="s">
        <v>103</v>
      </c>
      <c r="B3418" s="3" t="s">
        <v>14108</v>
      </c>
      <c r="C3418" s="3" t="s">
        <v>14109</v>
      </c>
      <c r="D3418" s="3" t="s">
        <v>14110</v>
      </c>
      <c r="E3418" s="3" t="s">
        <v>14111</v>
      </c>
      <c r="F3418" s="3" t="s">
        <v>14112</v>
      </c>
      <c r="G3418" s="3" t="str">
        <f ca="1">IFERROR(__xludf.DUMMYFUNCTION("googletranslate(D3418,""en"",""ja"")"),"モノ/ロイクサブ;単球/白血球サブ集団")</f>
        <v>モノ/ロイクサブ;単球/白血球サブ集団</v>
      </c>
      <c r="H3418" s="3" t="str">
        <f ca="1">IFERROR(__xludf.DUMMYFUNCTION("googletranslate(E3418,""en"",""ja"")"),"生物学的標本中の白血球の部分集団に対する単球の相対測定値 (比率またはパーセンテージ)。")</f>
        <v>生物学的標本中の白血球の部分集団に対する単球の相対測定値 (比率またはパーセンテージ)。</v>
      </c>
      <c r="I3418" s="3" t="str">
        <f ca="1">IFERROR(__xludf.DUMMYFUNCTION("googletranslate(F3418,""en"",""ja"")"),"単球と白血球の部分集団比の測定")</f>
        <v>単球と白血球の部分集団比の測定</v>
      </c>
    </row>
    <row r="3419" spans="1:9" ht="45">
      <c r="A3419" s="3" t="s">
        <v>103</v>
      </c>
      <c r="B3419" s="3" t="s">
        <v>14113</v>
      </c>
      <c r="C3419" s="3" t="s">
        <v>14114</v>
      </c>
      <c r="D3419" s="3" t="s">
        <v>14115</v>
      </c>
      <c r="E3419" s="3" t="s">
        <v>14116</v>
      </c>
      <c r="F3419" s="3" t="s">
        <v>14117</v>
      </c>
      <c r="G3419" s="3" t="str">
        <f ca="1">IFERROR(__xludf.DUMMYFUNCTION("googletranslate(D3419,""en"",""ja"")"),"モノラル/リムサブ;単球/リンパ球のサブ集団")</f>
        <v>モノラル/リムサブ;単球/リンパ球のサブ集団</v>
      </c>
      <c r="H3419" s="3" t="str">
        <f ca="1">IFERROR(__xludf.DUMMYFUNCTION("googletranslate(E3419,""en"",""ja"")"),"生物学的標本中のリンパ球の部分集団に対する単球の相対的な測定値 (比率またはパーセンテージ)。")</f>
        <v>生物学的標本中のリンパ球の部分集団に対する単球の相対的な測定値 (比率またはパーセンテージ)。</v>
      </c>
      <c r="I3419" s="3" t="str">
        <f ca="1">IFERROR(__xludf.DUMMYFUNCTION("googletranslate(F3419,""en"",""ja"")"),"単球対リンパ球部分集団比の測定")</f>
        <v>単球対リンパ球部分集団比の測定</v>
      </c>
    </row>
    <row r="3420" spans="1:9" ht="30">
      <c r="A3420" s="3" t="s">
        <v>6</v>
      </c>
      <c r="B3420" s="3" t="s">
        <v>14118</v>
      </c>
      <c r="C3420" s="3" t="s">
        <v>14119</v>
      </c>
      <c r="D3420" s="3" t="s">
        <v>14119</v>
      </c>
      <c r="E3420" s="3" t="s">
        <v>14120</v>
      </c>
      <c r="F3420" s="3" t="s">
        <v>14121</v>
      </c>
      <c r="G3420" s="3" t="str">
        <f ca="1">IFERROR(__xludf.DUMMYFUNCTION("googletranslate(D3420,""en"",""ja"")"),"単球/大球")</f>
        <v>単球/大球</v>
      </c>
      <c r="H3420" s="3" t="str">
        <f ca="1">IFERROR(__xludf.DUMMYFUNCTION("googletranslate(E3420,""en"",""ja"")"),"サンプル中に存在する大球に対する単球の相対測定値 (比率またはパーセンテージ)。")</f>
        <v>サンプル中に存在する大球に対する単球の相対測定値 (比率またはパーセンテージ)。</v>
      </c>
      <c r="I3420" s="3" t="str">
        <f ca="1">IFERROR(__xludf.DUMMYFUNCTION("googletranslate(F3420,""en"",""ja"")"),"単球と大球の比率の測定")</f>
        <v>単球と大球の比率の測定</v>
      </c>
    </row>
    <row r="3421" spans="1:9" ht="30">
      <c r="A3421" s="3" t="s">
        <v>103</v>
      </c>
      <c r="B3421" s="3" t="s">
        <v>14122</v>
      </c>
      <c r="C3421" s="3" t="s">
        <v>14123</v>
      </c>
      <c r="D3421" s="3" t="s">
        <v>14124</v>
      </c>
      <c r="E3421" s="3" t="s">
        <v>14125</v>
      </c>
      <c r="F3421" s="3" t="s">
        <v>14126</v>
      </c>
      <c r="G3421" s="3" t="str">
        <f ca="1">IFERROR(__xludf.DUMMYFUNCTION("googletranslate(D3421,""en"",""ja"")"),"単細胞/骨髄細胞;単球/骨髄細胞")</f>
        <v>単細胞/骨髄細胞;単球/骨髄細胞</v>
      </c>
      <c r="H3421" s="3" t="str">
        <f ca="1">IFERROR(__xludf.DUMMYFUNCTION("googletranslate(E3421,""en"",""ja"")"),"生物学的標本における骨髄細胞に対する単球の相対的な測定値 (比率またはパーセンテージ)。")</f>
        <v>生物学的標本における骨髄細胞に対する単球の相対的な測定値 (比率またはパーセンテージ)。</v>
      </c>
      <c r="I3421" s="3" t="str">
        <f ca="1">IFERROR(__xludf.DUMMYFUNCTION("googletranslate(F3421,""en"",""ja"")"),"単球対骨髄細胞比の測定")</f>
        <v>単球対骨髄細胞比の測定</v>
      </c>
    </row>
    <row r="3422" spans="1:9" ht="45">
      <c r="A3422" s="3" t="s">
        <v>6</v>
      </c>
      <c r="B3422" s="3" t="s">
        <v>14127</v>
      </c>
      <c r="C3422" s="3" t="s">
        <v>14128</v>
      </c>
      <c r="D3422" s="3" t="s">
        <v>14128</v>
      </c>
      <c r="E3422" s="3" t="s">
        <v>14129</v>
      </c>
      <c r="F3422" s="3" t="s">
        <v>14130</v>
      </c>
      <c r="G3422" s="3" t="str">
        <f ca="1">IFERROR(__xludf.DUMMYFUNCTION("googletranslate(D3422,""en"",""ja"")"),"単球/非扁平上皮細胞")</f>
        <v>単球/非扁平上皮細胞</v>
      </c>
      <c r="H3422" s="3" t="str">
        <f ca="1">IFERROR(__xludf.DUMMYFUNCTION("googletranslate(E3422,""en"",""ja"")"),"生物学的標本中の非扁平上皮細胞に対する単球の相対測定値 (比率またはパーセンテージ)。")</f>
        <v>生物学的標本中の非扁平上皮細胞に対する単球の相対測定値 (比率またはパーセンテージ)。</v>
      </c>
      <c r="I3422" s="3" t="str">
        <f ca="1">IFERROR(__xludf.DUMMYFUNCTION("googletranslate(F3422,""en"",""ja"")"),"単球と非扁平上皮細胞の比率の測定")</f>
        <v>単球と非扁平上皮細胞の比率の測定</v>
      </c>
    </row>
    <row r="3423" spans="1:9" ht="105">
      <c r="A3423" s="3" t="s">
        <v>6</v>
      </c>
      <c r="B3423" s="3" t="s">
        <v>14131</v>
      </c>
      <c r="C3423" s="3" t="s">
        <v>14132</v>
      </c>
      <c r="D3423" s="3" t="s">
        <v>14133</v>
      </c>
      <c r="E3423" s="3" t="s">
        <v>14134</v>
      </c>
      <c r="F3423" s="3" t="s">
        <v>14135</v>
      </c>
      <c r="G3423" s="3" t="str">
        <f ca="1">IFERROR(__xludf.DUMMYFUNCTION("googletranslate(D3423,""en"",""ja"")"),"Mタンパク質/総タンパク質; M-スパイクタンパク質/総タンパク質;モノクローナルタンパク質スパイク/総タンパク質;モノクローナルタンパク質/総タンパク質;骨髄腫タンパク質/総タンパク質")</f>
        <v>Mタンパク質/総タンパク質; M-スパイクタンパク質/総タンパク質;モノクローナルタンパク質スパイク/総タンパク質;モノクローナルタンパク質/総タンパク質;骨髄腫タンパク質/総タンパク質</v>
      </c>
      <c r="H3423" s="3" t="str">
        <f ca="1">IFERROR(__xludf.DUMMYFUNCTION("googletranslate(E3423,""en"",""ja"")"),"生物学的標本中の総タンパク質に対するモノクローナルタンパク質の相対測定値 (比率またはパーセンテージ)。")</f>
        <v>生物学的標本中の総タンパク質に対するモノクローナルタンパク質の相対測定値 (比率またはパーセンテージ)。</v>
      </c>
      <c r="I3423" s="3" t="str">
        <f ca="1">IFERROR(__xludf.DUMMYFUNCTION("googletranslate(F3423,""en"",""ja"")"),"モノクローナルタンパク質と総タンパク質の比率の測定")</f>
        <v>モノクローナルタンパク質と総タンパク質の比率の測定</v>
      </c>
    </row>
    <row r="3424" spans="1:9" ht="45">
      <c r="A3424" s="3" t="s">
        <v>103</v>
      </c>
      <c r="B3424" s="3" t="s">
        <v>14136</v>
      </c>
      <c r="C3424" s="3" t="s">
        <v>14137</v>
      </c>
      <c r="D3424" s="3" t="s">
        <v>14138</v>
      </c>
      <c r="E3424" s="3" t="s">
        <v>14139</v>
      </c>
      <c r="F3424" s="3" t="s">
        <v>14140</v>
      </c>
      <c r="G3424" s="3" t="str">
        <f ca="1">IFERROR(__xludf.DUMMYFUNCTION("googletranslate(D3424,""en"",""ja"")"),"モノサブ/ロイク;単球部分集団/白血球")</f>
        <v>モノサブ/ロイク;単球部分集団/白血球</v>
      </c>
      <c r="H3424" s="3" t="str">
        <f ca="1">IFERROR(__xludf.DUMMYFUNCTION("googletranslate(E3424,""en"",""ja"")"),"生物学的標本中の総白血球に対する単球の部分集団の相対測定値 (比率またはパーセンテージ)。")</f>
        <v>生物学的標本中の総白血球に対する単球の部分集団の相対測定値 (比率またはパーセンテージ)。</v>
      </c>
      <c r="I3424" s="3" t="str">
        <f ca="1">IFERROR(__xludf.DUMMYFUNCTION("googletranslate(F3424,""en"",""ja"")"),"単球部分集団と白血球の比率の測定")</f>
        <v>単球部分集団と白血球の比率の測定</v>
      </c>
    </row>
    <row r="3425" spans="1:9" ht="30">
      <c r="A3425" s="3" t="s">
        <v>2904</v>
      </c>
      <c r="B3425" s="3" t="s">
        <v>14141</v>
      </c>
      <c r="C3425" s="3" t="s">
        <v>14142</v>
      </c>
      <c r="D3425" s="3" t="s">
        <v>14142</v>
      </c>
      <c r="E3425" s="3" t="s">
        <v>14143</v>
      </c>
      <c r="F3425" s="3" t="s">
        <v>14144</v>
      </c>
      <c r="G3425" s="3" t="str">
        <f ca="1">IFERROR(__xludf.DUMMYFUNCTION("googletranslate(D3425,""en"",""ja"")"),"モノヌクレオチドマーカー名")</f>
        <v>モノヌクレオチドマーカー名</v>
      </c>
      <c r="H3425" s="3" t="str">
        <f ca="1">IFERROR(__xludf.DUMMYFUNCTION("googletranslate(E3425,""en"",""ja"")"),"アッセイキットに含まれるモノヌクレオチドマーカーの文字通りの識別子。")</f>
        <v>アッセイキットに含まれるモノヌクレオチドマーカーの文字通りの識別子。</v>
      </c>
      <c r="I3425" s="3" t="str">
        <f ca="1">IFERROR(__xludf.DUMMYFUNCTION("googletranslate(F3425,""en"",""ja"")"),"モノヌクレオチドマーカー名")</f>
        <v>モノヌクレオチドマーカー名</v>
      </c>
    </row>
    <row r="3426" spans="1:9" ht="45">
      <c r="A3426" s="3" t="s">
        <v>67</v>
      </c>
      <c r="B3426" s="3" t="s">
        <v>14145</v>
      </c>
      <c r="C3426" s="3" t="s">
        <v>14146</v>
      </c>
      <c r="D3426" s="3" t="s">
        <v>14146</v>
      </c>
      <c r="E3426" s="3" t="s">
        <v>14147</v>
      </c>
      <c r="F3426" s="3" t="s">
        <v>14148</v>
      </c>
      <c r="G3426" s="3" t="str">
        <f ca="1">IFERROR(__xludf.DUMMYFUNCTION("googletranslate(D3426,""en"",""ja"")"),"モルガネラ")</f>
        <v>モルガネラ</v>
      </c>
      <c r="H3426" s="3" t="str">
        <f ca="1">IFERROR(__xludf.DUMMYFUNCTION("googletranslate(E3426,""en"",""ja"")"),"生物学的標本において、種レベルには割り当てられていないが、モルガネラ属レベルに割り当てられている生物の測定値。")</f>
        <v>生物学的標本において、種レベルには割り当てられていないが、モルガネラ属レベルに割り当てられている生物の測定値。</v>
      </c>
      <c r="I3426" s="3" t="str">
        <f ca="1">IFERROR(__xludf.DUMMYFUNCTION("googletranslate(F3426,""en"",""ja"")"),"モルガネラの測定")</f>
        <v>モルガネラの測定</v>
      </c>
    </row>
    <row r="3427" spans="1:9" ht="75">
      <c r="A3427" s="3" t="s">
        <v>159</v>
      </c>
      <c r="B3427" s="3" t="s">
        <v>14149</v>
      </c>
      <c r="C3427" s="3" t="s">
        <v>14150</v>
      </c>
      <c r="D3427" s="3" t="s">
        <v>14150</v>
      </c>
      <c r="E3427" s="3" t="s">
        <v>14151</v>
      </c>
      <c r="F3427" s="3" t="s">
        <v>14150</v>
      </c>
      <c r="G3427" s="3" t="str">
        <f ca="1">IFERROR(__xludf.DUMMYFUNCTION("googletranslate(D3427,""en"",""ja"")"),"モロー反射")</f>
        <v>モロー反射</v>
      </c>
      <c r="H3427" s="3" t="str">
        <f ca="1">IFERROR(__xludf.DUMMYFUNCTION("googletranslate(E3427,""en"",""ja"")"),"大きな音や転倒の感覚に対する新生児の不随意の原始的な反応。この反応は、乳児の腕が対称的に横に広がり、その後正中線に戻り、指と足の指が無意識に曲がることによって特徴付けられます。")</f>
        <v>大きな音や転倒の感覚に対する新生児の不随意の原始的な反応。この反応は、乳児の腕が対称的に横に広がり、その後正中線に戻り、指と足の指が無意識に曲がることによって特徴付けられます。</v>
      </c>
      <c r="I3427" s="3" t="str">
        <f ca="1">IFERROR(__xludf.DUMMYFUNCTION("googletranslate(F3427,""en"",""ja"")"),"モロー反射")</f>
        <v>モロー反射</v>
      </c>
    </row>
    <row r="3428" spans="1:9" ht="30">
      <c r="A3428" s="3" t="s">
        <v>6</v>
      </c>
      <c r="B3428" s="3" t="s">
        <v>14152</v>
      </c>
      <c r="C3428" s="3" t="s">
        <v>14153</v>
      </c>
      <c r="D3428" s="3" t="s">
        <v>14153</v>
      </c>
      <c r="E3428" s="3" t="s">
        <v>14154</v>
      </c>
      <c r="F3428" s="3" t="s">
        <v>14155</v>
      </c>
      <c r="G3428" s="3" t="str">
        <f ca="1">IFERROR(__xludf.DUMMYFUNCTION("googletranslate(D3428,""en"",""ja"")"),"デソモルヒネ")</f>
        <v>デソモルヒネ</v>
      </c>
      <c r="H3428" s="3" t="str">
        <f ca="1">IFERROR(__xludf.DUMMYFUNCTION("googletranslate(E3428,""en"",""ja"")"),"生物学的標本中のデソモルヒネの測定。")</f>
        <v>生物学的標本中のデソモルヒネの測定。</v>
      </c>
      <c r="I3428" s="3" t="str">
        <f ca="1">IFERROR(__xludf.DUMMYFUNCTION("googletranslate(F3428,""en"",""ja"")"),"デソモルヒネの測定")</f>
        <v>デソモルヒネの測定</v>
      </c>
    </row>
    <row r="3429" spans="1:9" ht="30">
      <c r="A3429" s="3" t="s">
        <v>6</v>
      </c>
      <c r="B3429" s="3" t="s">
        <v>14156</v>
      </c>
      <c r="C3429" s="3" t="s">
        <v>14157</v>
      </c>
      <c r="D3429" s="3" t="s">
        <v>14157</v>
      </c>
      <c r="E3429" s="3" t="s">
        <v>14158</v>
      </c>
      <c r="F3429" s="3" t="s">
        <v>14159</v>
      </c>
      <c r="G3429" s="3" t="str">
        <f ca="1">IFERROR(__xludf.DUMMYFUNCTION("googletranslate(D3429,""en"",""ja"")"),"エチルモルヒネ")</f>
        <v>エチルモルヒネ</v>
      </c>
      <c r="H3429" s="3" t="str">
        <f ca="1">IFERROR(__xludf.DUMMYFUNCTION("googletranslate(E3429,""en"",""ja"")"),"生物学的標本中のエチルモルヒネの測定。")</f>
        <v>生物学的標本中のエチルモルヒネの測定。</v>
      </c>
      <c r="I3429" s="3" t="str">
        <f ca="1">IFERROR(__xludf.DUMMYFUNCTION("googletranslate(F3429,""en"",""ja"")"),"エチルモルヒネの測定")</f>
        <v>エチルモルヒネの測定</v>
      </c>
    </row>
    <row r="3430" spans="1:9" ht="30">
      <c r="A3430" s="3" t="s">
        <v>6</v>
      </c>
      <c r="B3430" s="3" t="s">
        <v>14160</v>
      </c>
      <c r="C3430" s="3" t="s">
        <v>14161</v>
      </c>
      <c r="D3430" s="3" t="s">
        <v>14161</v>
      </c>
      <c r="E3430" s="3" t="s">
        <v>14162</v>
      </c>
      <c r="F3430" s="3" t="s">
        <v>14163</v>
      </c>
      <c r="G3430" s="3" t="str">
        <f ca="1">IFERROR(__xludf.DUMMYFUNCTION("googletranslate(D3430,""en"",""ja"")"),"モルヒネ")</f>
        <v>モルヒネ</v>
      </c>
      <c r="H3430" s="3" t="str">
        <f ca="1">IFERROR(__xludf.DUMMYFUNCTION("googletranslate(E3430,""en"",""ja"")"),"生物学的標本中に存在するモルヒネの測定。")</f>
        <v>生物学的標本中に存在するモルヒネの測定。</v>
      </c>
      <c r="I3430" s="3" t="str">
        <f ca="1">IFERROR(__xludf.DUMMYFUNCTION("googletranslate(F3430,""en"",""ja"")"),"モルヒネ測定")</f>
        <v>モルヒネ測定</v>
      </c>
    </row>
    <row r="3431" spans="1:9">
      <c r="A3431" s="3" t="s">
        <v>6</v>
      </c>
      <c r="B3431" s="3" t="s">
        <v>14164</v>
      </c>
      <c r="C3431" s="3" t="s">
        <v>14165</v>
      </c>
      <c r="D3431" s="3" t="s">
        <v>14165</v>
      </c>
      <c r="E3431" s="3" t="s">
        <v>14166</v>
      </c>
      <c r="F3431" s="3" t="s">
        <v>14167</v>
      </c>
      <c r="G3431" s="3" t="str">
        <f ca="1">IFERROR(__xludf.DUMMYFUNCTION("googletranslate(D3431,""en"",""ja"")"),"ニコモルヒネ")</f>
        <v>ニコモルヒネ</v>
      </c>
      <c r="H3431" s="3" t="str">
        <f ca="1">IFERROR(__xludf.DUMMYFUNCTION("googletranslate(E3431,""en"",""ja"")"),"生物学的標本中のニコモルヒネの測定。")</f>
        <v>生物学的標本中のニコモルヒネの測定。</v>
      </c>
      <c r="I3431" s="3" t="str">
        <f ca="1">IFERROR(__xludf.DUMMYFUNCTION("googletranslate(F3431,""en"",""ja"")"),"ニコモルヒネの測定")</f>
        <v>ニコモルヒネの測定</v>
      </c>
    </row>
    <row r="3432" spans="1:9">
      <c r="A3432" s="3" t="s">
        <v>6</v>
      </c>
      <c r="B3432" s="3" t="s">
        <v>14168</v>
      </c>
      <c r="C3432" s="3" t="s">
        <v>14169</v>
      </c>
      <c r="D3432" s="3" t="s">
        <v>14169</v>
      </c>
      <c r="E3432" s="3" t="s">
        <v>14170</v>
      </c>
      <c r="F3432" s="3" t="s">
        <v>14171</v>
      </c>
      <c r="G3432" s="3" t="str">
        <f ca="1">IFERROR(__xludf.DUMMYFUNCTION("googletranslate(D3432,""en"",""ja"")"),"ノルモルヒネ")</f>
        <v>ノルモルヒネ</v>
      </c>
      <c r="H3432" s="3" t="str">
        <f ca="1">IFERROR(__xludf.DUMMYFUNCTION("googletranslate(E3432,""en"",""ja"")"),"生物学的標本中のノルモルヒネの測定。")</f>
        <v>生物学的標本中のノルモルヒネの測定。</v>
      </c>
      <c r="I3432" s="3" t="str">
        <f ca="1">IFERROR(__xludf.DUMMYFUNCTION("googletranslate(F3432,""en"",""ja"")"),"ノルモルヒネの測定")</f>
        <v>ノルモルヒネの測定</v>
      </c>
    </row>
    <row r="3433" spans="1:9" ht="30">
      <c r="A3433" s="3" t="s">
        <v>6</v>
      </c>
      <c r="B3433" s="3" t="s">
        <v>14172</v>
      </c>
      <c r="C3433" s="3" t="s">
        <v>14173</v>
      </c>
      <c r="D3433" s="3" t="s">
        <v>14173</v>
      </c>
      <c r="E3433" s="3" t="s">
        <v>14174</v>
      </c>
      <c r="F3433" s="3" t="s">
        <v>14175</v>
      </c>
      <c r="G3433" s="3" t="str">
        <f ca="1">IFERROR(__xludf.DUMMYFUNCTION("googletranslate(D3433,""en"",""ja"")"),"平均血小板成分")</f>
        <v>平均血小板成分</v>
      </c>
      <c r="H3433" s="3" t="str">
        <f ca="1">IFERROR(__xludf.DUMMYFUNCTION("googletranslate(E3433,""en"",""ja"")"),"血液検体中の平均血小板成分（血小板活性）の測定。")</f>
        <v>血液検体中の平均血小板成分（血小板活性）の測定。</v>
      </c>
      <c r="I3433" s="3" t="str">
        <f ca="1">IFERROR(__xludf.DUMMYFUNCTION("googletranslate(F3433,""en"",""ja"")"),"平均血小板成分測定")</f>
        <v>平均血小板成分測定</v>
      </c>
    </row>
    <row r="3434" spans="1:9">
      <c r="A3434" s="3" t="s">
        <v>6</v>
      </c>
      <c r="B3434" s="3" t="s">
        <v>14176</v>
      </c>
      <c r="C3434" s="3" t="s">
        <v>14177</v>
      </c>
      <c r="D3434" s="3" t="s">
        <v>14177</v>
      </c>
      <c r="E3434" s="3" t="s">
        <v>14178</v>
      </c>
      <c r="F3434" s="3" t="s">
        <v>14179</v>
      </c>
      <c r="G3434" s="3" t="str">
        <f ca="1">IFERROR(__xludf.DUMMYFUNCTION("googletranslate(D3434,""en"",""ja"")"),"メフェドロン")</f>
        <v>メフェドロン</v>
      </c>
      <c r="H3434" s="3" t="str">
        <f ca="1">IFERROR(__xludf.DUMMYFUNCTION("googletranslate(E3434,""en"",""ja"")"),"生物学的標本中のメフェドロンの測定。")</f>
        <v>生物学的標本中のメフェドロンの測定。</v>
      </c>
      <c r="I3434" s="3" t="str">
        <f ca="1">IFERROR(__xludf.DUMMYFUNCTION("googletranslate(F3434,""en"",""ja"")"),"メフェドロンの測定")</f>
        <v>メフェドロンの測定</v>
      </c>
    </row>
    <row r="3435" spans="1:9" ht="30">
      <c r="A3435" s="3" t="s">
        <v>6</v>
      </c>
      <c r="B3435" s="3" t="s">
        <v>14180</v>
      </c>
      <c r="C3435" s="3" t="s">
        <v>14181</v>
      </c>
      <c r="D3435" s="3" t="s">
        <v>14182</v>
      </c>
      <c r="E3435" s="3" t="s">
        <v>14183</v>
      </c>
      <c r="F3435" s="3" t="s">
        <v>14184</v>
      </c>
      <c r="G3435" s="3" t="str">
        <f ca="1">IFERROR(__xludf.DUMMYFUNCTION("googletranslate(D3435,""en"",""ja"")"),"メホバルビタール;メチルフェノバルビタール")</f>
        <v>メホバルビタール;メチルフェノバルビタール</v>
      </c>
      <c r="H3435" s="3" t="str">
        <f ca="1">IFERROR(__xludf.DUMMYFUNCTION("googletranslate(E3435,""en"",""ja"")"),"生物学的標本中のメチルフェノバルビタールの測定。")</f>
        <v>生物学的標本中のメチルフェノバルビタールの測定。</v>
      </c>
      <c r="I3435" s="3" t="str">
        <f ca="1">IFERROR(__xludf.DUMMYFUNCTION("googletranslate(F3435,""en"",""ja"")"),"メホバルビタールの測定")</f>
        <v>メホバルビタールの測定</v>
      </c>
    </row>
    <row r="3436" spans="1:9" ht="75">
      <c r="A3436" s="3" t="s">
        <v>81</v>
      </c>
      <c r="B3436" s="3" t="s">
        <v>14185</v>
      </c>
      <c r="C3436" s="3" t="s">
        <v>14186</v>
      </c>
      <c r="D3436" s="3" t="s">
        <v>14186</v>
      </c>
      <c r="E3436" s="3" t="s">
        <v>14187</v>
      </c>
      <c r="F3436" s="3" t="s">
        <v>14186</v>
      </c>
      <c r="G3436" s="3" t="str">
        <f ca="1">IFERROR(__xludf.DUMMYFUNCTION("googletranslate(D3436,""en"",""ja"")"),"心筋パフォーマンス指数")</f>
        <v>心筋パフォーマンス指数</v>
      </c>
      <c r="H3436" s="3" t="str">
        <f ca="1">IFERROR(__xludf.DUMMYFUNCTION("googletranslate(E3436,""en"",""ja"")"),"次の基本式を使用して収縮期心室機能と拡張期心室機能の両方を定量化する計算結果: MPI = (IVCT + IVRT)/VET、ここで、IVCT は等容性収縮時間、IVRT は等容性弛緩時間、VET は心室駆出量です。")</f>
        <v>次の基本式を使用して収縮期心室機能と拡張期心室機能の両方を定量化する計算結果: MPI = (IVCT + IVRT)/VET、ここで、IVCT は等容性収縮時間、IVRT は等容性弛緩時間、VET は心室駆出量です。</v>
      </c>
      <c r="I3436" s="3" t="str">
        <f ca="1">IFERROR(__xludf.DUMMYFUNCTION("googletranslate(F3436,""en"",""ja"")"),"心筋パフォーマンス指数")</f>
        <v>心筋パフォーマンス指数</v>
      </c>
    </row>
    <row r="3437" spans="1:9" ht="105">
      <c r="A3437" s="3" t="s">
        <v>6</v>
      </c>
      <c r="B3437" s="3" t="s">
        <v>14188</v>
      </c>
      <c r="C3437" s="3" t="s">
        <v>14189</v>
      </c>
      <c r="D3437" s="3" t="s">
        <v>14190</v>
      </c>
      <c r="E3437" s="3" t="s">
        <v>14191</v>
      </c>
      <c r="F3437" s="3" t="s">
        <v>14192</v>
      </c>
      <c r="G3437" s="3" t="str">
        <f ca="1">IFERROR(__xludf.DUMMYFUNCTION("googletranslate(D3437,""en"",""ja"")"),"免疫グロブリン免疫固定の解釈;モノクローナル Prot 免疫グロブリン アイソタイプ。モノクローナルタンパク質免疫グロブリンクラス;モノクローナルタンパク質免疫グロブリンアイソタイプ")</f>
        <v>免疫グロブリン免疫固定の解釈;モノクローナル Prot 免疫グロブリン アイソタイプ。モノクローナルタンパク質免疫グロブリンクラス;モノクローナルタンパク質免疫グロブリンアイソタイプ</v>
      </c>
      <c r="H3437" s="3" t="str">
        <f ca="1">IFERROR(__xludf.DUMMYFUNCTION("googletranslate(E3437,""en"",""ja"")"),"生物学的標本におけるモノクローナルタンパク質免疫グロブリンアイソタイプの同定。")</f>
        <v>生物学的標本におけるモノクローナルタンパク質免疫グロブリンアイソタイプの同定。</v>
      </c>
      <c r="I3437" s="3" t="str">
        <f ca="1">IFERROR(__xludf.DUMMYFUNCTION("googletranslate(F3437,""en"",""ja"")"),"モノクローナルタンパク質免疫グロブリンアイソタイプの決定")</f>
        <v>モノクローナルタンパク質免疫グロブリンアイソタイプの決定</v>
      </c>
    </row>
    <row r="3438" spans="1:9" ht="30">
      <c r="A3438" s="3" t="s">
        <v>6</v>
      </c>
      <c r="B3438" s="3" t="s">
        <v>14193</v>
      </c>
      <c r="C3438" s="3" t="s">
        <v>14194</v>
      </c>
      <c r="D3438" s="3" t="s">
        <v>14194</v>
      </c>
      <c r="E3438" s="3" t="s">
        <v>14195</v>
      </c>
      <c r="F3438" s="3" t="s">
        <v>14194</v>
      </c>
      <c r="G3438" s="3" t="str">
        <f ca="1">IFERROR(__xludf.DUMMYFUNCTION("googletranslate(D3438,""en"",""ja"")"),"平均血小板乾燥質量")</f>
        <v>平均血小板乾燥質量</v>
      </c>
      <c r="H3438" s="3" t="str">
        <f ca="1">IFERROR(__xludf.DUMMYFUNCTION("googletranslate(E3438,""en"",""ja"")"),"生物学的標本の平均血小板乾燥質量の測定。")</f>
        <v>生物学的標本の平均血小板乾燥質量の測定。</v>
      </c>
      <c r="I3438" s="3" t="str">
        <f ca="1">IFERROR(__xludf.DUMMYFUNCTION("googletranslate(F3438,""en"",""ja"")"),"平均血小板乾燥質量")</f>
        <v>平均血小板乾燥質量</v>
      </c>
    </row>
    <row r="3439" spans="1:9" ht="30">
      <c r="A3439" s="3" t="s">
        <v>67</v>
      </c>
      <c r="B3439" s="3" t="s">
        <v>14196</v>
      </c>
      <c r="C3439" s="3" t="s">
        <v>14197</v>
      </c>
      <c r="D3439" s="3" t="s">
        <v>14197</v>
      </c>
      <c r="E3439" s="3" t="s">
        <v>14198</v>
      </c>
      <c r="F3439" s="3" t="s">
        <v>14199</v>
      </c>
      <c r="G3439" s="3" t="str">
        <f ca="1">IFERROR(__xludf.DUMMYFUNCTION("googletranslate(D3439,""en"",""ja"")"),"マイコプラズマ肺炎")</f>
        <v>マイコプラズマ肺炎</v>
      </c>
      <c r="H3439" s="3" t="str">
        <f ca="1">IFERROR(__xludf.DUMMYFUNCTION("googletranslate(E3439,""en"",""ja"")"),"生物学的検体中のマイコプラズマ・ニューモニエの測定。")</f>
        <v>生物学的検体中のマイコプラズマ・ニューモニエの測定。</v>
      </c>
      <c r="I3439" s="3" t="str">
        <f ca="1">IFERROR(__xludf.DUMMYFUNCTION("googletranslate(F3439,""en"",""ja"")"),"マイコプラズマ肺炎の測定")</f>
        <v>マイコプラズマ肺炎の測定</v>
      </c>
    </row>
    <row r="3440" spans="1:9" ht="30">
      <c r="A3440" s="3" t="s">
        <v>67</v>
      </c>
      <c r="B3440" s="3" t="s">
        <v>14200</v>
      </c>
      <c r="C3440" s="3" t="s">
        <v>14201</v>
      </c>
      <c r="D3440" s="3" t="s">
        <v>14201</v>
      </c>
      <c r="E3440" s="3" t="s">
        <v>14202</v>
      </c>
      <c r="F3440" s="3" t="s">
        <v>14203</v>
      </c>
      <c r="G3440" s="3" t="str">
        <f ca="1">IFERROR(__xludf.DUMMYFUNCTION("googletranslate(D3440,""en"",""ja"")"),"マイコプラズマ肺炎のDNA")</f>
        <v>マイコプラズマ肺炎のDNA</v>
      </c>
      <c r="H3440" s="3" t="str">
        <f ca="1">IFERROR(__xludf.DUMMYFUNCTION("googletranslate(E3440,""en"",""ja"")"),"生物学的検体中のマイコプラズマ ニューモニエ DNA の測定。")</f>
        <v>生物学的検体中のマイコプラズマ ニューモニエ DNA の測定。</v>
      </c>
      <c r="I3440" s="3" t="str">
        <f ca="1">IFERROR(__xludf.DUMMYFUNCTION("googletranslate(F3440,""en"",""ja"")"),"マイコプラズマ・ニューモニエDNA測定")</f>
        <v>マイコプラズマ・ニューモニエDNA測定</v>
      </c>
    </row>
    <row r="3441" spans="1:9" ht="30">
      <c r="A3441" s="3" t="s">
        <v>67</v>
      </c>
      <c r="B3441" s="3" t="s">
        <v>14204</v>
      </c>
      <c r="C3441" s="3" t="s">
        <v>14205</v>
      </c>
      <c r="D3441" s="3" t="s">
        <v>14205</v>
      </c>
      <c r="E3441" s="3" t="s">
        <v>14206</v>
      </c>
      <c r="F3441" s="3" t="s">
        <v>14207</v>
      </c>
      <c r="G3441" s="3" t="str">
        <f ca="1">IFERROR(__xludf.DUMMYFUNCTION("googletranslate(D3441,""en"",""ja"")"),"マイコプラズマ ニューモニエ 核酸")</f>
        <v>マイコプラズマ ニューモニエ 核酸</v>
      </c>
      <c r="H3441" s="3" t="str">
        <f ca="1">IFERROR(__xludf.DUMMYFUNCTION("googletranslate(E3441,""en"",""ja"")"),"生物学的検体中のマイコプラズマ ニューモニエの核酸の測定。")</f>
        <v>生物学的検体中のマイコプラズマ ニューモニエの核酸の測定。</v>
      </c>
      <c r="I3441" s="3" t="str">
        <f ca="1">IFERROR(__xludf.DUMMYFUNCTION("googletranslate(F3441,""en"",""ja"")"),"マイコプラズマ・ニューモニエの核酸測定")</f>
        <v>マイコプラズマ・ニューモニエの核酸測定</v>
      </c>
    </row>
    <row r="3442" spans="1:9" ht="30">
      <c r="A3442" s="3" t="s">
        <v>6</v>
      </c>
      <c r="B3442" s="3" t="s">
        <v>14208</v>
      </c>
      <c r="C3442" s="3" t="s">
        <v>14209</v>
      </c>
      <c r="D3442" s="3" t="s">
        <v>14209</v>
      </c>
      <c r="E3442" s="3" t="s">
        <v>14210</v>
      </c>
      <c r="F3442" s="3" t="s">
        <v>14211</v>
      </c>
      <c r="G3442" s="3" t="str">
        <f ca="1">IFERROR(__xludf.DUMMYFUNCTION("googletranslate(D3442,""en"",""ja"")"),"ミエロペルオキシダーゼ")</f>
        <v>ミエロペルオキシダーゼ</v>
      </c>
      <c r="H3442" s="3" t="str">
        <f ca="1">IFERROR(__xludf.DUMMYFUNCTION("googletranslate(E3442,""en"",""ja"")"),"生物学的標本中のミエロペルオキシダーゼの測定。")</f>
        <v>生物学的標本中のミエロペルオキシダーゼの測定。</v>
      </c>
      <c r="I3442" s="3" t="str">
        <f ca="1">IFERROR(__xludf.DUMMYFUNCTION("googletranslate(F3442,""en"",""ja"")"),"ミエロペルオキシダーゼの測定")</f>
        <v>ミエロペルオキシダーゼの測定</v>
      </c>
    </row>
    <row r="3443" spans="1:9">
      <c r="A3443" s="3" t="s">
        <v>6</v>
      </c>
      <c r="B3443" s="3" t="s">
        <v>14212</v>
      </c>
      <c r="C3443" s="3" t="s">
        <v>14213</v>
      </c>
      <c r="D3443" s="3" t="s">
        <v>14213</v>
      </c>
      <c r="E3443" s="3" t="s">
        <v>14214</v>
      </c>
      <c r="F3443" s="3" t="s">
        <v>14215</v>
      </c>
      <c r="G3443" s="3" t="str">
        <f ca="1">IFERROR(__xludf.DUMMYFUNCTION("googletranslate(D3443,""en"",""ja"")"),"メプロバメイト")</f>
        <v>メプロバメイト</v>
      </c>
      <c r="H3443" s="3" t="str">
        <f ca="1">IFERROR(__xludf.DUMMYFUNCTION("googletranslate(E3443,""en"",""ja"")"),"生物学的標本中のメプロバメートの測定。")</f>
        <v>生物学的標本中のメプロバメートの測定。</v>
      </c>
      <c r="I3443" s="3" t="str">
        <f ca="1">IFERROR(__xludf.DUMMYFUNCTION("googletranslate(F3443,""en"",""ja"")"),"メプロバメートの測定")</f>
        <v>メプロバメートの測定</v>
      </c>
    </row>
    <row r="3444" spans="1:9" ht="90">
      <c r="A3444" s="3" t="s">
        <v>6</v>
      </c>
      <c r="B3444" s="3" t="s">
        <v>14216</v>
      </c>
      <c r="C3444" s="3" t="s">
        <v>14217</v>
      </c>
      <c r="D3444" s="3" t="s">
        <v>14218</v>
      </c>
      <c r="E3444" s="3" t="s">
        <v>14219</v>
      </c>
      <c r="F3444" s="3" t="s">
        <v>14217</v>
      </c>
      <c r="G3444" s="3" t="str">
        <f ca="1">IFERROR(__xludf.DUMMYFUNCTION("googletranslate(D3444,""en"",""ja"")"),"M タンパク質排泄率; M-スパイクタンパク質の排泄率;モノクローナルタンパク質の排泄率;モノクローナルタンパク質スパイク排泄率;骨髄腫タンパク質の排泄率")</f>
        <v>M タンパク質排泄率; M-スパイクタンパク質の排泄率;モノクローナルタンパク質の排泄率;モノクローナルタンパク質スパイク排泄率;骨髄腫タンパク質の排泄率</v>
      </c>
      <c r="H3444" s="3" t="str">
        <f ca="1">IFERROR(__xludf.DUMMYFUNCTION("googletranslate(E3444,""en"",""ja"")"),"規定の時間 (例: 1 時間) にわたって生物学的検体中に排泄されるモノクローナルタンパク質の量の測定。")</f>
        <v>規定の時間 (例: 1 時間) にわたって生物学的検体中に排泄されるモノクローナルタンパク質の量の測定。</v>
      </c>
      <c r="I3444" s="3" t="str">
        <f ca="1">IFERROR(__xludf.DUMMYFUNCTION("googletranslate(F3444,""en"",""ja"")"),"モノクローナルタンパク質の排泄率")</f>
        <v>モノクローナルタンパク質の排泄率</v>
      </c>
    </row>
    <row r="3445" spans="1:9" ht="60">
      <c r="A3445" s="3" t="s">
        <v>6</v>
      </c>
      <c r="B3445" s="3" t="s">
        <v>14220</v>
      </c>
      <c r="C3445" s="3" t="s">
        <v>14221</v>
      </c>
      <c r="D3445" s="3" t="s">
        <v>14222</v>
      </c>
      <c r="E3445" s="3" t="s">
        <v>14223</v>
      </c>
      <c r="F3445" s="3" t="s">
        <v>14224</v>
      </c>
      <c r="G3445" s="3" t="str">
        <f ca="1">IFERROR(__xludf.DUMMYFUNCTION("googletranslate(D3445,""en"",""ja"")"),"モノクローナルタンパク質バンド領域;モノクローナルタンパク質領域;モノクローナルタンパク質スパイク領域")</f>
        <v>モノクローナルタンパク質バンド領域;モノクローナルタンパク質領域;モノクローナルタンパク質スパイク領域</v>
      </c>
      <c r="H3445" s="3" t="str">
        <f ca="1">IFERROR(__xludf.DUMMYFUNCTION("googletranslate(E3445,""en"",""ja"")"),"モノクローナルタンパク質が観察されるタンパク質ゾーン (例、アルファ-1 グロブリン、ベータ グロブリンなど) の識別。")</f>
        <v>モノクローナルタンパク質が観察されるタンパク質ゾーン (例、アルファ-1 グロブリン、ベータ グロブリンなど) の識別。</v>
      </c>
      <c r="I3445" s="3" t="str">
        <f ca="1">IFERROR(__xludf.DUMMYFUNCTION("googletranslate(F3445,""en"",""ja"")"),"モノクローナルタンパク質スパイク領域の同定")</f>
        <v>モノクローナルタンパク質スパイク領域の同定</v>
      </c>
    </row>
    <row r="3446" spans="1:9">
      <c r="A3446" s="3" t="s">
        <v>6</v>
      </c>
      <c r="B3446" s="3" t="s">
        <v>14225</v>
      </c>
      <c r="C3446" s="3" t="s">
        <v>14226</v>
      </c>
      <c r="D3446" s="3" t="s">
        <v>14226</v>
      </c>
      <c r="E3446" s="3" t="s">
        <v>14227</v>
      </c>
      <c r="F3446" s="3" t="s">
        <v>14228</v>
      </c>
      <c r="G3446" s="3" t="str">
        <f ca="1">IFERROR(__xludf.DUMMYFUNCTION("googletranslate(D3446,""en"",""ja"")"),"メチプリロン")</f>
        <v>メチプリロン</v>
      </c>
      <c r="H3446" s="3" t="str">
        <f ca="1">IFERROR(__xludf.DUMMYFUNCTION("googletranslate(E3446,""en"",""ja"")"),"生物学的標本中のメチルプリロンの測定。")</f>
        <v>生物学的標本中のメチルプリロンの測定。</v>
      </c>
      <c r="I3446" s="3" t="str">
        <f ca="1">IFERROR(__xludf.DUMMYFUNCTION("googletranslate(F3446,""en"",""ja"")"),"メチプリロンの測定")</f>
        <v>メチプリロンの測定</v>
      </c>
    </row>
    <row r="3447" spans="1:9" ht="30">
      <c r="A3447" s="3" t="s">
        <v>6</v>
      </c>
      <c r="B3447" s="3" t="s">
        <v>14229</v>
      </c>
      <c r="C3447" s="3" t="s">
        <v>14230</v>
      </c>
      <c r="D3447" s="3" t="s">
        <v>14230</v>
      </c>
      <c r="E3447" s="3" t="s">
        <v>14231</v>
      </c>
      <c r="F3447" s="3" t="s">
        <v>14232</v>
      </c>
      <c r="G3447" s="3" t="str">
        <f ca="1">IFERROR(__xludf.DUMMYFUNCTION("googletranslate(D3447,""en"",""ja"")"),"平均血小板量")</f>
        <v>平均血小板量</v>
      </c>
      <c r="H3447" s="3" t="str">
        <f ca="1">IFERROR(__xludf.DUMMYFUNCTION("googletranslate(E3447,""en"",""ja"")"),"血液サンプル中に存在する血小板の平均サイズの測定値。")</f>
        <v>血液サンプル中に存在する血小板の平均サイズの測定値。</v>
      </c>
      <c r="I3447" s="3" t="str">
        <f ca="1">IFERROR(__xludf.DUMMYFUNCTION("googletranslate(F3447,""en"",""ja"")"),"平均血小板量の測定")</f>
        <v>平均血小板量の測定</v>
      </c>
    </row>
    <row r="3448" spans="1:9" ht="30">
      <c r="A3448" s="3" t="s">
        <v>6</v>
      </c>
      <c r="B3448" s="3" t="s">
        <v>14233</v>
      </c>
      <c r="C3448" s="3" t="s">
        <v>14234</v>
      </c>
      <c r="D3448" s="3" t="s">
        <v>14234</v>
      </c>
      <c r="E3448" s="3" t="s">
        <v>14235</v>
      </c>
      <c r="F3448" s="3" t="s">
        <v>14236</v>
      </c>
      <c r="G3448" s="3" t="str">
        <f ca="1">IFERROR(__xludf.DUMMYFUNCTION("googletranslate(D3448,""en"",""ja"")"),"ミエロペルオキシダーゼ指数")</f>
        <v>ミエロペルオキシダーゼ指数</v>
      </c>
      <c r="H3448" s="3" t="str">
        <f ca="1">IFERROR(__xludf.DUMMYFUNCTION("googletranslate(E3448,""en"",""ja"")"),"原型に対する好中球集団の平均ペルオキシダーゼ活性指数または染色強度。")</f>
        <v>原型に対する好中球集団の平均ペルオキシダーゼ活性指数または染色強度。</v>
      </c>
      <c r="I3448" s="3" t="str">
        <f ca="1">IFERROR(__xludf.DUMMYFUNCTION("googletranslate(F3448,""en"",""ja"")"),"好中球ミエロペルオキシダーゼ指数")</f>
        <v>好中球ミエロペルオキシダーゼ指数</v>
      </c>
    </row>
    <row r="3449" spans="1:9" ht="30">
      <c r="A3449" s="3" t="s">
        <v>67</v>
      </c>
      <c r="B3449" s="3" t="s">
        <v>14237</v>
      </c>
      <c r="C3449" s="3" t="s">
        <v>14238</v>
      </c>
      <c r="D3449" s="3" t="s">
        <v>14239</v>
      </c>
      <c r="E3449" s="3" t="s">
        <v>14240</v>
      </c>
      <c r="F3449" s="3" t="s">
        <v>14241</v>
      </c>
      <c r="G3449" s="3" t="str">
        <f ca="1">IFERROR(__xludf.DUMMYFUNCTION("googletranslate(D3449,""en"",""ja"")"),"サル痘ウイルス;サル痘ウイルス")</f>
        <v>サル痘ウイルス;サル痘ウイルス</v>
      </c>
      <c r="H3449" s="3" t="str">
        <f ca="1">IFERROR(__xludf.DUMMYFUNCTION("googletranslate(E3449,""en"",""ja"")"),"生物学的標本中のサル痘ウイルスの測定。")</f>
        <v>生物学的標本中のサル痘ウイルスの測定。</v>
      </c>
      <c r="I3449" s="3" t="str">
        <f ca="1">IFERROR(__xludf.DUMMYFUNCTION("googletranslate(F3449,""en"",""ja"")"),"猿痘ウイルス測定")</f>
        <v>猿痘ウイルス測定</v>
      </c>
    </row>
    <row r="3450" spans="1:9" ht="30">
      <c r="A3450" s="3" t="s">
        <v>67</v>
      </c>
      <c r="B3450" s="3" t="s">
        <v>14242</v>
      </c>
      <c r="C3450" s="3" t="s">
        <v>14243</v>
      </c>
      <c r="D3450" s="3" t="s">
        <v>14243</v>
      </c>
      <c r="E3450" s="3" t="s">
        <v>14244</v>
      </c>
      <c r="F3450" s="3" t="s">
        <v>14245</v>
      </c>
      <c r="G3450" s="3" t="str">
        <f ca="1">IFERROR(__xludf.DUMMYFUNCTION("googletranslate(D3450,""en"",""ja"")"),"猿痘ウイルスの DNA")</f>
        <v>猿痘ウイルスの DNA</v>
      </c>
      <c r="H3450" s="3" t="str">
        <f ca="1">IFERROR(__xludf.DUMMYFUNCTION("googletranslate(E3450,""en"",""ja"")"),"生物学的標本中のサル痘ウイルス DNA の測定。")</f>
        <v>生物学的標本中のサル痘ウイルス DNA の測定。</v>
      </c>
      <c r="I3450" s="3" t="str">
        <f ca="1">IFERROR(__xludf.DUMMYFUNCTION("googletranslate(F3450,""en"",""ja"")"),"サル痘ウイルスDNA測定")</f>
        <v>サル痘ウイルスDNA測定</v>
      </c>
    </row>
    <row r="3451" spans="1:9" ht="45">
      <c r="A3451" s="3" t="s">
        <v>1557</v>
      </c>
      <c r="B3451" s="3" t="s">
        <v>14246</v>
      </c>
      <c r="C3451" s="3" t="s">
        <v>14247</v>
      </c>
      <c r="D3451" s="3" t="s">
        <v>14248</v>
      </c>
      <c r="E3451" s="3" t="s">
        <v>14249</v>
      </c>
      <c r="F3451" s="3" t="s">
        <v>14247</v>
      </c>
      <c r="G3451" s="3" t="str">
        <f ca="1">IFERROR(__xludf.DUMMYFUNCTION("googletranslate(D3451,""en"",""ja"")"),"マージン反射距離 1;反射距離までのマージン 1;限界反射距離 1")</f>
        <v>マージン反射距離 1;反射距離までのマージン 1;限界反射距離 1</v>
      </c>
      <c r="H3451" s="3" t="str">
        <f ca="1">IFERROR(__xludf.DUMMYFUNCTION("googletranslate(E3451,""en"",""ja"")"),"患者の視線を主位置（つまり、真っ直ぐ前方）に置いたときの、角膜光反射から中央上まぶたの縁までの距離の測定値。")</f>
        <v>患者の視線を主位置（つまり、真っ直ぐ前方）に置いたときの、角膜光反射から中央上まぶたの縁までの距離の測定値。</v>
      </c>
      <c r="I3451" s="3" t="str">
        <f ca="1">IFERROR(__xludf.DUMMYFUNCTION("googletranslate(F3451,""en"",""ja"")"),"マージン反射距離 1")</f>
        <v>マージン反射距離 1</v>
      </c>
    </row>
    <row r="3452" spans="1:9" ht="45">
      <c r="A3452" s="3" t="s">
        <v>1557</v>
      </c>
      <c r="B3452" s="3" t="s">
        <v>14250</v>
      </c>
      <c r="C3452" s="3" t="s">
        <v>14251</v>
      </c>
      <c r="D3452" s="3" t="s">
        <v>14252</v>
      </c>
      <c r="E3452" s="3" t="s">
        <v>14253</v>
      </c>
      <c r="F3452" s="3" t="s">
        <v>14251</v>
      </c>
      <c r="G3452" s="3" t="str">
        <f ca="1">IFERROR(__xludf.DUMMYFUNCTION("googletranslate(D3452,""en"",""ja"")"),"マージン反射距離 2;反射距離までのマージン 2;限界反射距離 2")</f>
        <v>マージン反射距離 2;反射距離までのマージン 2;限界反射距離 2</v>
      </c>
      <c r="H3452" s="3" t="str">
        <f ca="1">IFERROR(__xludf.DUMMYFUNCTION("googletranslate(E3452,""en"",""ja"")"),"患者の視線を主位置 (つまり、真っ直ぐ前方) に置いたときの、角膜光反射から下まぶたの縁中央までの距離の測定値。")</f>
        <v>患者の視線を主位置 (つまり、真っ直ぐ前方) に置いたときの、角膜光反射から下まぶたの縁中央までの距離の測定値。</v>
      </c>
      <c r="I3452" s="3" t="str">
        <f ca="1">IFERROR(__xludf.DUMMYFUNCTION("googletranslate(F3452,""en"",""ja"")"),"マージン反射距離 2")</f>
        <v>マージン反射距離 2</v>
      </c>
    </row>
    <row r="3453" spans="1:9" ht="45">
      <c r="A3453" s="3" t="s">
        <v>81</v>
      </c>
      <c r="B3453" s="3" t="s">
        <v>14254</v>
      </c>
      <c r="C3453" s="3" t="s">
        <v>14255</v>
      </c>
      <c r="D3453" s="3" t="s">
        <v>14256</v>
      </c>
      <c r="E3453" s="3" t="s">
        <v>14257</v>
      </c>
      <c r="F3453" s="3" t="s">
        <v>14258</v>
      </c>
      <c r="G3453" s="3" t="str">
        <f ca="1">IFERROR(__xludf.DUMMYFUNCTION("googletranslate(D3453,""en"",""ja"")"),"僧帽弁逆流ジェット領域 L 心房領域 Rt;僧帽弁逆流ジェット面積と左心房面積の比")</f>
        <v>僧帽弁逆流ジェット領域 L 心房領域 Rt;僧帽弁逆流ジェット面積と左心房面積の比</v>
      </c>
      <c r="H3453" s="3" t="str">
        <f ca="1">IFERROR(__xludf.DUMMYFUNCTION("googletranslate(E3453,""en"",""ja"")"),"左心房領域に対する僧帽弁逆流ジェット領域の相対測定値（比）。")</f>
        <v>左心房領域に対する僧帽弁逆流ジェット領域の相対測定値（比）。</v>
      </c>
      <c r="I3453" s="3" t="str">
        <f ca="1">IFERROR(__xludf.DUMMYFUNCTION("googletranslate(F3453,""en"",""ja"")"),"僧帽弁逆流ジェット面積と左心房面積の比")</f>
        <v>僧帽弁逆流ジェット面積と左心房面積の比</v>
      </c>
    </row>
    <row r="3454" spans="1:9" ht="60">
      <c r="A3454" s="3" t="s">
        <v>2904</v>
      </c>
      <c r="B3454" s="3" t="s">
        <v>14259</v>
      </c>
      <c r="C3454" s="3" t="s">
        <v>14260</v>
      </c>
      <c r="D3454" s="3" t="s">
        <v>14260</v>
      </c>
      <c r="E3454" s="3" t="s">
        <v>14261</v>
      </c>
      <c r="F3454" s="3" t="s">
        <v>14260</v>
      </c>
      <c r="G3454" s="3" t="str">
        <f ca="1">IFERROR(__xludf.DUMMYFUNCTION("googletranslate(D3454,""en"",""ja"")"),"MRI コイルの種類")</f>
        <v>MRI コイルの種類</v>
      </c>
      <c r="H3454" s="3" t="str">
        <f ca="1">IFERROR(__xludf.DUMMYFUNCTION("googletranslate(E3454,""en"",""ja"")"),"磁気共鳴画像法で使用されるコイルの分類。通常、頭、体、胸など、コイルが配置される解剖学的位置を指します。")</f>
        <v>磁気共鳴画像法で使用されるコイルの分類。通常、頭、体、胸など、コイルが配置される解剖学的位置を指します。</v>
      </c>
      <c r="I3454" s="3" t="str">
        <f ca="1">IFERROR(__xludf.DUMMYFUNCTION("googletranslate(F3454,""en"",""ja"")"),"MRI コイルの種類")</f>
        <v>MRI コイルの種類</v>
      </c>
    </row>
    <row r="3455" spans="1:9" ht="45">
      <c r="A3455" s="3" t="s">
        <v>67</v>
      </c>
      <c r="B3455" s="3" t="s">
        <v>14262</v>
      </c>
      <c r="C3455" s="3" t="s">
        <v>14263</v>
      </c>
      <c r="D3455" s="3" t="s">
        <v>14264</v>
      </c>
      <c r="E3455" s="3" t="s">
        <v>14265</v>
      </c>
      <c r="F3455" s="3" t="s">
        <v>14266</v>
      </c>
      <c r="G3455" s="3" t="str">
        <f ca="1">IFERROR(__xludf.DUMMYFUNCTION("googletranslate(D3455,""en"",""ja"")"),"黄色ブドウ球菌、メチシリン耐性。黄色ブドウ球菌、メチシリン耐性")</f>
        <v>黄色ブドウ球菌、メチシリン耐性。黄色ブドウ球菌、メチシリン耐性</v>
      </c>
      <c r="H3455" s="3" t="str">
        <f ca="1">IFERROR(__xludf.DUMMYFUNCTION("googletranslate(E3455,""en"",""ja"")"),"生体標本中の黄色ブドウ球菌のメチシリン耐性株の測定。")</f>
        <v>生体標本中の黄色ブドウ球菌のメチシリン耐性株の測定。</v>
      </c>
      <c r="I3455" s="3" t="str">
        <f ca="1">IFERROR(__xludf.DUMMYFUNCTION("googletranslate(F3455,""en"",""ja"")"),"メチシリン耐性黄色ブドウ球菌の測定")</f>
        <v>メチシリン耐性黄色ブドウ球菌の測定</v>
      </c>
    </row>
    <row r="3456" spans="1:9" ht="30">
      <c r="A3456" s="3" t="s">
        <v>142</v>
      </c>
      <c r="B3456" s="3" t="s">
        <v>14267</v>
      </c>
      <c r="C3456" s="3" t="s">
        <v>14268</v>
      </c>
      <c r="D3456" s="3" t="s">
        <v>14268</v>
      </c>
      <c r="E3456" s="3" t="s">
        <v>14269</v>
      </c>
      <c r="F3456" s="3" t="s">
        <v>14270</v>
      </c>
      <c r="G3456" s="3" t="str">
        <f ca="1">IFERROR(__xludf.DUMMYFUNCTION("googletranslate(D3456,""en"",""ja"")"),"最近の性交の日付")</f>
        <v>最近の性交の日付</v>
      </c>
      <c r="H3456" s="3" t="str">
        <f ca="1">IFERROR(__xludf.DUMMYFUNCTION("googletranslate(E3456,""en"",""ja"")"),"最後に性交が行われた日付。")</f>
        <v>最後に性交が行われた日付。</v>
      </c>
      <c r="I3456" s="3" t="str">
        <f ca="1">IFERROR(__xludf.DUMMYFUNCTION("googletranslate(F3456,""en"",""ja"")"),"最後に性交した日")</f>
        <v>最後に性交した日</v>
      </c>
    </row>
    <row r="3457" spans="1:9" ht="30">
      <c r="A3457" s="3" t="s">
        <v>142</v>
      </c>
      <c r="B3457" s="3" t="s">
        <v>14271</v>
      </c>
      <c r="C3457" s="3" t="s">
        <v>14272</v>
      </c>
      <c r="D3457" s="3" t="s">
        <v>14273</v>
      </c>
      <c r="E3457" s="3" t="s">
        <v>14274</v>
      </c>
      <c r="F3457" s="3" t="s">
        <v>14272</v>
      </c>
      <c r="G3457" s="3" t="str">
        <f ca="1">IFERROR(__xludf.DUMMYFUNCTION("googletranslate(D3457,""en"",""ja"")"),"流産インジケーター;自然流産インジケーター")</f>
        <v>流産インジケーター;自然流産インジケーター</v>
      </c>
      <c r="H3457" s="3" t="str">
        <f ca="1">IFERROR(__xludf.DUMMYFUNCTION("googletranslate(E3457,""en"",""ja"")"),"妊娠が流産につながったかどうかの指標。")</f>
        <v>妊娠が流産につながったかどうかの指標。</v>
      </c>
      <c r="I3457" s="3" t="str">
        <f ca="1">IFERROR(__xludf.DUMMYFUNCTION("googletranslate(F3457,""en"",""ja"")"),"流産インジケーター")</f>
        <v>流産インジケーター</v>
      </c>
    </row>
    <row r="3458" spans="1:9" ht="30">
      <c r="A3458" s="3" t="s">
        <v>6</v>
      </c>
      <c r="B3458" s="3" t="s">
        <v>14275</v>
      </c>
      <c r="C3458" s="3" t="s">
        <v>14276</v>
      </c>
      <c r="D3458" s="3" t="s">
        <v>14277</v>
      </c>
      <c r="E3458" s="3" t="s">
        <v>14278</v>
      </c>
      <c r="F3458" s="3" t="s">
        <v>14279</v>
      </c>
      <c r="G3458" s="3" t="str">
        <f ca="1">IFERROR(__xludf.DUMMYFUNCTION("googletranslate(D3458,""en"",""ja"")"),"アルファメラノサイト刺激ホルモン;アルファ-MSH")</f>
        <v>アルファメラノサイト刺激ホルモン;アルファ-MSH</v>
      </c>
      <c r="H3458" s="3" t="str">
        <f ca="1">IFERROR(__xludf.DUMMYFUNCTION("googletranslate(E3458,""en"",""ja"")"),"生物学的標本中のアルファメラノサイト刺激ホルモンの測定。")</f>
        <v>生物学的標本中のアルファメラノサイト刺激ホルモンの測定。</v>
      </c>
      <c r="I3458" s="3" t="str">
        <f ca="1">IFERROR(__xludf.DUMMYFUNCTION("googletranslate(F3458,""en"",""ja"")"),"αメラノサイト刺激ホルモン測定")</f>
        <v>αメラノサイト刺激ホルモン測定</v>
      </c>
    </row>
    <row r="3459" spans="1:9" ht="30">
      <c r="A3459" s="3" t="s">
        <v>67</v>
      </c>
      <c r="B3459" s="3" t="s">
        <v>14280</v>
      </c>
      <c r="C3459" s="3" t="s">
        <v>14281</v>
      </c>
      <c r="D3459" s="3" t="s">
        <v>14281</v>
      </c>
      <c r="E3459" s="3" t="s">
        <v>14282</v>
      </c>
      <c r="F3459" s="3" t="s">
        <v>14283</v>
      </c>
      <c r="G3459" s="3" t="str">
        <f ca="1">IFERROR(__xludf.DUMMYFUNCTION("googletranslate(D3459,""en"",""ja"")"),"マイコバクテリウム・シミアエ")</f>
        <v>マイコバクテリウム・シミアエ</v>
      </c>
      <c r="H3459" s="3" t="str">
        <f ca="1">IFERROR(__xludf.DUMMYFUNCTION("googletranslate(E3459,""en"",""ja"")"),"生物学的標本中のマイコバクテリウム・シミアエの測定。")</f>
        <v>生物学的標本中のマイコバクテリウム・シミアエの測定。</v>
      </c>
      <c r="I3459" s="3" t="str">
        <f ca="1">IFERROR(__xludf.DUMMYFUNCTION("googletranslate(F3459,""en"",""ja"")"),"シミアエ菌の測定")</f>
        <v>シミアエ菌の測定</v>
      </c>
    </row>
    <row r="3460" spans="1:9" ht="45">
      <c r="A3460" s="3" t="s">
        <v>67</v>
      </c>
      <c r="B3460" s="3" t="s">
        <v>14284</v>
      </c>
      <c r="C3460" s="3" t="s">
        <v>14285</v>
      </c>
      <c r="D3460" s="3" t="s">
        <v>14286</v>
      </c>
      <c r="E3460" s="3" t="s">
        <v>14287</v>
      </c>
      <c r="F3460" s="3" t="s">
        <v>14288</v>
      </c>
      <c r="G3460" s="3" t="str">
        <f ca="1">IFERROR(__xludf.DUMMYFUNCTION("googletranslate(D3460,""en"",""ja"")"),"黄色ブドウ球菌、メチシリン感受性。黄色ブドウ球菌、メチシリン感受性")</f>
        <v>黄色ブドウ球菌、メチシリン感受性。黄色ブドウ球菌、メチシリン感受性</v>
      </c>
      <c r="H3460" s="3" t="str">
        <f ca="1">IFERROR(__xludf.DUMMYFUNCTION("googletranslate(E3460,""en"",""ja"")"),"生体標本中の黄色ブドウ球菌のメチシリン感受性株の測定。")</f>
        <v>生体標本中の黄色ブドウ球菌のメチシリン感受性株の測定。</v>
      </c>
      <c r="I3460" s="3" t="str">
        <f ca="1">IFERROR(__xludf.DUMMYFUNCTION("googletranslate(F3460,""en"",""ja"")"),"メチシリン感受性黄色ブドウ球菌の測定")</f>
        <v>メチシリン感受性黄色ブドウ球菌の測定</v>
      </c>
    </row>
    <row r="3461" spans="1:9" ht="30">
      <c r="A3461" s="3" t="s">
        <v>6</v>
      </c>
      <c r="B3461" s="3" t="s">
        <v>14289</v>
      </c>
      <c r="C3461" s="3" t="s">
        <v>14290</v>
      </c>
      <c r="D3461" s="3" t="s">
        <v>14290</v>
      </c>
      <c r="E3461" s="3" t="s">
        <v>14291</v>
      </c>
      <c r="F3461" s="3" t="s">
        <v>14292</v>
      </c>
      <c r="G3461" s="3" t="str">
        <f ca="1">IFERROR(__xludf.DUMMYFUNCTION("googletranslate(D3461,""en"",""ja"")"),"中皮細胞")</f>
        <v>中皮細胞</v>
      </c>
      <c r="H3461" s="3" t="str">
        <f ca="1">IFERROR(__xludf.DUMMYFUNCTION("googletranslate(E3461,""en"",""ja"")"),"生物学的標本の中皮細胞の測定。")</f>
        <v>生物学的標本の中皮細胞の測定。</v>
      </c>
      <c r="I3461" s="3" t="str">
        <f ca="1">IFERROR(__xludf.DUMMYFUNCTION("googletranslate(F3461,""en"",""ja"")"),"中皮細胞数")</f>
        <v>中皮細胞数</v>
      </c>
    </row>
    <row r="3462" spans="1:9" ht="30">
      <c r="A3462" s="3" t="s">
        <v>6</v>
      </c>
      <c r="B3462" s="3" t="s">
        <v>14293</v>
      </c>
      <c r="C3462" s="3" t="s">
        <v>14294</v>
      </c>
      <c r="D3462" s="3" t="s">
        <v>14294</v>
      </c>
      <c r="E3462" s="3" t="s">
        <v>14295</v>
      </c>
      <c r="F3462" s="3" t="s">
        <v>14296</v>
      </c>
      <c r="G3462" s="3" t="str">
        <f ca="1">IFERROR(__xludf.DUMMYFUNCTION("googletranslate(D3462,""en"",""ja"")"),"中皮細胞/白血球")</f>
        <v>中皮細胞/白血球</v>
      </c>
      <c r="H3462" s="3" t="str">
        <f ca="1">IFERROR(__xludf.DUMMYFUNCTION("googletranslate(E3462,""en"",""ja"")"),"生物学的標本中の全白血球に対する中皮細胞の相対測定値 (比率またはパーセンテージ)。")</f>
        <v>生物学的標本中の全白血球に対する中皮細胞の相対測定値 (比率またはパーセンテージ)。</v>
      </c>
      <c r="I3462" s="3" t="str">
        <f ca="1">IFERROR(__xludf.DUMMYFUNCTION("googletranslate(F3462,""en"",""ja"")"),"中皮細胞と白血球の比率の測定")</f>
        <v>中皮細胞と白血球の比率の測定</v>
      </c>
    </row>
    <row r="3463" spans="1:9">
      <c r="A3463" s="3" t="s">
        <v>6</v>
      </c>
      <c r="B3463" s="3" t="s">
        <v>14297</v>
      </c>
      <c r="C3463" s="3" t="s">
        <v>14298</v>
      </c>
      <c r="D3463" s="3" t="s">
        <v>14299</v>
      </c>
      <c r="E3463" s="3" t="s">
        <v>14300</v>
      </c>
      <c r="F3463" s="3" t="s">
        <v>14301</v>
      </c>
      <c r="G3463" s="3" t="str">
        <f ca="1">IFERROR(__xludf.DUMMYFUNCTION("googletranslate(D3463,""en"",""ja"")"),"メステレロン;メステロローネ")</f>
        <v>メステレロン;メステロローネ</v>
      </c>
      <c r="H3463" s="3" t="str">
        <f ca="1">IFERROR(__xludf.DUMMYFUNCTION("googletranslate(E3463,""en"",""ja"")"),"生物学的標本中のメステロロンの測定。")</f>
        <v>生物学的標本中のメステロロンの測定。</v>
      </c>
      <c r="I3463" s="3" t="str">
        <f ca="1">IFERROR(__xludf.DUMMYFUNCTION("googletranslate(F3463,""en"",""ja"")"),"メステロロンの測定")</f>
        <v>メステロロンの測定</v>
      </c>
    </row>
    <row r="3464" spans="1:9" ht="30">
      <c r="A3464" s="3" t="s">
        <v>67</v>
      </c>
      <c r="B3464" s="3" t="s">
        <v>14302</v>
      </c>
      <c r="C3464" s="3" t="s">
        <v>14303</v>
      </c>
      <c r="D3464" s="3" t="s">
        <v>14303</v>
      </c>
      <c r="E3464" s="3" t="s">
        <v>14304</v>
      </c>
      <c r="F3464" s="3" t="s">
        <v>14305</v>
      </c>
      <c r="G3464" s="3" t="str">
        <f ca="1">IFERROR(__xludf.DUMMYFUNCTION("googletranslate(D3464,""en"",""ja"")"),"結核菌")</f>
        <v>結核菌</v>
      </c>
      <c r="H3464" s="3" t="str">
        <f ca="1">IFERROR(__xludf.DUMMYFUNCTION("googletranslate(E3464,""en"",""ja"")"),"生物学的標本中の結核菌種に割り当てられる微生物の測定値。")</f>
        <v>生物学的標本中の結核菌種に割り当てられる微生物の測定値。</v>
      </c>
      <c r="I3464" s="3" t="str">
        <f ca="1">IFERROR(__xludf.DUMMYFUNCTION("googletranslate(F3464,""en"",""ja"")"),"結核菌の測定")</f>
        <v>結核菌の測定</v>
      </c>
    </row>
    <row r="3465" spans="1:9" ht="30">
      <c r="A3465" s="3" t="s">
        <v>67</v>
      </c>
      <c r="B3465" s="3" t="s">
        <v>14306</v>
      </c>
      <c r="C3465" s="3" t="s">
        <v>14307</v>
      </c>
      <c r="D3465" s="3" t="s">
        <v>14307</v>
      </c>
      <c r="E3465" s="3" t="s">
        <v>14308</v>
      </c>
      <c r="F3465" s="3" t="s">
        <v>14309</v>
      </c>
      <c r="G3465" s="3" t="str">
        <f ca="1">IFERROR(__xludf.DUMMYFUNCTION("googletranslate(D3465,""en"",""ja"")"),"結核菌群")</f>
        <v>結核菌群</v>
      </c>
      <c r="H3465" s="3" t="str">
        <f ca="1">IFERROR(__xludf.DUMMYFUNCTION("googletranslate(E3465,""en"",""ja"")"),"生物学的標本中の結核菌群に帰属する微生物の測定。")</f>
        <v>生物学的標本中の結核菌群に帰属する微生物の測定。</v>
      </c>
      <c r="I3465" s="3" t="str">
        <f ca="1">IFERROR(__xludf.DUMMYFUNCTION("googletranslate(F3465,""en"",""ja"")"),"結核菌群の測定")</f>
        <v>結核菌群の測定</v>
      </c>
    </row>
    <row r="3466" spans="1:9" ht="30">
      <c r="A3466" s="3" t="s">
        <v>210</v>
      </c>
      <c r="B3466" s="3" t="s">
        <v>14310</v>
      </c>
      <c r="C3466" s="3" t="s">
        <v>14311</v>
      </c>
      <c r="D3466" s="3" t="s">
        <v>14311</v>
      </c>
      <c r="E3466" s="3" t="s">
        <v>14312</v>
      </c>
      <c r="F3466" s="3" t="s">
        <v>14311</v>
      </c>
      <c r="G3466" s="3" t="str">
        <f ca="1">IFERROR(__xludf.DUMMYFUNCTION("googletranslate(D3466,""en"",""ja"")"),"代謝イメージングの解釈")</f>
        <v>代謝イメージングの解釈</v>
      </c>
      <c r="H3466" s="3" t="str">
        <f ca="1">IFERROR(__xludf.DUMMYFUNCTION("googletranslate(E3466,""en"",""ja"")"),"画像解析に基づいた腫瘍または病変の代謝活動の解釈的な要約。")</f>
        <v>画像解析に基づいた腫瘍または病変の代謝活動の解釈的な要約。</v>
      </c>
      <c r="I3466" s="3" t="str">
        <f ca="1">IFERROR(__xludf.DUMMYFUNCTION("googletranslate(F3466,""en"",""ja"")"),"代謝イメージングの解釈")</f>
        <v>代謝イメージングの解釈</v>
      </c>
    </row>
    <row r="3467" spans="1:9" ht="45">
      <c r="A3467" s="3" t="s">
        <v>67</v>
      </c>
      <c r="B3467" s="3" t="s">
        <v>14313</v>
      </c>
      <c r="C3467" s="3" t="s">
        <v>14314</v>
      </c>
      <c r="D3467" s="3" t="s">
        <v>14315</v>
      </c>
      <c r="E3467" s="3" t="s">
        <v>14316</v>
      </c>
      <c r="F3467" s="3" t="s">
        <v>14317</v>
      </c>
      <c r="G3467" s="3" t="str">
        <f ca="1">IFERROR(__xludf.DUMMYFUNCTION("googletranslate(D3467,""en"",""ja"")"),"結核菌、リファンピン耐性。結核菌、リファンピン耐性")</f>
        <v>結核菌、リファンピン耐性。結核菌、リファンピン耐性</v>
      </c>
      <c r="H3467" s="3" t="str">
        <f ca="1">IFERROR(__xludf.DUMMYFUNCTION("googletranslate(E3467,""en"",""ja"")"),"生体試料中の結核菌のリファンピン耐性株の測定。")</f>
        <v>生体試料中の結核菌のリファンピン耐性株の測定。</v>
      </c>
      <c r="I3467" s="3" t="str">
        <f ca="1">IFERROR(__xludf.DUMMYFUNCTION("googletranslate(F3467,""en"",""ja"")"),"リファンピン耐性抗酸菌の測定")</f>
        <v>リファンピン耐性抗酸菌の測定</v>
      </c>
    </row>
    <row r="3468" spans="1:9" ht="30">
      <c r="A3468" s="3" t="s">
        <v>142</v>
      </c>
      <c r="B3468" s="3" t="s">
        <v>14318</v>
      </c>
      <c r="C3468" s="3" t="s">
        <v>14319</v>
      </c>
      <c r="D3468" s="3" t="s">
        <v>14319</v>
      </c>
      <c r="E3468" s="3" t="s">
        <v>14320</v>
      </c>
      <c r="F3468" s="3" t="s">
        <v>14319</v>
      </c>
      <c r="G3468" s="3" t="str">
        <f ca="1">IFERROR(__xludf.DUMMYFUNCTION("googletranslate(D3468,""en"",""ja"")"),"動きの圧痛インジケーター")</f>
        <v>動きの圧痛インジケーター</v>
      </c>
      <c r="H3468" s="3" t="str">
        <f ca="1">IFERROR(__xludf.DUMMYFUNCTION("googletranslate(E3468,""en"",""ja"")"),"動作時の圧痛の症状があるかどうかの指標。")</f>
        <v>動作時の圧痛の症状があるかどうかの指標。</v>
      </c>
      <c r="I3468" s="3" t="str">
        <f ca="1">IFERROR(__xludf.DUMMYFUNCTION("googletranslate(F3468,""en"",""ja"")"),"動きの圧痛インジケーター")</f>
        <v>動きの圧痛インジケーター</v>
      </c>
    </row>
    <row r="3469" spans="1:9" ht="30">
      <c r="A3469" s="3" t="s">
        <v>6</v>
      </c>
      <c r="B3469" s="3" t="s">
        <v>14321</v>
      </c>
      <c r="C3469" s="3" t="s">
        <v>14322</v>
      </c>
      <c r="D3469" s="3" t="s">
        <v>14322</v>
      </c>
      <c r="E3469" s="3" t="s">
        <v>14323</v>
      </c>
      <c r="F3469" s="3" t="s">
        <v>14324</v>
      </c>
      <c r="G3469" s="3" t="str">
        <f ca="1">IFERROR(__xludf.DUMMYFUNCTION("googletranslate(D3469,""en"",""ja"")"),"メチルテストステロン")</f>
        <v>メチルテストステロン</v>
      </c>
      <c r="H3469" s="3" t="str">
        <f ca="1">IFERROR(__xludf.DUMMYFUNCTION("googletranslate(E3469,""en"",""ja"")"),"生物学的標本中のメチルテストステロンの測定。")</f>
        <v>生物学的標本中のメチルテストステロンの測定。</v>
      </c>
      <c r="I3469" s="3" t="str">
        <f ca="1">IFERROR(__xludf.DUMMYFUNCTION("googletranslate(F3469,""en"",""ja"")"),"メチルテストステロンの測定")</f>
        <v>メチルテストステロンの測定</v>
      </c>
    </row>
    <row r="3470" spans="1:9">
      <c r="A3470" s="3" t="s">
        <v>51</v>
      </c>
      <c r="B3470" s="3" t="s">
        <v>14325</v>
      </c>
      <c r="C3470" s="3" t="s">
        <v>14326</v>
      </c>
      <c r="D3470" s="3" t="s">
        <v>14327</v>
      </c>
      <c r="E3470" s="3" t="s">
        <v>14328</v>
      </c>
      <c r="F3470" s="3" t="s">
        <v>14329</v>
      </c>
      <c r="G3470" s="3" t="str">
        <f ca="1">IFERROR(__xludf.DUMMYFUNCTION("googletranslate(D3470,""en"",""ja"")"),"MEK;メチルエチルケトン")</f>
        <v>MEK;メチルエチルケトン</v>
      </c>
      <c r="H3470" s="3" t="str">
        <f ca="1">IFERROR(__xludf.DUMMYFUNCTION("googletranslate(E3470,""en"",""ja"")"),"試験片中のメチルエチルケトンの測定。")</f>
        <v>試験片中のメチルエチルケトンの測定。</v>
      </c>
      <c r="I3470" s="3" t="str">
        <f ca="1">IFERROR(__xludf.DUMMYFUNCTION("googletranslate(F3470,""en"",""ja"")"),"メチルエチルケトンの測定")</f>
        <v>メチルエチルケトンの測定</v>
      </c>
    </row>
    <row r="3471" spans="1:9">
      <c r="A3471" s="3" t="s">
        <v>51</v>
      </c>
      <c r="B3471" s="3" t="s">
        <v>14330</v>
      </c>
      <c r="C3471" s="3" t="s">
        <v>14331</v>
      </c>
      <c r="D3471" s="3" t="s">
        <v>14332</v>
      </c>
      <c r="E3471" s="3" t="s">
        <v>14333</v>
      </c>
      <c r="F3471" s="3" t="s">
        <v>14334</v>
      </c>
      <c r="G3471" s="3" t="str">
        <f ca="1">IFERROR(__xludf.DUMMYFUNCTION("googletranslate(D3471,""en"",""ja"")"),"酢酸メチル;メチル酢酸")</f>
        <v>酢酸メチル;メチル酢酸</v>
      </c>
      <c r="H3471" s="3" t="str">
        <f ca="1">IFERROR(__xludf.DUMMYFUNCTION("googletranslate(E3471,""en"",""ja"")"),"試料中の酢酸メチルの測定。")</f>
        <v>試料中の酢酸メチルの測定。</v>
      </c>
      <c r="I3471" s="3" t="str">
        <f ca="1">IFERROR(__xludf.DUMMYFUNCTION("googletranslate(F3471,""en"",""ja"")"),"酢酸メチルの測定")</f>
        <v>酢酸メチルの測定</v>
      </c>
    </row>
    <row r="3472" spans="1:9">
      <c r="A3472" s="3" t="s">
        <v>51</v>
      </c>
      <c r="B3472" s="3" t="s">
        <v>14335</v>
      </c>
      <c r="C3472" s="3" t="s">
        <v>14336</v>
      </c>
      <c r="D3472" s="3" t="s">
        <v>14336</v>
      </c>
      <c r="E3472" s="3" t="s">
        <v>14337</v>
      </c>
      <c r="F3472" s="3" t="s">
        <v>14338</v>
      </c>
      <c r="G3472" s="3" t="str">
        <f ca="1">IFERROR(__xludf.DUMMYFUNCTION("googletranslate(D3472,""en"",""ja"")"),"5-メチルクリセン")</f>
        <v>5-メチルクリセン</v>
      </c>
      <c r="H3472" s="3" t="str">
        <f ca="1">IFERROR(__xludf.DUMMYFUNCTION("googletranslate(E3472,""en"",""ja"")"),"試料中の 5-メチルクリセンの測定。")</f>
        <v>試料中の 5-メチルクリセンの測定。</v>
      </c>
      <c r="I3472" s="3" t="str">
        <f ca="1">IFERROR(__xludf.DUMMYFUNCTION("googletranslate(F3472,""en"",""ja"")"),"5-メチルクリセンの測定")</f>
        <v>5-メチルクリセンの測定</v>
      </c>
    </row>
    <row r="3473" spans="1:9">
      <c r="A3473" s="3" t="s">
        <v>6</v>
      </c>
      <c r="B3473" s="3" t="s">
        <v>14339</v>
      </c>
      <c r="C3473" s="3" t="s">
        <v>14340</v>
      </c>
      <c r="D3473" s="3" t="s">
        <v>14340</v>
      </c>
      <c r="E3473" s="3" t="s">
        <v>14341</v>
      </c>
      <c r="F3473" s="3" t="s">
        <v>14342</v>
      </c>
      <c r="G3473" s="3" t="str">
        <f ca="1">IFERROR(__xludf.DUMMYFUNCTION("googletranslate(D3473,""en"",""ja"")"),"メタステロン")</f>
        <v>メタステロン</v>
      </c>
      <c r="H3473" s="3" t="str">
        <f ca="1">IFERROR(__xludf.DUMMYFUNCTION("googletranslate(E3473,""en"",""ja"")"),"生物学的標本中のメタステロンの測定。")</f>
        <v>生物学的標本中のメタステロンの測定。</v>
      </c>
      <c r="I3473" s="3" t="str">
        <f ca="1">IFERROR(__xludf.DUMMYFUNCTION("googletranslate(F3473,""en"",""ja"")"),"メタステロン測定")</f>
        <v>メタステロン測定</v>
      </c>
    </row>
    <row r="3474" spans="1:9" ht="30">
      <c r="A3474" s="3" t="s">
        <v>6</v>
      </c>
      <c r="B3474" s="3" t="s">
        <v>14343</v>
      </c>
      <c r="C3474" s="3" t="s">
        <v>14344</v>
      </c>
      <c r="D3474" s="3" t="s">
        <v>14344</v>
      </c>
      <c r="E3474" s="3" t="s">
        <v>14345</v>
      </c>
      <c r="F3474" s="3" t="s">
        <v>14346</v>
      </c>
      <c r="G3474" s="3" t="str">
        <f ca="1">IFERROR(__xludf.DUMMYFUNCTION("googletranslate(D3474,""en"",""ja"")"),"3-メトキシチラミン")</f>
        <v>3-メトキシチラミン</v>
      </c>
      <c r="H3474" s="3" t="str">
        <f ca="1">IFERROR(__xludf.DUMMYFUNCTION("googletranslate(E3474,""en"",""ja"")"),"生物学的標本中の総 3-メトキシチラミンの測定。")</f>
        <v>生物学的標本中の総 3-メトキシチラミンの測定。</v>
      </c>
      <c r="I3474" s="3" t="str">
        <f ca="1">IFERROR(__xludf.DUMMYFUNCTION("googletranslate(F3474,""en"",""ja"")"),"総3-メトキシチラミンの測定")</f>
        <v>総3-メトキシチラミンの測定</v>
      </c>
    </row>
    <row r="3475" spans="1:9" ht="30">
      <c r="A3475" s="3" t="s">
        <v>6</v>
      </c>
      <c r="B3475" s="3" t="s">
        <v>14347</v>
      </c>
      <c r="C3475" s="3" t="s">
        <v>14348</v>
      </c>
      <c r="D3475" s="3" t="s">
        <v>14348</v>
      </c>
      <c r="E3475" s="3" t="s">
        <v>14349</v>
      </c>
      <c r="F3475" s="3" t="s">
        <v>14350</v>
      </c>
      <c r="G3475" s="3" t="str">
        <f ca="1">IFERROR(__xludf.DUMMYFUNCTION("googletranslate(D3475,""en"",""ja"")"),"3-メトキシチラミン、遊離")</f>
        <v>3-メトキシチラミン、遊離</v>
      </c>
      <c r="H3475" s="3" t="str">
        <f ca="1">IFERROR(__xludf.DUMMYFUNCTION("googletranslate(E3475,""en"",""ja"")"),"生物学的標本中の遊離 3-メトキシチラミンの測定。")</f>
        <v>生物学的標本中の遊離 3-メトキシチラミンの測定。</v>
      </c>
      <c r="I3475" s="3" t="str">
        <f ca="1">IFERROR(__xludf.DUMMYFUNCTION("googletranslate(F3475,""en"",""ja"")"),"無料の 3-メトキシチラミン測定")</f>
        <v>無料の 3-メトキシチラミン測定</v>
      </c>
    </row>
    <row r="3476" spans="1:9" ht="30">
      <c r="A3476" s="3" t="s">
        <v>6</v>
      </c>
      <c r="B3476" s="3" t="s">
        <v>14351</v>
      </c>
      <c r="C3476" s="3" t="s">
        <v>14352</v>
      </c>
      <c r="D3476" s="3" t="s">
        <v>14352</v>
      </c>
      <c r="E3476" s="3" t="s">
        <v>14353</v>
      </c>
      <c r="F3476" s="3" t="s">
        <v>14354</v>
      </c>
      <c r="G3476" s="3" t="str">
        <f ca="1">IFERROR(__xludf.DUMMYFUNCTION("googletranslate(D3476,""en"",""ja"")"),"メタネフリン、無料")</f>
        <v>メタネフリン、無料</v>
      </c>
      <c r="H3476" s="3" t="str">
        <f ca="1">IFERROR(__xludf.DUMMYFUNCTION("googletranslate(E3476,""en"",""ja"")"),"生物学的標本中の遊離メタネフリンの測定。")</f>
        <v>生物学的標本中の遊離メタネフリンの測定。</v>
      </c>
      <c r="I3476" s="3" t="str">
        <f ca="1">IFERROR(__xludf.DUMMYFUNCTION("googletranslate(F3476,""en"",""ja"")"),"無料のメタネフリン測定")</f>
        <v>無料のメタネフリン測定</v>
      </c>
    </row>
    <row r="3477" spans="1:9" ht="60">
      <c r="A3477" s="3" t="s">
        <v>6</v>
      </c>
      <c r="B3477" s="3" t="s">
        <v>14355</v>
      </c>
      <c r="C3477" s="3" t="s">
        <v>14356</v>
      </c>
      <c r="D3477" s="3" t="s">
        <v>14357</v>
      </c>
      <c r="E3477" s="3" t="s">
        <v>14358</v>
      </c>
      <c r="F3477" s="3" t="s">
        <v>14359</v>
      </c>
      <c r="G3477" s="3" t="str">
        <f ca="1">IFERROR(__xludf.DUMMYFUNCTION("googletranslate(D3477,""en"",""ja"")"),"メタネフリン + ノルメタネフリン Excr 率;メタネフリン+ノルメタネフリン排泄率")</f>
        <v>メタネフリン + ノルメタネフリン Excr 率;メタネフリン+ノルメタネフリン排泄率</v>
      </c>
      <c r="H3477" s="3" t="str">
        <f ca="1">IFERROR(__xludf.DUMMYFUNCTION("googletranslate(E3477,""en"",""ja"")"),"規定の時間 (例: 1 時間) にわたって生物学的標本中に排泄されるメタネフリンおよびノルメタネフリンの量の測定。")</f>
        <v>規定の時間 (例: 1 時間) にわたって生物学的標本中に排泄されるメタネフリンおよびノルメタネフリンの量の測定。</v>
      </c>
      <c r="I3477" s="3" t="str">
        <f ca="1">IFERROR(__xludf.DUMMYFUNCTION("googletranslate(F3477,""en"",""ja"")"),"メタネフリンおよびノルメタネフリンの排泄率")</f>
        <v>メタネフリンおよびノルメタネフリンの排泄率</v>
      </c>
    </row>
    <row r="3478" spans="1:9" ht="30">
      <c r="A3478" s="3" t="s">
        <v>6</v>
      </c>
      <c r="B3478" s="3" t="s">
        <v>14360</v>
      </c>
      <c r="C3478" s="3" t="s">
        <v>14361</v>
      </c>
      <c r="D3478" s="3" t="s">
        <v>14361</v>
      </c>
      <c r="E3478" s="3" t="s">
        <v>14362</v>
      </c>
      <c r="F3478" s="3" t="s">
        <v>14363</v>
      </c>
      <c r="G3478" s="3" t="str">
        <f ca="1">IFERROR(__xludf.DUMMYFUNCTION("googletranslate(D3478,""en"",""ja"")"),"メタネフリン+ノルメタネフリン")</f>
        <v>メタネフリン+ノルメタネフリン</v>
      </c>
      <c r="H3478" s="3" t="str">
        <f ca="1">IFERROR(__xludf.DUMMYFUNCTION("googletranslate(E3478,""en"",""ja"")"),"生物学的標本中のメタネフリンとノルメタネフリンの測定。")</f>
        <v>生物学的標本中のメタネフリンとノルメタネフリンの測定。</v>
      </c>
      <c r="I3478" s="3" t="str">
        <f ca="1">IFERROR(__xludf.DUMMYFUNCTION("googletranslate(F3478,""en"",""ja"")"),"メタネフリンおよびノルメタネフリンの測定")</f>
        <v>メタネフリンおよびノルメタネフリンの測定</v>
      </c>
    </row>
    <row r="3479" spans="1:9" ht="30">
      <c r="A3479" s="3" t="s">
        <v>118</v>
      </c>
      <c r="B3479" s="3" t="s">
        <v>14364</v>
      </c>
      <c r="C3479" s="3" t="s">
        <v>14365</v>
      </c>
      <c r="D3479" s="3" t="s">
        <v>14365</v>
      </c>
      <c r="E3479" s="3" t="s">
        <v>14366</v>
      </c>
      <c r="F3479" s="3" t="s">
        <v>14365</v>
      </c>
      <c r="G3479" s="3" t="str">
        <f ca="1">IFERROR(__xludf.DUMMYFUNCTION("googletranslate(D3479,""en"",""ja"")"),"上腕中腹周囲")</f>
        <v>上腕中腹周囲</v>
      </c>
      <c r="H3479" s="3" t="str">
        <f ca="1">IFERROR(__xludf.DUMMYFUNCTION("googletranslate(E3479,""en"",""ja"")"),"個人の上腕の最も広い部分の周囲の距離。")</f>
        <v>個人の上腕の最も広い部分の周囲の距離。</v>
      </c>
      <c r="I3479" s="3" t="str">
        <f ca="1">IFERROR(__xludf.DUMMYFUNCTION("googletranslate(F3479,""en"",""ja"")"),"上腕中腹周囲")</f>
        <v>上腕中腹周囲</v>
      </c>
    </row>
    <row r="3480" spans="1:9" ht="30">
      <c r="A3480" s="3" t="s">
        <v>6</v>
      </c>
      <c r="B3480" s="3" t="s">
        <v>14367</v>
      </c>
      <c r="C3480" s="3" t="s">
        <v>14368</v>
      </c>
      <c r="D3480" s="3" t="s">
        <v>14368</v>
      </c>
      <c r="E3480" s="3" t="s">
        <v>14369</v>
      </c>
      <c r="F3480" s="3" t="s">
        <v>14370</v>
      </c>
      <c r="G3480" s="3" t="str">
        <f ca="1">IFERROR(__xludf.DUMMYFUNCTION("googletranslate(D3480,""en"",""ja"")"),"粘液糸")</f>
        <v>粘液糸</v>
      </c>
      <c r="H3480" s="3" t="str">
        <f ca="1">IFERROR(__xludf.DUMMYFUNCTION("googletranslate(E3480,""en"",""ja"")"),"生物学的標本に存在する粘液糸の測定。")</f>
        <v>生物学的標本に存在する粘液糸の測定。</v>
      </c>
      <c r="I3480" s="3" t="str">
        <f ca="1">IFERROR(__xludf.DUMMYFUNCTION("googletranslate(F3480,""en"",""ja"")"),"粘膜糸の測定")</f>
        <v>粘膜糸の測定</v>
      </c>
    </row>
    <row r="3481" spans="1:9" ht="30">
      <c r="A3481" s="3" t="s">
        <v>6</v>
      </c>
      <c r="B3481" s="3" t="s">
        <v>14371</v>
      </c>
      <c r="C3481" s="3" t="s">
        <v>14372</v>
      </c>
      <c r="D3481" s="3" t="s">
        <v>14372</v>
      </c>
      <c r="E3481" s="3" t="s">
        <v>14373</v>
      </c>
      <c r="F3481" s="3" t="s">
        <v>14374</v>
      </c>
      <c r="G3481" s="3" t="str">
        <f ca="1">IFERROR(__xludf.DUMMYFUNCTION("googletranslate(D3481,""en"",""ja"")"),"ムリノグロブリン")</f>
        <v>ムリノグロブリン</v>
      </c>
      <c r="H3481" s="3" t="str">
        <f ca="1">IFERROR(__xludf.DUMMYFUNCTION("googletranslate(E3481,""en"",""ja"")"),"生物学的標本中のムリノグロブリンの測定。")</f>
        <v>生物学的標本中のムリノグロブリンの測定。</v>
      </c>
      <c r="I3481" s="3" t="str">
        <f ca="1">IFERROR(__xludf.DUMMYFUNCTION("googletranslate(F3481,""en"",""ja"")"),"ムリノグロブリン測定")</f>
        <v>ムリノグロブリン測定</v>
      </c>
    </row>
    <row r="3482" spans="1:9" ht="45">
      <c r="A3482" s="3" t="s">
        <v>2904</v>
      </c>
      <c r="B3482" s="3" t="s">
        <v>14375</v>
      </c>
      <c r="C3482" s="3" t="s">
        <v>14376</v>
      </c>
      <c r="D3482" s="3" t="s">
        <v>14376</v>
      </c>
      <c r="E3482" s="3" t="s">
        <v>14377</v>
      </c>
      <c r="F3482" s="3" t="s">
        <v>14376</v>
      </c>
      <c r="G3482" s="3" t="str">
        <f ca="1">IFERROR(__xludf.DUMMYFUNCTION("googletranslate(D3482,""en"",""ja"")"),"マルチプレックスプローブパラメータ")</f>
        <v>マルチプレックスプローブパラメータ</v>
      </c>
      <c r="H3482" s="3" t="str">
        <f ca="1">IFERROR(__xludf.DUMMYFUNCTION("googletranslate(E3482,""en"",""ja"")"),"96 ウェル プレートの各ウェルなど、結果が得られる各アッセイ コンポーネントに含まれる固有の分子プローブの数を示す記述子。")</f>
        <v>96 ウェル プレートの各ウェルなど、結果が得られる各アッセイ コンポーネントに含まれる固有の分子プローブの数を示す記述子。</v>
      </c>
      <c r="I3482" s="3" t="str">
        <f ca="1">IFERROR(__xludf.DUMMYFUNCTION("googletranslate(F3482,""en"",""ja"")"),"マルチプレックスプローブパラメータ")</f>
        <v>マルチプレックスプローブパラメータ</v>
      </c>
    </row>
    <row r="3483" spans="1:9" ht="45">
      <c r="A3483" s="3" t="s">
        <v>159</v>
      </c>
      <c r="B3483" s="3" t="s">
        <v>14378</v>
      </c>
      <c r="C3483" s="3" t="s">
        <v>14379</v>
      </c>
      <c r="D3483" s="3" t="s">
        <v>14379</v>
      </c>
      <c r="E3483" s="3" t="s">
        <v>14380</v>
      </c>
      <c r="F3483" s="3" t="s">
        <v>14381</v>
      </c>
      <c r="G3483" s="3" t="str">
        <f ca="1">IFERROR(__xludf.DUMMYFUNCTION("googletranslate(D3483,""en"",""ja"")"),"筋肉の硬直")</f>
        <v>筋肉の硬直</v>
      </c>
      <c r="H3483" s="3" t="str">
        <f ca="1">IFERROR(__xludf.DUMMYFUNCTION("googletranslate(E3483,""en"",""ja"")"),"筋肉の硬直（受動的な動きに対して顕著な抵抗を伴う、硬くて緊張した筋肉の不随意で持続的な状態）の評価。")</f>
        <v>筋肉の硬直（受動的な動きに対して顕著な抵抗を伴う、硬くて緊張した筋肉の不随意で持続的な状態）の評価。</v>
      </c>
      <c r="I3483" s="3" t="str">
        <f ca="1">IFERROR(__xludf.DUMMYFUNCTION("googletranslate(F3483,""en"",""ja"")"),"筋硬度の評価")</f>
        <v>筋硬度の評価</v>
      </c>
    </row>
    <row r="3484" spans="1:9" ht="45">
      <c r="A3484" s="3" t="s">
        <v>81</v>
      </c>
      <c r="B3484" s="3" t="s">
        <v>14382</v>
      </c>
      <c r="C3484" s="3" t="s">
        <v>14383</v>
      </c>
      <c r="D3484" s="3" t="s">
        <v>14383</v>
      </c>
      <c r="E3484" s="3" t="s">
        <v>14384</v>
      </c>
      <c r="F3484" s="3" t="s">
        <v>14383</v>
      </c>
      <c r="G3484" s="3" t="str">
        <f ca="1">IFERROR(__xludf.DUMMYFUNCTION("googletranslate(D3484,""en"",""ja"")"),"僧帽弁逆流率")</f>
        <v>僧帽弁逆流率</v>
      </c>
      <c r="H3484" s="3" t="str">
        <f ca="1">IFERROR(__xludf.DUMMYFUNCTION("googletranslate(E3484,""en"",""ja"")"),"僧帽弁の開口部を通過する逆行性血流量の測定値で、順行性血流量のパーセンテージとして表されます。")</f>
        <v>僧帽弁の開口部を通過する逆行性血流量の測定値で、順行性血流量のパーセンテージとして表されます。</v>
      </c>
      <c r="I3484" s="3" t="str">
        <f ca="1">IFERROR(__xludf.DUMMYFUNCTION("googletranslate(F3484,""en"",""ja"")"),"僧帽弁逆流率")</f>
        <v>僧帽弁逆流率</v>
      </c>
    </row>
    <row r="3485" spans="1:9" ht="30">
      <c r="A3485" s="3" t="s">
        <v>81</v>
      </c>
      <c r="B3485" s="3" t="s">
        <v>14385</v>
      </c>
      <c r="C3485" s="3" t="s">
        <v>14386</v>
      </c>
      <c r="D3485" s="3" t="s">
        <v>14386</v>
      </c>
      <c r="E3485" s="3" t="s">
        <v>14387</v>
      </c>
      <c r="F3485" s="3" t="s">
        <v>14386</v>
      </c>
      <c r="G3485" s="3" t="str">
        <f ca="1">IFERROR(__xludf.DUMMYFUNCTION("googletranslate(D3485,""en"",""ja"")"),"僧帽弁逆流ジェット領域")</f>
        <v>僧帽弁逆流ジェット領域</v>
      </c>
      <c r="H3485" s="3" t="str">
        <f ca="1">IFERROR(__xludf.DUMMYFUNCTION("googletranslate(E3485,""en"",""ja"")"),"左心房への血液の逆流の測定領域。")</f>
        <v>左心房への血液の逆流の測定領域。</v>
      </c>
      <c r="I3485" s="3" t="str">
        <f ca="1">IFERROR(__xludf.DUMMYFUNCTION("googletranslate(F3485,""en"",""ja"")"),"僧帽弁逆流ジェット領域")</f>
        <v>僧帽弁逆流ジェット領域</v>
      </c>
    </row>
    <row r="3486" spans="1:9" ht="30">
      <c r="A3486" s="3" t="s">
        <v>81</v>
      </c>
      <c r="B3486" s="3" t="s">
        <v>14388</v>
      </c>
      <c r="C3486" s="3" t="s">
        <v>14389</v>
      </c>
      <c r="D3486" s="3" t="s">
        <v>14389</v>
      </c>
      <c r="E3486" s="3" t="s">
        <v>14390</v>
      </c>
      <c r="F3486" s="3" t="s">
        <v>14389</v>
      </c>
      <c r="G3486" s="3" t="str">
        <f ca="1">IFERROR(__xludf.DUMMYFUNCTION("googletranslate(D3486,""en"",""ja"")"),"僧帽弁逆流量")</f>
        <v>僧帽弁逆流量</v>
      </c>
      <c r="H3486" s="3" t="str">
        <f ca="1">IFERROR(__xludf.DUMMYFUNCTION("googletranslate(E3486,""en"",""ja"")"),"僧帽弁の開口部を通過する逆行性血流量の測定値。")</f>
        <v>僧帽弁の開口部を通過する逆行性血流量の測定値。</v>
      </c>
      <c r="I3486" s="3" t="str">
        <f ca="1">IFERROR(__xludf.DUMMYFUNCTION("googletranslate(F3486,""en"",""ja"")"),"僧帽弁逆流量")</f>
        <v>僧帽弁逆流量</v>
      </c>
    </row>
    <row r="3487" spans="1:9" ht="30">
      <c r="A3487" s="3" t="s">
        <v>81</v>
      </c>
      <c r="B3487" s="3" t="s">
        <v>14391</v>
      </c>
      <c r="C3487" s="3" t="s">
        <v>14392</v>
      </c>
      <c r="D3487" s="3" t="s">
        <v>14392</v>
      </c>
      <c r="E3487" s="3" t="s">
        <v>14393</v>
      </c>
      <c r="F3487" s="3" t="s">
        <v>14392</v>
      </c>
      <c r="G3487" s="3" t="str">
        <f ca="1">IFERROR(__xludf.DUMMYFUNCTION("googletranslate(D3487,""en"",""ja"")"),"僧帽弁大静脈収縮領域")</f>
        <v>僧帽弁大静脈収縮領域</v>
      </c>
      <c r="H3487" s="3" t="str">
        <f ca="1">IFERROR(__xludf.DUMMYFUNCTION("googletranslate(E3487,""en"",""ja"")"),"僧帽弁の収縮部の領域。")</f>
        <v>僧帽弁の収縮部の領域。</v>
      </c>
      <c r="I3487" s="3" t="str">
        <f ca="1">IFERROR(__xludf.DUMMYFUNCTION("googletranslate(F3487,""en"",""ja"")"),"僧帽弁大静脈収縮領域")</f>
        <v>僧帽弁大静脈収縮領域</v>
      </c>
    </row>
    <row r="3488" spans="1:9" ht="30">
      <c r="A3488" s="3" t="s">
        <v>81</v>
      </c>
      <c r="B3488" s="3" t="s">
        <v>14394</v>
      </c>
      <c r="C3488" s="3" t="s">
        <v>14395</v>
      </c>
      <c r="D3488" s="3" t="s">
        <v>14395</v>
      </c>
      <c r="E3488" s="3" t="s">
        <v>14396</v>
      </c>
      <c r="F3488" s="3" t="s">
        <v>14395</v>
      </c>
      <c r="G3488" s="3" t="str">
        <f ca="1">IFERROR(__xludf.DUMMYFUNCTION("googletranslate(D3488,""en"",""ja"")"),"僧帽弁大静脈収縮幅")</f>
        <v>僧帽弁大静脈収縮幅</v>
      </c>
      <c r="H3488" s="3" t="str">
        <f ca="1">IFERROR(__xludf.DUMMYFUNCTION("googletranslate(E3488,""en"",""ja"")"),"僧帽弁の収縮大静脈の幅。")</f>
        <v>僧帽弁の収縮大静脈の幅。</v>
      </c>
      <c r="I3488" s="3" t="str">
        <f ca="1">IFERROR(__xludf.DUMMYFUNCTION("googletranslate(F3488,""en"",""ja"")"),"僧帽弁大静脈収縮幅")</f>
        <v>僧帽弁大静脈収縮幅</v>
      </c>
    </row>
    <row r="3489" spans="1:9" ht="45">
      <c r="A3489" s="3" t="s">
        <v>6</v>
      </c>
      <c r="B3489" s="3" t="s">
        <v>14397</v>
      </c>
      <c r="C3489" s="3" t="s">
        <v>14398</v>
      </c>
      <c r="D3489" s="3" t="s">
        <v>14399</v>
      </c>
      <c r="E3489" s="3" t="s">
        <v>14400</v>
      </c>
      <c r="F3489" s="3" t="s">
        <v>14401</v>
      </c>
      <c r="G3489" s="3" t="str">
        <f ca="1">IFERROR(__xludf.DUMMYFUNCTION("googletranslate(D3489,""en"",""ja"")"),"インターフェロン誘導 GTP 結合タンパク質 Mx1;インターフェロン誘導タンパク質 p78")</f>
        <v>インターフェロン誘導 GTP 結合タンパク質 Mx1;インターフェロン誘導タンパク質 p78</v>
      </c>
      <c r="H3489" s="3" t="str">
        <f ca="1">IFERROR(__xludf.DUMMYFUNCTION("googletranslate(E3489,""en"",""ja"")"),"生物学的標本中のインターフェロン誘導性タンパク質 P78 の測定。")</f>
        <v>生物学的標本中のインターフェロン誘導性タンパク質 P78 の測定。</v>
      </c>
      <c r="I3489" s="3" t="str">
        <f ca="1">IFERROR(__xludf.DUMMYFUNCTION("googletranslate(F3489,""en"",""ja"")"),"インターフェロン誘導タンパク質 p78 の測定")</f>
        <v>インターフェロン誘導タンパク質 p78 の測定</v>
      </c>
    </row>
    <row r="3490" spans="1:9" ht="30">
      <c r="A3490" s="3" t="s">
        <v>185</v>
      </c>
      <c r="B3490" s="3" t="s">
        <v>14402</v>
      </c>
      <c r="C3490" s="3" t="s">
        <v>14403</v>
      </c>
      <c r="D3490" s="3" t="s">
        <v>14403</v>
      </c>
      <c r="E3490" s="3" t="s">
        <v>14404</v>
      </c>
      <c r="F3490" s="3" t="s">
        <v>14403</v>
      </c>
      <c r="G3490" s="3" t="str">
        <f ca="1">IFERROR(__xludf.DUMMYFUNCTION("googletranslate(D3490,""en"",""ja"")"),"最大線量量")</f>
        <v>最大線量量</v>
      </c>
      <c r="H3490" s="3" t="str">
        <f ca="1">IFERROR(__xludf.DUMMYFUNCTION("googletranslate(E3490,""en"",""ja"")"),"被験者が用量として摂取する物質の最大量の決定。")</f>
        <v>被験者が用量として摂取する物質の最大量の決定。</v>
      </c>
      <c r="I3490" s="3" t="str">
        <f ca="1">IFERROR(__xludf.DUMMYFUNCTION("googletranslate(F3490,""en"",""ja"")"),"最大線量量")</f>
        <v>最大線量量</v>
      </c>
    </row>
    <row r="3491" spans="1:9" ht="30">
      <c r="A3491" s="3" t="s">
        <v>185</v>
      </c>
      <c r="B3491" s="3" t="s">
        <v>14405</v>
      </c>
      <c r="C3491" s="3" t="s">
        <v>14406</v>
      </c>
      <c r="D3491" s="3" t="s">
        <v>14406</v>
      </c>
      <c r="E3491" s="3" t="s">
        <v>14407</v>
      </c>
      <c r="F3491" s="3" t="s">
        <v>14406</v>
      </c>
      <c r="G3491" s="3" t="str">
        <f ca="1">IFERROR(__xludf.DUMMYFUNCTION("googletranslate(D3491,""en"",""ja"")"),"最大線量量の頻度")</f>
        <v>最大線量量の頻度</v>
      </c>
      <c r="H3491" s="3" t="str">
        <f ca="1">IFERROR(__xludf.DUMMYFUNCTION("googletranslate(E3491,""en"",""ja"")"),"被験者が最大用量で物質を摂取する頻度の決定。")</f>
        <v>被験者が最大用量で物質を摂取する頻度の決定。</v>
      </c>
      <c r="I3491" s="3" t="str">
        <f ca="1">IFERROR(__xludf.DUMMYFUNCTION("googletranslate(F3491,""en"",""ja"")"),"最大線量量の頻度")</f>
        <v>最大線量量の頻度</v>
      </c>
    </row>
    <row r="3492" spans="1:9" ht="30">
      <c r="A3492" s="3" t="s">
        <v>6</v>
      </c>
      <c r="B3492" s="3" t="s">
        <v>14408</v>
      </c>
      <c r="C3492" s="3" t="s">
        <v>14409</v>
      </c>
      <c r="D3492" s="3" t="s">
        <v>14410</v>
      </c>
      <c r="E3492" s="3" t="s">
        <v>14411</v>
      </c>
      <c r="F3492" s="3" t="s">
        <v>14412</v>
      </c>
      <c r="G3492" s="3" t="str">
        <f ca="1">IFERROR(__xludf.DUMMYFUNCTION("googletranslate(D3492,""en"",""ja"")"),"骨髄芽球;骨髄芽球")</f>
        <v>骨髄芽球;骨髄芽球</v>
      </c>
      <c r="H3492" s="3" t="str">
        <f ca="1">IFERROR(__xludf.DUMMYFUNCTION("googletranslate(E3492,""en"",""ja"")"),"生物学的標本中の骨髄芽球細胞の測定。")</f>
        <v>生物学的標本中の骨髄芽球細胞の測定。</v>
      </c>
      <c r="I3492" s="3" t="str">
        <f ca="1">IFERROR(__xludf.DUMMYFUNCTION("googletranslate(F3492,""en"",""ja"")"),"骨髄芽球数")</f>
        <v>骨髄芽球数</v>
      </c>
    </row>
    <row r="3493" spans="1:9" ht="30">
      <c r="A3493" s="3" t="s">
        <v>6</v>
      </c>
      <c r="B3493" s="3" t="s">
        <v>14413</v>
      </c>
      <c r="C3493" s="3" t="s">
        <v>14414</v>
      </c>
      <c r="D3493" s="3" t="s">
        <v>14414</v>
      </c>
      <c r="E3493" s="3" t="s">
        <v>14415</v>
      </c>
      <c r="F3493" s="3" t="s">
        <v>14416</v>
      </c>
      <c r="G3493" s="3" t="str">
        <f ca="1">IFERROR(__xludf.DUMMYFUNCTION("googletranslate(D3493,""en"",""ja"")"),"骨髄芽球/白血球")</f>
        <v>骨髄芽球/白血球</v>
      </c>
      <c r="H3493" s="3" t="str">
        <f ca="1">IFERROR(__xludf.DUMMYFUNCTION("googletranslate(E3493,""en"",""ja"")"),"生物学的標本における白血球に対する骨髄芽球の相対的な測定値 (比率またはパーセンテージ)。")</f>
        <v>生物学的標本における白血球に対する骨髄芽球の相対的な測定値 (比率またはパーセンテージ)。</v>
      </c>
      <c r="I3493" s="3" t="str">
        <f ca="1">IFERROR(__xludf.DUMMYFUNCTION("googletranslate(F3493,""en"",""ja"")"),"骨髄芽球と白血球の比率")</f>
        <v>骨髄芽球と白血球の比率</v>
      </c>
    </row>
    <row r="3494" spans="1:9" ht="30">
      <c r="A3494" s="3" t="s">
        <v>6</v>
      </c>
      <c r="B3494" s="3" t="s">
        <v>14417</v>
      </c>
      <c r="C3494" s="3" t="s">
        <v>14418</v>
      </c>
      <c r="D3494" s="3" t="s">
        <v>14418</v>
      </c>
      <c r="E3494" s="3" t="s">
        <v>14419</v>
      </c>
      <c r="F3494" s="3" t="s">
        <v>14420</v>
      </c>
      <c r="G3494" s="3" t="str">
        <f ca="1">IFERROR(__xludf.DUMMYFUNCTION("googletranslate(D3494,""en"",""ja"")"),"I型骨髄芽球")</f>
        <v>I型骨髄芽球</v>
      </c>
      <c r="H3494" s="3" t="str">
        <f ca="1">IFERROR(__xludf.DUMMYFUNCTION("googletranslate(E3494,""en"",""ja"")"),"生物学的標本単位あたりの I 型骨髄芽球細胞の測定値。")</f>
        <v>生物学的標本単位あたりの I 型骨髄芽球細胞の測定値。</v>
      </c>
      <c r="I3494" s="3" t="str">
        <f ca="1">IFERROR(__xludf.DUMMYFUNCTION("googletranslate(F3494,""en"",""ja"")"),"I型骨髄芽球の測定")</f>
        <v>I型骨髄芽球の測定</v>
      </c>
    </row>
    <row r="3495" spans="1:9" ht="30">
      <c r="A3495" s="3" t="s">
        <v>6</v>
      </c>
      <c r="B3495" s="3" t="s">
        <v>14421</v>
      </c>
      <c r="C3495" s="3" t="s">
        <v>14422</v>
      </c>
      <c r="D3495" s="3" t="s">
        <v>14422</v>
      </c>
      <c r="E3495" s="3" t="s">
        <v>14423</v>
      </c>
      <c r="F3495" s="3" t="s">
        <v>14424</v>
      </c>
      <c r="G3495" s="3" t="str">
        <f ca="1">IFERROR(__xludf.DUMMYFUNCTION("googletranslate(D3495,""en"",""ja"")"),"II 型骨髄芽球")</f>
        <v>II 型骨髄芽球</v>
      </c>
      <c r="H3495" s="3" t="str">
        <f ca="1">IFERROR(__xludf.DUMMYFUNCTION("googletranslate(E3495,""en"",""ja"")"),"生物学的標本単位あたりの II 型骨髄芽球細胞の測定値。")</f>
        <v>生物学的標本単位あたりの II 型骨髄芽球細胞の測定値。</v>
      </c>
      <c r="I3495" s="3" t="str">
        <f ca="1">IFERROR(__xludf.DUMMYFUNCTION("googletranslate(F3495,""en"",""ja"")"),"II型骨髄芽球の測定")</f>
        <v>II型骨髄芽球の測定</v>
      </c>
    </row>
    <row r="3496" spans="1:9" ht="30">
      <c r="A3496" s="3" t="s">
        <v>6</v>
      </c>
      <c r="B3496" s="3" t="s">
        <v>14425</v>
      </c>
      <c r="C3496" s="3" t="s">
        <v>14426</v>
      </c>
      <c r="D3496" s="3" t="s">
        <v>14426</v>
      </c>
      <c r="E3496" s="3" t="s">
        <v>14427</v>
      </c>
      <c r="F3496" s="3" t="s">
        <v>14428</v>
      </c>
      <c r="G3496" s="3" t="str">
        <f ca="1">IFERROR(__xludf.DUMMYFUNCTION("googletranslate(D3496,""en"",""ja"")"),"III 型骨髄芽球")</f>
        <v>III 型骨髄芽球</v>
      </c>
      <c r="H3496" s="3" t="str">
        <f ca="1">IFERROR(__xludf.DUMMYFUNCTION("googletranslate(E3496,""en"",""ja"")"),"生物学的標本単位あたりの III 型骨髄芽球細胞の測定値。")</f>
        <v>生物学的標本単位あたりの III 型骨髄芽球細胞の測定値。</v>
      </c>
      <c r="I3496" s="3" t="str">
        <f ca="1">IFERROR(__xludf.DUMMYFUNCTION("googletranslate(F3496,""en"",""ja"")"),"III型骨髄芽球の測定")</f>
        <v>III型骨髄芽球の測定</v>
      </c>
    </row>
    <row r="3497" spans="1:9">
      <c r="A3497" s="3" t="s">
        <v>103</v>
      </c>
      <c r="B3497" s="3" t="s">
        <v>14429</v>
      </c>
      <c r="C3497" s="3" t="s">
        <v>14430</v>
      </c>
      <c r="D3497" s="3" t="s">
        <v>14430</v>
      </c>
      <c r="E3497" s="3" t="s">
        <v>14431</v>
      </c>
      <c r="F3497" s="3" t="s">
        <v>14432</v>
      </c>
      <c r="G3497" s="3" t="str">
        <f ca="1">IFERROR(__xludf.DUMMYFUNCTION("googletranslate(D3497,""en"",""ja"")"),"骨髄細胞")</f>
        <v>骨髄細胞</v>
      </c>
      <c r="H3497" s="3" t="str">
        <f ca="1">IFERROR(__xludf.DUMMYFUNCTION("googletranslate(E3497,""en"",""ja"")"),"生物学的標本中の骨髄細胞の測定。")</f>
        <v>生物学的標本中の骨髄細胞の測定。</v>
      </c>
      <c r="I3497" s="3" t="str">
        <f ca="1">IFERROR(__xludf.DUMMYFUNCTION("googletranslate(F3497,""en"",""ja"")"),"骨髄細胞数")</f>
        <v>骨髄細胞数</v>
      </c>
    </row>
    <row r="3498" spans="1:9" ht="45">
      <c r="A3498" s="3" t="s">
        <v>6</v>
      </c>
      <c r="B3498" s="3" t="s">
        <v>14433</v>
      </c>
      <c r="C3498" s="3" t="s">
        <v>14434</v>
      </c>
      <c r="D3498" s="3" t="s">
        <v>14434</v>
      </c>
      <c r="E3498" s="3" t="s">
        <v>14435</v>
      </c>
      <c r="F3498" s="3" t="s">
        <v>14434</v>
      </c>
      <c r="G3498" s="3" t="str">
        <f ca="1">IFERROR(__xludf.DUMMYFUNCTION("googletranslate(D3498,""en"",""ja"")"),"骨髄成熟指数")</f>
        <v>骨髄成熟指数</v>
      </c>
      <c r="H3498" s="3" t="str">
        <f ca="1">IFERROR(__xludf.DUMMYFUNCTION("googletranslate(E3498,""en"",""ja"")"),"生物学的標本における骨髄増殖期細胞（プール）の合計に対する骨髄成熟期細胞（プール）の合計の相対測定値（比）。")</f>
        <v>生物学的標本における骨髄増殖期細胞（プール）の合計に対する骨髄成熟期細胞（プール）の合計の相対測定値（比）。</v>
      </c>
      <c r="I3498" s="3" t="str">
        <f ca="1">IFERROR(__xludf.DUMMYFUNCTION("googletranslate(F3498,""en"",""ja"")"),"骨髄成熟指数")</f>
        <v>骨髄成熟指数</v>
      </c>
    </row>
    <row r="3499" spans="1:9" ht="45">
      <c r="A3499" s="3" t="s">
        <v>6</v>
      </c>
      <c r="B3499" s="3" t="s">
        <v>14436</v>
      </c>
      <c r="C3499" s="3" t="s">
        <v>14437</v>
      </c>
      <c r="D3499" s="3" t="s">
        <v>14437</v>
      </c>
      <c r="E3499" s="3" t="s">
        <v>14438</v>
      </c>
      <c r="F3499" s="3" t="s">
        <v>14439</v>
      </c>
      <c r="G3499" s="3" t="str">
        <f ca="1">IFERROR(__xludf.DUMMYFUNCTION("googletranslate(D3499,""en"",""ja"")"),"骨髄成熟プール")</f>
        <v>骨髄成熟プール</v>
      </c>
      <c r="H3499" s="3" t="str">
        <f ca="1">IFERROR(__xludf.DUMMYFUNCTION("googletranslate(E3499,""en"",""ja"")"),"生物学的標本中の骨髄成熟期細胞 (後骨髄球、バンド好中球、分節化好中球) の測定。")</f>
        <v>生物学的標本中の骨髄成熟期細胞 (後骨髄球、バンド好中球、分節化好中球) の測定。</v>
      </c>
      <c r="I3499" s="3" t="str">
        <f ca="1">IFERROR(__xludf.DUMMYFUNCTION("googletranslate(F3499,""en"",""ja"")"),"骨髄成熟プール数")</f>
        <v>骨髄成熟プール数</v>
      </c>
    </row>
    <row r="3500" spans="1:9" ht="45">
      <c r="A3500" s="3" t="s">
        <v>6</v>
      </c>
      <c r="B3500" s="3" t="s">
        <v>14440</v>
      </c>
      <c r="C3500" s="3" t="s">
        <v>14441</v>
      </c>
      <c r="D3500" s="3" t="s">
        <v>14441</v>
      </c>
      <c r="E3500" s="3" t="s">
        <v>14442</v>
      </c>
      <c r="F3500" s="3" t="s">
        <v>14441</v>
      </c>
      <c r="G3500" s="3" t="str">
        <f ca="1">IFERROR(__xludf.DUMMYFUNCTION("googletranslate(D3500,""en"",""ja"")"),"骨髄増殖指数")</f>
        <v>骨髄増殖指数</v>
      </c>
      <c r="H3500" s="3" t="str">
        <f ca="1">IFERROR(__xludf.DUMMYFUNCTION("googletranslate(E3500,""en"",""ja"")"),"生物学的標本における骨髄増殖期細胞（プール）の合計と骨髄成熟期細胞（プール）の合計の相対測定値（比）。")</f>
        <v>生物学的標本における骨髄増殖期細胞（プール）の合計と骨髄成熟期細胞（プール）の合計の相対測定値（比）。</v>
      </c>
      <c r="I3500" s="3" t="str">
        <f ca="1">IFERROR(__xludf.DUMMYFUNCTION("googletranslate(F3500,""en"",""ja"")"),"骨髄増殖指数")</f>
        <v>骨髄増殖指数</v>
      </c>
    </row>
    <row r="3501" spans="1:9" ht="45">
      <c r="A3501" s="3" t="s">
        <v>6</v>
      </c>
      <c r="B3501" s="3" t="s">
        <v>14443</v>
      </c>
      <c r="C3501" s="3" t="s">
        <v>14444</v>
      </c>
      <c r="D3501" s="3" t="s">
        <v>14444</v>
      </c>
      <c r="E3501" s="3" t="s">
        <v>14445</v>
      </c>
      <c r="F3501" s="3" t="s">
        <v>14446</v>
      </c>
      <c r="G3501" s="3" t="str">
        <f ca="1">IFERROR(__xludf.DUMMYFUNCTION("googletranslate(D3501,""en"",""ja"")"),"骨髄増殖プール")</f>
        <v>骨髄増殖プール</v>
      </c>
      <c r="H3501" s="3" t="str">
        <f ca="1">IFERROR(__xludf.DUMMYFUNCTION("googletranslate(E3501,""en"",""ja"")"),"生物学的標本中の骨髄増殖期細胞 (骨髄芽球、前骨髄球、および骨髄球) の測定。")</f>
        <v>生物学的標本中の骨髄増殖期細胞 (骨髄芽球、前骨髄球、および骨髄球) の測定。</v>
      </c>
      <c r="I3501" s="3" t="str">
        <f ca="1">IFERROR(__xludf.DUMMYFUNCTION("googletranslate(F3501,""en"",""ja"")"),"骨髄増殖プール数")</f>
        <v>骨髄増殖プール数</v>
      </c>
    </row>
    <row r="3502" spans="1:9" ht="45">
      <c r="A3502" s="3" t="s">
        <v>67</v>
      </c>
      <c r="B3502" s="3" t="s">
        <v>14447</v>
      </c>
      <c r="C3502" s="3" t="s">
        <v>14448</v>
      </c>
      <c r="D3502" s="3" t="s">
        <v>14448</v>
      </c>
      <c r="E3502" s="3" t="s">
        <v>14449</v>
      </c>
      <c r="F3502" s="3" t="s">
        <v>14450</v>
      </c>
      <c r="G3502" s="3" t="str">
        <f ca="1">IFERROR(__xludf.DUMMYFUNCTION("googletranslate(D3502,""en"",""ja"")"),"マイコバクテリウム")</f>
        <v>マイコバクテリウム</v>
      </c>
      <c r="H3502" s="3" t="str">
        <f ca="1">IFERROR(__xludf.DUMMYFUNCTION("googletranslate(E3502,""en"",""ja"")"),"生物学的標本において、種レベルには割り当てられていないが、マイコバクテリウム属レベルに割り当てられている微生物の測定値。")</f>
        <v>生物学的標本において、種レベルには割り当てられていないが、マイコバクテリウム属レベルに割り当てられている微生物の測定値。</v>
      </c>
      <c r="I3502" s="3" t="str">
        <f ca="1">IFERROR(__xludf.DUMMYFUNCTION("googletranslate(F3502,""en"",""ja"")"),"マイコバクテリアの測定")</f>
        <v>マイコバクテリアの測定</v>
      </c>
    </row>
    <row r="3503" spans="1:9" ht="45">
      <c r="A3503" s="3" t="s">
        <v>67</v>
      </c>
      <c r="B3503" s="3" t="s">
        <v>14451</v>
      </c>
      <c r="C3503" s="3" t="s">
        <v>14452</v>
      </c>
      <c r="D3503" s="3" t="s">
        <v>14452</v>
      </c>
      <c r="E3503" s="3" t="s">
        <v>14453</v>
      </c>
      <c r="F3503" s="3" t="s">
        <v>14454</v>
      </c>
      <c r="G3503" s="3" t="str">
        <f ca="1">IFERROR(__xludf.DUMMYFUNCTION("googletranslate(D3503,""en"",""ja"")"),"マイコプラズマ")</f>
        <v>マイコプラズマ</v>
      </c>
      <c r="H3503" s="3" t="str">
        <f ca="1">IFERROR(__xludf.DUMMYFUNCTION("googletranslate(E3503,""en"",""ja"")"),"生物学的標本において、種レベルには割り当てられていないが、マイコプラズマ属レベルに割り当てられている生物の測定値。")</f>
        <v>生物学的標本において、種レベルには割り当てられていないが、マイコプラズマ属レベルに割り当てられている生物の測定値。</v>
      </c>
      <c r="I3503" s="3" t="str">
        <f ca="1">IFERROR(__xludf.DUMMYFUNCTION("googletranslate(F3503,""en"",""ja"")"),"マイコプラズマの測定")</f>
        <v>マイコプラズマの測定</v>
      </c>
    </row>
    <row r="3504" spans="1:9">
      <c r="A3504" s="3" t="s">
        <v>6</v>
      </c>
      <c r="B3504" s="3" t="s">
        <v>14455</v>
      </c>
      <c r="C3504" s="3" t="s">
        <v>14456</v>
      </c>
      <c r="D3504" s="3" t="s">
        <v>14456</v>
      </c>
      <c r="E3504" s="3" t="s">
        <v>14457</v>
      </c>
      <c r="F3504" s="3" t="s">
        <v>14458</v>
      </c>
      <c r="G3504" s="3" t="str">
        <f ca="1">IFERROR(__xludf.DUMMYFUNCTION("googletranslate(D3504,""en"",""ja"")"),"骨髄細胞")</f>
        <v>骨髄細胞</v>
      </c>
      <c r="H3504" s="3" t="str">
        <f ca="1">IFERROR(__xludf.DUMMYFUNCTION("googletranslate(E3504,""en"",""ja"")"),"生物学的標本中の骨髄細胞の測定。")</f>
        <v>生物学的標本中の骨髄細胞の測定。</v>
      </c>
      <c r="I3504" s="3" t="str">
        <f ca="1">IFERROR(__xludf.DUMMYFUNCTION("googletranslate(F3504,""en"",""ja"")"),"骨髄球数")</f>
        <v>骨髄球数</v>
      </c>
    </row>
    <row r="3505" spans="1:9" ht="45">
      <c r="A3505" s="3" t="s">
        <v>6</v>
      </c>
      <c r="B3505" s="3" t="s">
        <v>14459</v>
      </c>
      <c r="C3505" s="3" t="s">
        <v>14460</v>
      </c>
      <c r="D3505" s="3" t="s">
        <v>14460</v>
      </c>
      <c r="E3505" s="3" t="s">
        <v>14461</v>
      </c>
      <c r="F3505" s="3" t="s">
        <v>14462</v>
      </c>
      <c r="G3505" s="3" t="str">
        <f ca="1">IFERROR(__xludf.DUMMYFUNCTION("googletranslate(D3505,""en"",""ja"")"),"骨髄球/全細胞数")</f>
        <v>骨髄球/全細胞数</v>
      </c>
      <c r="H3505" s="3" t="str">
        <f ca="1">IFERROR(__xludf.DUMMYFUNCTION("googletranslate(E3505,""en"",""ja"")"),"生物学的標本 (骨髄標本など) の全細胞に対する骨髄球の相対測定値 (比率またはパーセンテージ)。")</f>
        <v>生物学的標本 (骨髄標本など) の全細胞に対する骨髄球の相対測定値 (比率またはパーセンテージ)。</v>
      </c>
      <c r="I3505" s="3" t="str">
        <f ca="1">IFERROR(__xludf.DUMMYFUNCTION("googletranslate(F3505,""en"",""ja"")"),"骨髄球対総細胞比の測定")</f>
        <v>骨髄球対総細胞比の測定</v>
      </c>
    </row>
    <row r="3506" spans="1:9" ht="30">
      <c r="A3506" s="3" t="s">
        <v>6</v>
      </c>
      <c r="B3506" s="3" t="s">
        <v>14463</v>
      </c>
      <c r="C3506" s="3" t="s">
        <v>14464</v>
      </c>
      <c r="D3506" s="3" t="s">
        <v>14464</v>
      </c>
      <c r="E3506" s="3" t="s">
        <v>14465</v>
      </c>
      <c r="F3506" s="3" t="s">
        <v>14466</v>
      </c>
      <c r="G3506" s="3" t="str">
        <f ca="1">IFERROR(__xludf.DUMMYFUNCTION("googletranslate(D3506,""en"",""ja"")"),"骨髄球/白血球")</f>
        <v>骨髄球/白血球</v>
      </c>
      <c r="H3506" s="3" t="str">
        <f ca="1">IFERROR(__xludf.DUMMYFUNCTION("googletranslate(E3506,""en"",""ja"")"),"生物学的標本における白血球に対する骨髄球の相対的な測定値 (比率またはパーセンテージ)。")</f>
        <v>生物学的標本における白血球に対する骨髄球の相対的な測定値 (比率またはパーセンテージ)。</v>
      </c>
      <c r="I3506" s="3" t="str">
        <f ca="1">IFERROR(__xludf.DUMMYFUNCTION("googletranslate(F3506,""en"",""ja"")"),"骨髄球と白血球の比率")</f>
        <v>骨髄球と白血球の比率</v>
      </c>
    </row>
    <row r="3507" spans="1:9" ht="45">
      <c r="A3507" s="3" t="s">
        <v>81</v>
      </c>
      <c r="B3507" s="3" t="s">
        <v>14467</v>
      </c>
      <c r="C3507" s="3" t="s">
        <v>14468</v>
      </c>
      <c r="D3507" s="3" t="s">
        <v>14469</v>
      </c>
      <c r="E3507" s="3" t="s">
        <v>14470</v>
      </c>
      <c r="F3507" s="3" t="s">
        <v>14468</v>
      </c>
      <c r="G3507" s="3" t="str">
        <f ca="1">IFERROR(__xludf.DUMMYFUNCTION("googletranslate(D3507,""en"",""ja"")"),"MECV;心筋細胞外容積")</f>
        <v>MECV;心筋細胞外容積</v>
      </c>
      <c r="H3507" s="3" t="str">
        <f ca="1">IFERROR(__xludf.DUMMYFUNCTION("googletranslate(E3507,""en"",""ja"")"),"心筋組織の細胞外空間からなる割合は、ネイティブおよび造影後の T1 マップと同時のヘマトクリット レベルから計算されます。")</f>
        <v>心筋組織の細胞外空間からなる割合は、ネイティブおよび造影後の T1 マップと同時のヘマトクリット レベルから計算されます。</v>
      </c>
      <c r="I3507" s="3" t="str">
        <f ca="1">IFERROR(__xludf.DUMMYFUNCTION("googletranslate(F3507,""en"",""ja"")"),"心筋細胞外容積")</f>
        <v>心筋細胞外容積</v>
      </c>
    </row>
    <row r="3508" spans="1:9" ht="60">
      <c r="A3508" s="3" t="s">
        <v>6</v>
      </c>
      <c r="B3508" s="3" t="s">
        <v>14471</v>
      </c>
      <c r="C3508" s="3" t="s">
        <v>14472</v>
      </c>
      <c r="D3508" s="3" t="s">
        <v>14473</v>
      </c>
      <c r="E3508" s="3" t="s">
        <v>14474</v>
      </c>
      <c r="F3508" s="3" t="s">
        <v>14475</v>
      </c>
      <c r="G3508" s="3" t="str">
        <f ca="1">IFERROR(__xludf.DUMMYFUNCTION("googletranslate(D3508,""en"",""ja"")"),"心臓ミオシン軽鎖 1;ミオシン軽鎖 1、遅筋 B/心室アイソフォーム。ミオシン軽鎖 3")</f>
        <v>心臓ミオシン軽鎖 1;ミオシン軽鎖 1、遅筋 B/心室アイソフォーム。ミオシン軽鎖 3</v>
      </c>
      <c r="H3508" s="3" t="str">
        <f ca="1">IFERROR(__xludf.DUMMYFUNCTION("googletranslate(E3508,""en"",""ja"")"),"生物学的標本のミオシン軽鎖 3 の測定。")</f>
        <v>生物学的標本のミオシン軽鎖 3 の測定。</v>
      </c>
      <c r="I3508" s="3" t="str">
        <f ca="1">IFERROR(__xludf.DUMMYFUNCTION("googletranslate(F3508,""en"",""ja"")"),"ミオシン軽鎖 3 の測定")</f>
        <v>ミオシン軽鎖 3 の測定</v>
      </c>
    </row>
    <row r="3509" spans="1:9" ht="30">
      <c r="A3509" s="3" t="s">
        <v>6</v>
      </c>
      <c r="B3509" s="3" t="s">
        <v>14476</v>
      </c>
      <c r="C3509" s="3" t="s">
        <v>14477</v>
      </c>
      <c r="D3509" s="3" t="s">
        <v>14477</v>
      </c>
      <c r="E3509" s="3" t="s">
        <v>14478</v>
      </c>
      <c r="F3509" s="3" t="s">
        <v>14479</v>
      </c>
      <c r="G3509" s="3" t="str">
        <f ca="1">IFERROR(__xludf.DUMMYFUNCTION("googletranslate(D3509,""en"",""ja"")"),"骨髄前駆細胞")</f>
        <v>骨髄前駆細胞</v>
      </c>
      <c r="H3509" s="3" t="str">
        <f ca="1">IFERROR(__xludf.DUMMYFUNCTION("googletranslate(E3509,""en"",""ja"")"),"生物学的標本中の骨髄前駆細胞の測定。")</f>
        <v>生物学的標本中の骨髄前駆細胞の測定。</v>
      </c>
      <c r="I3509" s="3" t="str">
        <f ca="1">IFERROR(__xludf.DUMMYFUNCTION("googletranslate(F3509,""en"",""ja"")"),"骨髄前駆細胞数")</f>
        <v>骨髄前駆細胞数</v>
      </c>
    </row>
    <row r="3510" spans="1:9" ht="30">
      <c r="A3510" s="3" t="s">
        <v>6</v>
      </c>
      <c r="B3510" s="3" t="s">
        <v>14480</v>
      </c>
      <c r="C3510" s="3" t="s">
        <v>14481</v>
      </c>
      <c r="D3510" s="3" t="s">
        <v>14481</v>
      </c>
      <c r="E3510" s="3" t="s">
        <v>14482</v>
      </c>
      <c r="F3510" s="3" t="s">
        <v>14483</v>
      </c>
      <c r="G3510" s="3" t="str">
        <f ca="1">IFERROR(__xludf.DUMMYFUNCTION("googletranslate(D3510,""en"",""ja"")"),"骨髄前駆細胞/全細胞")</f>
        <v>骨髄前駆細胞/全細胞</v>
      </c>
      <c r="H3510" s="3" t="str">
        <f ca="1">IFERROR(__xludf.DUMMYFUNCTION("googletranslate(E3510,""en"",""ja"")"),"生物学的標本の全細胞に対する骨髄前駆細胞の相対的な測定値 (比率またはパーセンテージ)。")</f>
        <v>生物学的標本の全細胞に対する骨髄前駆細胞の相対的な測定値 (比率またはパーセンテージ)。</v>
      </c>
      <c r="I3510" s="3" t="str">
        <f ca="1">IFERROR(__xludf.DUMMYFUNCTION("googletranslate(F3510,""en"",""ja"")"),"骨髄前駆細胞と全細胞の比率の測定")</f>
        <v>骨髄前駆細胞と全細胞の比率の測定</v>
      </c>
    </row>
    <row r="3511" spans="1:9" ht="30">
      <c r="A3511" s="3" t="s">
        <v>6</v>
      </c>
      <c r="B3511" s="3" t="s">
        <v>14484</v>
      </c>
      <c r="C3511" s="3" t="s">
        <v>14485</v>
      </c>
      <c r="D3511" s="3" t="s">
        <v>14485</v>
      </c>
      <c r="E3511" s="3" t="s">
        <v>14486</v>
      </c>
      <c r="F3511" s="3" t="s">
        <v>14487</v>
      </c>
      <c r="G3511" s="3" t="str">
        <f ca="1">IFERROR(__xludf.DUMMYFUNCTION("googletranslate(D3511,""en"",""ja"")"),"骨髄系/赤血球系の比率")</f>
        <v>骨髄系/赤血球系の比率</v>
      </c>
      <c r="H3511" s="3" t="str">
        <f ca="1">IFERROR(__xludf.DUMMYFUNCTION("googletranslate(E3511,""en"",""ja"")"),"生物学的標本における赤血球前駆細胞に対する骨髄前駆細胞の相対的な測定。")</f>
        <v>生物学的標本における赤血球前駆細胞に対する骨髄前駆細胞の相対的な測定。</v>
      </c>
      <c r="I3511" s="3" t="str">
        <f ca="1">IFERROR(__xludf.DUMMYFUNCTION("googletranslate(F3511,""en"",""ja"")"),"骨髄系と赤血球系の比率の測定")</f>
        <v>骨髄系と赤血球系の比率の測定</v>
      </c>
    </row>
    <row r="3512" spans="1:9" ht="75">
      <c r="A3512" s="3" t="s">
        <v>67</v>
      </c>
      <c r="B3512" s="3" t="s">
        <v>14488</v>
      </c>
      <c r="C3512" s="3" t="s">
        <v>14489</v>
      </c>
      <c r="D3512" s="3" t="s">
        <v>14490</v>
      </c>
      <c r="E3512" s="3" t="s">
        <v>14491</v>
      </c>
      <c r="F3512" s="3" t="s">
        <v>14492</v>
      </c>
      <c r="G3512" s="3" t="str">
        <f ca="1">IFERROR(__xludf.DUMMYFUNCTION("googletranslate(D3512,""en"",""ja"")"),"結核菌 IFN ガンマ反応。結核菌 IFN ガンマ反応")</f>
        <v>結核菌 IFN ガンマ反応。結核菌 IFN ガンマ反応</v>
      </c>
      <c r="H3512" s="3" t="str">
        <f ca="1">IFERROR(__xludf.DUMMYFUNCTION("googletranslate(E3512,""en"",""ja"")"),"結核菌抗原を生物学的検体（通常は血液）とインキュベートしたときに放出されるインターフェロン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f>
        <v>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v>
      </c>
      <c r="I3512" s="3" t="str">
        <f ca="1">IFERROR(__xludf.DUMMYFUNCTION("googletranslate(F3512,""en"",""ja"")"),"結核菌インターフェロンガンマ反応測定")</f>
        <v>結核菌インターフェロンガンマ反応測定</v>
      </c>
    </row>
    <row r="3513" spans="1:9" ht="30">
      <c r="A3513" s="3" t="s">
        <v>67</v>
      </c>
      <c r="B3513" s="3" t="s">
        <v>14493</v>
      </c>
      <c r="C3513" s="3" t="s">
        <v>14494</v>
      </c>
      <c r="D3513" s="3" t="s">
        <v>14494</v>
      </c>
      <c r="E3513" s="3" t="s">
        <v>14495</v>
      </c>
      <c r="F3513" s="3" t="s">
        <v>14496</v>
      </c>
      <c r="G3513" s="3" t="str">
        <f ca="1">IFERROR(__xludf.DUMMYFUNCTION("googletranslate(D3513,""en"",""ja"")"),"結核菌の核酸")</f>
        <v>結核菌の核酸</v>
      </c>
      <c r="H3513" s="3" t="str">
        <f ca="1">IFERROR(__xludf.DUMMYFUNCTION("googletranslate(E3513,""en"",""ja"")"),"生物学的検体中の結核菌の核酸の測定。")</f>
        <v>生物学的検体中の結核菌の核酸の測定。</v>
      </c>
      <c r="I3513" s="3" t="str">
        <f ca="1">IFERROR(__xludf.DUMMYFUNCTION("googletranslate(F3513,""en"",""ja"")"),"結核菌の核酸測定")</f>
        <v>結核菌の核酸測定</v>
      </c>
    </row>
    <row r="3514" spans="1:9" ht="30">
      <c r="A3514" s="3" t="s">
        <v>159</v>
      </c>
      <c r="B3514" s="3" t="s">
        <v>14497</v>
      </c>
      <c r="C3514" s="3" t="s">
        <v>14498</v>
      </c>
      <c r="D3514" s="3" t="s">
        <v>14498</v>
      </c>
      <c r="E3514" s="3" t="s">
        <v>14499</v>
      </c>
      <c r="F3514" s="3" t="s">
        <v>14498</v>
      </c>
      <c r="G3514" s="3" t="str">
        <f ca="1">IFERROR(__xludf.DUMMYFUNCTION("googletranslate(D3514,""en"",""ja"")"),"N145 レイテンシ")</f>
        <v>N145 レイテンシ</v>
      </c>
      <c r="H3514" s="3" t="str">
        <f ca="1">IFERROR(__xludf.DUMMYFUNCTION("googletranslate(E3514,""en"",""ja"")"),"視覚誘発電位評価波形の N145 波または N2 波の潜時の評価。")</f>
        <v>視覚誘発電位評価波形の N145 波または N2 波の潜時の評価。</v>
      </c>
      <c r="I3514" s="3" t="str">
        <f ca="1">IFERROR(__xludf.DUMMYFUNCTION("googletranslate(F3514,""en"",""ja"")"),"N145 レイテンシ")</f>
        <v>N145 レイテンシ</v>
      </c>
    </row>
    <row r="3515" spans="1:9" ht="30">
      <c r="A3515" s="3" t="s">
        <v>159</v>
      </c>
      <c r="B3515" s="3" t="s">
        <v>14500</v>
      </c>
      <c r="C3515" s="3" t="s">
        <v>14501</v>
      </c>
      <c r="D3515" s="3" t="s">
        <v>14502</v>
      </c>
      <c r="E3515" s="3" t="s">
        <v>14503</v>
      </c>
      <c r="F3515" s="3" t="s">
        <v>14504</v>
      </c>
      <c r="G3515" s="3" t="str">
        <f ca="1">IFERROR(__xludf.DUMMYFUNCTION("googletranslate(D3515,""en"",""ja"")"),"N1 睡眠時間;ステージ 1 の睡眠時間")</f>
        <v>N1 睡眠時間;ステージ 1 の睡眠時間</v>
      </c>
      <c r="H3515" s="3" t="str">
        <f ca="1">IFERROR(__xludf.DUMMYFUNCTION("googletranslate(E3515,""en"",""ja"")"),"N1 スリープの時間の長さ。")</f>
        <v>N1 スリープの時間の長さ。</v>
      </c>
      <c r="I3515" s="3" t="str">
        <f ca="1">IFERROR(__xludf.DUMMYFUNCTION("googletranslate(F3515,""en"",""ja"")"),"N1 スリープフェーズの持続時間")</f>
        <v>N1 スリープフェーズの持続時間</v>
      </c>
    </row>
    <row r="3516" spans="1:9" ht="30">
      <c r="A3516" s="3" t="s">
        <v>159</v>
      </c>
      <c r="B3516" s="3" t="s">
        <v>14505</v>
      </c>
      <c r="C3516" s="3" t="s">
        <v>14506</v>
      </c>
      <c r="D3516" s="3" t="s">
        <v>14506</v>
      </c>
      <c r="E3516" s="3" t="s">
        <v>14507</v>
      </c>
      <c r="F3516" s="3" t="s">
        <v>14508</v>
      </c>
      <c r="G3516" s="3" t="str">
        <f ca="1">IFERROR(__xludf.DUMMYFUNCTION("googletranslate(D3516,""en"",""ja"")"),"N1 スリープ/合計スリープ時間")</f>
        <v>N1 スリープ/合計スリープ時間</v>
      </c>
      <c r="H3516" s="3" t="str">
        <f ca="1">IFERROR(__xludf.DUMMYFUNCTION("googletranslate(E3516,""en"",""ja"")"),"合計睡眠時間に対する N1 睡眠時間の相対的な測定値 (パーセンテージ)。")</f>
        <v>合計睡眠時間に対する N1 睡眠時間の相対的な測定値 (パーセンテージ)。</v>
      </c>
      <c r="I3516" s="3" t="str">
        <f ca="1">IFERROR(__xludf.DUMMYFUNCTION("googletranslate(F3516,""en"",""ja"")"),"N1 睡眠時間と総睡眠時間の比率の測定")</f>
        <v>N1 睡眠時間と総睡眠時間の比率の測定</v>
      </c>
    </row>
    <row r="3517" spans="1:9" ht="30">
      <c r="A3517" s="3" t="s">
        <v>159</v>
      </c>
      <c r="B3517" s="3" t="s">
        <v>14509</v>
      </c>
      <c r="C3517" s="3" t="s">
        <v>14510</v>
      </c>
      <c r="D3517" s="3" t="s">
        <v>14511</v>
      </c>
      <c r="E3517" s="3" t="s">
        <v>14512</v>
      </c>
      <c r="F3517" s="3" t="s">
        <v>14513</v>
      </c>
      <c r="G3517" s="3" t="str">
        <f ca="1">IFERROR(__xludf.DUMMYFUNCTION("googletranslate(D3517,""en"",""ja"")"),"N2 睡眠時間;ステージ 2 の睡眠時間")</f>
        <v>N2 睡眠時間;ステージ 2 の睡眠時間</v>
      </c>
      <c r="H3517" s="3" t="str">
        <f ca="1">IFERROR(__xludf.DUMMYFUNCTION("googletranslate(E3517,""en"",""ja"")"),"N2 スリープの時間の長さ。")</f>
        <v>N2 スリープの時間の長さ。</v>
      </c>
      <c r="I3517" s="3" t="str">
        <f ca="1">IFERROR(__xludf.DUMMYFUNCTION("googletranslate(F3517,""en"",""ja"")"),"N2 スリープフェーズの持続時間")</f>
        <v>N2 スリープフェーズの持続時間</v>
      </c>
    </row>
    <row r="3518" spans="1:9" ht="30">
      <c r="A3518" s="3" t="s">
        <v>159</v>
      </c>
      <c r="B3518" s="3" t="s">
        <v>14514</v>
      </c>
      <c r="C3518" s="3" t="s">
        <v>14515</v>
      </c>
      <c r="D3518" s="3" t="s">
        <v>14515</v>
      </c>
      <c r="E3518" s="3" t="s">
        <v>14516</v>
      </c>
      <c r="F3518" s="3" t="s">
        <v>14517</v>
      </c>
      <c r="G3518" s="3" t="str">
        <f ca="1">IFERROR(__xludf.DUMMYFUNCTION("googletranslate(D3518,""en"",""ja"")"),"N2 スリープ/合計スリープ時間")</f>
        <v>N2 スリープ/合計スリープ時間</v>
      </c>
      <c r="H3518" s="3" t="str">
        <f ca="1">IFERROR(__xludf.DUMMYFUNCTION("googletranslate(E3518,""en"",""ja"")"),"合計睡眠時間に対する N2 睡眠時間の相対的な測定値 (パーセンテージ)。")</f>
        <v>合計睡眠時間に対する N2 睡眠時間の相対的な測定値 (パーセンテージ)。</v>
      </c>
      <c r="I3518" s="3" t="str">
        <f ca="1">IFERROR(__xludf.DUMMYFUNCTION("googletranslate(F3518,""en"",""ja"")"),"N2 睡眠と総睡眠時間の比率の測定")</f>
        <v>N2 睡眠と総睡眠時間の比率の測定</v>
      </c>
    </row>
    <row r="3519" spans="1:9" ht="30">
      <c r="A3519" s="3" t="s">
        <v>51</v>
      </c>
      <c r="B3519" s="3" t="s">
        <v>14518</v>
      </c>
      <c r="C3519" s="3" t="s">
        <v>14519</v>
      </c>
      <c r="D3519" s="3" t="s">
        <v>14520</v>
      </c>
      <c r="E3519" s="3" t="s">
        <v>14521</v>
      </c>
      <c r="F3519" s="3" t="s">
        <v>14522</v>
      </c>
      <c r="G3519" s="3" t="str">
        <f ca="1">IFERROR(__xludf.DUMMYFUNCTION("googletranslate(D3519,""en"",""ja"")"),"2-アミノ-3-メチルイミダゾ[4,5-f]キノリン; IQ; N3-IQ")</f>
        <v>2-アミノ-3-メチルイミダゾ[4,5-f]キノリン; IQ; N3-IQ</v>
      </c>
      <c r="H3519" s="3" t="str">
        <f ca="1">IFERROR(__xludf.DUMMYFUNCTION("googletranslate(E3519,""en"",""ja"")"),"標本中の 2-アミノ-3-メチルイミダゾ[4,5-f]キノリンの測定。")</f>
        <v>標本中の 2-アミノ-3-メチルイミダゾ[4,5-f]キノリンの測定。</v>
      </c>
      <c r="I3519" s="3" t="str">
        <f ca="1">IFERROR(__xludf.DUMMYFUNCTION("googletranslate(F3519,""en"",""ja"")"),"2-アミノ-3-メチルイミダゾ[4,5-f]キノリンの測定")</f>
        <v>2-アミノ-3-メチルイミダゾ[4,5-f]キノリンの測定</v>
      </c>
    </row>
    <row r="3520" spans="1:9" ht="30">
      <c r="A3520" s="3" t="s">
        <v>159</v>
      </c>
      <c r="B3520" s="3" t="s">
        <v>14523</v>
      </c>
      <c r="C3520" s="3" t="s">
        <v>14524</v>
      </c>
      <c r="D3520" s="3" t="s">
        <v>14525</v>
      </c>
      <c r="E3520" s="3" t="s">
        <v>14526</v>
      </c>
      <c r="F3520" s="3" t="s">
        <v>14527</v>
      </c>
      <c r="G3520" s="3" t="str">
        <f ca="1">IFERROR(__xludf.DUMMYFUNCTION("googletranslate(D3520,""en"",""ja"")"),"N3 睡眠時間;ステージ 3 の睡眠時間")</f>
        <v>N3 睡眠時間;ステージ 3 の睡眠時間</v>
      </c>
      <c r="H3520" s="3" t="str">
        <f ca="1">IFERROR(__xludf.DUMMYFUNCTION("googletranslate(E3520,""en"",""ja"")"),"N3 スリープの時間の長さ。")</f>
        <v>N3 スリープの時間の長さ。</v>
      </c>
      <c r="I3520" s="3" t="str">
        <f ca="1">IFERROR(__xludf.DUMMYFUNCTION("googletranslate(F3520,""en"",""ja"")"),"N3 スリープフェーズの持続時間")</f>
        <v>N3 スリープフェーズの持続時間</v>
      </c>
    </row>
    <row r="3521" spans="1:9" ht="30">
      <c r="A3521" s="3" t="s">
        <v>159</v>
      </c>
      <c r="B3521" s="3" t="s">
        <v>14528</v>
      </c>
      <c r="C3521" s="3" t="s">
        <v>14529</v>
      </c>
      <c r="D3521" s="3" t="s">
        <v>14529</v>
      </c>
      <c r="E3521" s="3" t="s">
        <v>14530</v>
      </c>
      <c r="F3521" s="3" t="s">
        <v>14531</v>
      </c>
      <c r="G3521" s="3" t="str">
        <f ca="1">IFERROR(__xludf.DUMMYFUNCTION("googletranslate(D3521,""en"",""ja"")"),"N3 スリープ/合計スリープ時間")</f>
        <v>N3 スリープ/合計スリープ時間</v>
      </c>
      <c r="H3521" s="3" t="str">
        <f ca="1">IFERROR(__xludf.DUMMYFUNCTION("googletranslate(E3521,""en"",""ja"")"),"合計睡眠時間に対する N3 睡眠時間の相対的な測定値 (パーセンテージ)。")</f>
        <v>合計睡眠時間に対する N3 睡眠時間の相対的な測定値 (パーセンテージ)。</v>
      </c>
      <c r="I3521" s="3" t="str">
        <f ca="1">IFERROR(__xludf.DUMMYFUNCTION("googletranslate(F3521,""en"",""ja"")"),"N3 睡眠時間と総睡眠時間の比率の測定")</f>
        <v>N3 睡眠時間と総睡眠時間の比率の測定</v>
      </c>
    </row>
    <row r="3522" spans="1:9" ht="45">
      <c r="A3522" s="3" t="s">
        <v>67</v>
      </c>
      <c r="B3522" s="3" t="s">
        <v>14532</v>
      </c>
      <c r="C3522" s="3" t="s">
        <v>14533</v>
      </c>
      <c r="D3522" s="3" t="s">
        <v>14534</v>
      </c>
      <c r="E3522" s="3" t="s">
        <v>14535</v>
      </c>
      <c r="F3522" s="3" t="s">
        <v>14536</v>
      </c>
      <c r="G3522" s="3" t="str">
        <f ca="1">IFERROR(__xludf.DUMMYFUNCTION("googletranslate(D3522,""en"",""ja"")"),"HCoV-NL63/HCoV-HKU1 RNA;ヒトコロナウイルス NL63/ヒトコロナウイルス HKU1 RNA")</f>
        <v>HCoV-NL63/HCoV-HKU1 RNA;ヒトコロナウイルス NL63/ヒトコロナウイルス HKU1 RNA</v>
      </c>
      <c r="H3522" s="3" t="str">
        <f ca="1">IFERROR(__xludf.DUMMYFUNCTION("googletranslate(E3522,""en"",""ja"")"),"生物学的検体中のヒトコロナウイルス NL63 および/またはヒトコロナウイルス HKU1 RNA の測定。")</f>
        <v>生物学的検体中のヒトコロナウイルス NL63 および/またはヒトコロナウイルス HKU1 RNA の測定。</v>
      </c>
      <c r="I3522" s="3" t="str">
        <f ca="1">IFERROR(__xludf.DUMMYFUNCTION("googletranslate(F3522,""en"",""ja"")"),"ヒトコロナウイルスNL63および/またはヒトコロナウイルスHKU1のRNA測定")</f>
        <v>ヒトコロナウイルスNL63および/またはヒトコロナウイルスHKU1のRNA測定</v>
      </c>
    </row>
    <row r="3523" spans="1:9" ht="30">
      <c r="A3523" s="3" t="s">
        <v>159</v>
      </c>
      <c r="B3523" s="3" t="s">
        <v>14537</v>
      </c>
      <c r="C3523" s="3" t="s">
        <v>14538</v>
      </c>
      <c r="D3523" s="3" t="s">
        <v>14539</v>
      </c>
      <c r="E3523" s="3" t="s">
        <v>14540</v>
      </c>
      <c r="F3523" s="3" t="s">
        <v>14538</v>
      </c>
      <c r="G3523" s="3" t="str">
        <f ca="1">IFERROR(__xludf.DUMMYFUNCTION("googletranslate(D3523,""en"",""ja"")"),"N1 レイテンシ。 N75 レイテンシ")</f>
        <v>N1 レイテンシ。 N75 レイテンシ</v>
      </c>
      <c r="H3523" s="3" t="str">
        <f ca="1">IFERROR(__xludf.DUMMYFUNCTION("googletranslate(E3523,""en"",""ja"")"),"視覚誘発電位評価波形の N75 波または N1 波の潜時の評価。")</f>
        <v>視覚誘発電位評価波形の N75 波または N1 波の潜時の評価。</v>
      </c>
      <c r="I3523" s="3" t="str">
        <f ca="1">IFERROR(__xludf.DUMMYFUNCTION("googletranslate(F3523,""en"",""ja"")"),"N75 レイテンシ")</f>
        <v>N75 レイテンシ</v>
      </c>
    </row>
    <row r="3524" spans="1:9" ht="30">
      <c r="A3524" s="3" t="s">
        <v>159</v>
      </c>
      <c r="B3524" s="3" t="s">
        <v>14541</v>
      </c>
      <c r="C3524" s="3" t="s">
        <v>14542</v>
      </c>
      <c r="D3524" s="3" t="s">
        <v>14542</v>
      </c>
      <c r="E3524" s="3" t="s">
        <v>14543</v>
      </c>
      <c r="F3524" s="3" t="s">
        <v>14544</v>
      </c>
      <c r="G3524" s="3" t="str">
        <f ca="1">IFERROR(__xludf.DUMMYFUNCTION("googletranslate(D3524,""en"",""ja"")"),"N-アセチルアスパラギン酸")</f>
        <v>N-アセチルアスパラギン酸</v>
      </c>
      <c r="H3524" s="3" t="str">
        <f ca="1">IFERROR(__xludf.DUMMYFUNCTION("googletranslate(E3524,""en"",""ja"")"),"生物学的標本中の N-アセチルアスパラギン酸の測定。")</f>
        <v>生物学的標本中の N-アセチルアスパラギン酸の測定。</v>
      </c>
      <c r="I3524" s="3" t="str">
        <f ca="1">IFERROR(__xludf.DUMMYFUNCTION("googletranslate(F3524,""en"",""ja"")"),"N-アセチルアスパラギン酸の測定")</f>
        <v>N-アセチルアスパラギン酸の測定</v>
      </c>
    </row>
    <row r="3525" spans="1:9" ht="30">
      <c r="A3525" s="3" t="s">
        <v>159</v>
      </c>
      <c r="B3525" s="3" t="s">
        <v>14545</v>
      </c>
      <c r="C3525" s="3" t="s">
        <v>14546</v>
      </c>
      <c r="D3525" s="3" t="s">
        <v>14546</v>
      </c>
      <c r="E3525" s="3" t="s">
        <v>14547</v>
      </c>
      <c r="F3525" s="3" t="s">
        <v>14548</v>
      </c>
      <c r="G3525" s="3" t="str">
        <f ca="1">IFERROR(__xludf.DUMMYFUNCTION("googletranslate(D3525,""en"",""ja"")"),"N-アセチルアスパラギン酸/コリン")</f>
        <v>N-アセチルアスパラギン酸/コリン</v>
      </c>
      <c r="H3525" s="3" t="str">
        <f ca="1">IFERROR(__xludf.DUMMYFUNCTION("googletranslate(E3525,""en"",""ja"")"),"生物学的標本中のコリンに対する N-アセチルアスパラギン酸の相対測定値 (比)。")</f>
        <v>生物学的標本中のコリンに対する N-アセチルアスパラギン酸の相対測定値 (比)。</v>
      </c>
      <c r="I3525" s="3" t="str">
        <f ca="1">IFERROR(__xludf.DUMMYFUNCTION("googletranslate(F3525,""en"",""ja"")"),"N-アセチルアスパラギン酸とコリンの比の測定")</f>
        <v>N-アセチルアスパラギン酸とコリンの比の測定</v>
      </c>
    </row>
    <row r="3526" spans="1:9" ht="30">
      <c r="A3526" s="3" t="s">
        <v>159</v>
      </c>
      <c r="B3526" s="3" t="s">
        <v>14549</v>
      </c>
      <c r="C3526" s="3" t="s">
        <v>14550</v>
      </c>
      <c r="D3526" s="3" t="s">
        <v>14550</v>
      </c>
      <c r="E3526" s="3" t="s">
        <v>14551</v>
      </c>
      <c r="F3526" s="3" t="s">
        <v>14552</v>
      </c>
      <c r="G3526" s="3" t="str">
        <f ca="1">IFERROR(__xludf.DUMMYFUNCTION("googletranslate(D3526,""en"",""ja"")"),"N-アセチルアスパラギン酸/クレアチン")</f>
        <v>N-アセチルアスパラギン酸/クレアチン</v>
      </c>
      <c r="H3526" s="3" t="str">
        <f ca="1">IFERROR(__xludf.DUMMYFUNCTION("googletranslate(E3526,""en"",""ja"")"),"生物学的標本中のクレアチンに対する N-アセチル アスパラギン酸の相対測定値 (比)。")</f>
        <v>生物学的標本中のクレアチンに対する N-アセチル アスパラギン酸の相対測定値 (比)。</v>
      </c>
      <c r="I3526" s="3" t="str">
        <f ca="1">IFERROR(__xludf.DUMMYFUNCTION("googletranslate(F3526,""en"",""ja"")"),"N-アセチルアスパラギン酸とクレアチンの比の測定")</f>
        <v>N-アセチルアスパラギン酸とクレアチンの比の測定</v>
      </c>
    </row>
    <row r="3527" spans="1:9" ht="45">
      <c r="A3527" s="3" t="s">
        <v>159</v>
      </c>
      <c r="B3527" s="3" t="s">
        <v>14553</v>
      </c>
      <c r="C3527" s="3" t="s">
        <v>14554</v>
      </c>
      <c r="D3527" s="3" t="s">
        <v>14554</v>
      </c>
      <c r="E3527" s="3" t="s">
        <v>14555</v>
      </c>
      <c r="F3527" s="3" t="s">
        <v>14556</v>
      </c>
      <c r="G3527" s="3" t="str">
        <f ca="1">IFERROR(__xludf.DUMMYFUNCTION("googletranslate(D3527,""en"",""ja"")"),"N-アセチルアスパラギン酸/クレアチン+コリン")</f>
        <v>N-アセチルアスパラギン酸/クレアチン+コリン</v>
      </c>
      <c r="H3527" s="3" t="str">
        <f ca="1">IFERROR(__xludf.DUMMYFUNCTION("googletranslate(E3527,""en"",""ja"")"),"生物学的標本における N-アセチル アスパラギン酸とクレアチニンとコリンとクレアチンの相対測定値 (比)。")</f>
        <v>生物学的標本における N-アセチル アスパラギン酸とクレアチニンとコリンとクレアチンの相対測定値 (比)。</v>
      </c>
      <c r="I3527" s="3" t="str">
        <f ca="1">IFERROR(__xludf.DUMMYFUNCTION("googletranslate(F3527,""en"",""ja"")"),"N-アセチルアスパラギン酸とクレアチンおよびコリンの比率の測定")</f>
        <v>N-アセチルアスパラギン酸とクレアチンおよびコリンの比率の測定</v>
      </c>
    </row>
    <row r="3528" spans="1:9" ht="45">
      <c r="A3528" s="3" t="s">
        <v>159</v>
      </c>
      <c r="B3528" s="3" t="s">
        <v>14557</v>
      </c>
      <c r="C3528" s="3" t="s">
        <v>14558</v>
      </c>
      <c r="D3528" s="3" t="s">
        <v>14559</v>
      </c>
      <c r="E3528" s="3" t="s">
        <v>14560</v>
      </c>
      <c r="F3528" s="3" t="s">
        <v>14561</v>
      </c>
      <c r="G3528" s="3" t="str">
        <f ca="1">IFERROR(__xludf.DUMMYFUNCTION("googletranslate(D3528,""en"",""ja"")"),"N-アセチルアスパラギン酸 + N-アセチル-アスパルチルグルタミン酸; NAA+NAAG")</f>
        <v>N-アセチルアスパラギン酸 + N-アセチル-アスパルチルグルタミン酸; NAA+NAAG</v>
      </c>
      <c r="H3528" s="3" t="str">
        <f ca="1">IFERROR(__xludf.DUMMYFUNCTION("googletranslate(E3528,""en"",""ja"")"),"生物学的標本中の N-アセチルアスパラギン酸と N-アセチルアスパルチルグルタミン酸の測定。")</f>
        <v>生物学的標本中の N-アセチルアスパラギン酸と N-アセチルアスパルチルグルタミン酸の測定。</v>
      </c>
      <c r="I3528" s="3" t="str">
        <f ca="1">IFERROR(__xludf.DUMMYFUNCTION("googletranslate(F3528,""en"",""ja"")"),"N-アセチルアスパラギン酸およびN-アセチルアスパルチルグルタミン酸の測定")</f>
        <v>N-アセチルアスパラギン酸およびN-アセチルアスパルチルグルタミン酸の測定</v>
      </c>
    </row>
    <row r="3529" spans="1:9" ht="45">
      <c r="A3529" s="3" t="s">
        <v>6</v>
      </c>
      <c r="B3529" s="3" t="s">
        <v>14562</v>
      </c>
      <c r="C3529" s="3" t="s">
        <v>14563</v>
      </c>
      <c r="D3529" s="3" t="s">
        <v>14563</v>
      </c>
      <c r="E3529" s="3" t="s">
        <v>14564</v>
      </c>
      <c r="F3529" s="3" t="s">
        <v>14565</v>
      </c>
      <c r="G3529" s="3" t="str">
        <f ca="1">IFERROR(__xludf.DUMMYFUNCTION("googletranslate(D3529,""en"",""ja"")"),"ナトリウムクリアランス")</f>
        <v>ナトリウムクリアランス</v>
      </c>
      <c r="H3529" s="3" t="str">
        <f ca="1">IFERROR(__xludf.DUMMYFUNCTION("googletranslate(E3529,""en"",""ja"")"),"指定された時間単位 (例: 1 分) の尿の排泄によってナトリウムが除去される血清または血漿の量の測定値。")</f>
        <v>指定された時間単位 (例: 1 分) の尿の排泄によってナトリウムが除去される血清または血漿の量の測定値。</v>
      </c>
      <c r="I3529" s="3" t="str">
        <f ca="1">IFERROR(__xludf.DUMMYFUNCTION("googletranslate(F3529,""en"",""ja"")"),"ナトリウムクリアランス測定")</f>
        <v>ナトリウムクリアランス測定</v>
      </c>
    </row>
    <row r="3530" spans="1:9" ht="30">
      <c r="A3530" s="3" t="s">
        <v>6</v>
      </c>
      <c r="B3530" s="3" t="s">
        <v>14566</v>
      </c>
      <c r="C3530" s="3" t="s">
        <v>14567</v>
      </c>
      <c r="D3530" s="3" t="s">
        <v>14567</v>
      </c>
      <c r="E3530" s="3" t="s">
        <v>14568</v>
      </c>
      <c r="F3530" s="3" t="s">
        <v>14569</v>
      </c>
      <c r="G3530" s="3" t="str">
        <f ca="1">IFERROR(__xludf.DUMMYFUNCTION("googletranslate(D3530,""en"",""ja"")"),"ナトリウム/クレアチニン")</f>
        <v>ナトリウム/クレアチニン</v>
      </c>
      <c r="H3530" s="3" t="str">
        <f ca="1">IFERROR(__xludf.DUMMYFUNCTION("googletranslate(E3530,""en"",""ja"")"),"生物学的標本中のクレアチニンに対するナトリウムの相対測定値 (比率またはパーセンテージ)。")</f>
        <v>生物学的標本中のクレアチニンに対するナトリウムの相対測定値 (比率またはパーセンテージ)。</v>
      </c>
      <c r="I3530" s="3" t="str">
        <f ca="1">IFERROR(__xludf.DUMMYFUNCTION("googletranslate(F3530,""en"",""ja"")"),"ナトリウムとクレアチニンの比率の測定")</f>
        <v>ナトリウムとクレアチニンの比率の測定</v>
      </c>
    </row>
    <row r="3531" spans="1:9" ht="30">
      <c r="A3531" s="3" t="s">
        <v>6</v>
      </c>
      <c r="B3531" s="3" t="s">
        <v>14570</v>
      </c>
      <c r="C3531" s="3" t="s">
        <v>14571</v>
      </c>
      <c r="D3531" s="3" t="s">
        <v>14572</v>
      </c>
      <c r="E3531" s="3" t="s">
        <v>14573</v>
      </c>
      <c r="F3531" s="3" t="s">
        <v>14574</v>
      </c>
      <c r="G3531" s="3" t="str">
        <f ca="1">IFERROR(__xludf.DUMMYFUNCTION("googletranslate(D3531,""en"",""ja"")"),"N-アセチルグルコサミド; N-アセチルグルコサミン")</f>
        <v>N-アセチルグルコサミド; N-アセチルグルコサミン</v>
      </c>
      <c r="H3531" s="3" t="str">
        <f ca="1">IFERROR(__xludf.DUMMYFUNCTION("googletranslate(E3531,""en"",""ja"")"),"生体試料中のN-アセチルグルコサミド（糖誘導体）の測定。")</f>
        <v>生体試料中のN-アセチルグルコサミド（糖誘導体）の測定。</v>
      </c>
      <c r="I3531" s="3" t="str">
        <f ca="1">IFERROR(__xludf.DUMMYFUNCTION("googletranslate(F3531,""en"",""ja"")"),"N-アセチルグルコサミドの測定")</f>
        <v>N-アセチルグルコサミドの測定</v>
      </c>
    </row>
    <row r="3532" spans="1:9" ht="45">
      <c r="A3532" s="3" t="s">
        <v>6</v>
      </c>
      <c r="B3532" s="3" t="s">
        <v>14575</v>
      </c>
      <c r="C3532" s="3" t="s">
        <v>14576</v>
      </c>
      <c r="D3532" s="3" t="s">
        <v>14577</v>
      </c>
      <c r="E3532" s="3" t="s">
        <v>14578</v>
      </c>
      <c r="F3532" s="3" t="s">
        <v>14579</v>
      </c>
      <c r="G3532" s="3" t="str">
        <f ca="1">IFERROR(__xludf.DUMMYFUNCTION("googletranslate(D3532,""en"",""ja"")"),"ベータ-N-アセチル-D-グルコサミニダーゼ; N-アセチル-ベータ-D-グルコサミニダーゼ")</f>
        <v>ベータ-N-アセチル-D-グルコサミニダーゼ; N-アセチル-ベータ-D-グルコサミニダーゼ</v>
      </c>
      <c r="H3532" s="3" t="str">
        <f ca="1">IFERROR(__xludf.DUMMYFUNCTION("googletranslate(E3532,""en"",""ja"")"),"生物学的標本中の N-アセチル-ベータ-D-グルコサミニダーゼ (酵素) の測定。")</f>
        <v>生物学的標本中の N-アセチル-ベータ-D-グルコサミニダーゼ (酵素) の測定。</v>
      </c>
      <c r="I3532" s="3" t="str">
        <f ca="1">IFERROR(__xludf.DUMMYFUNCTION("googletranslate(F3532,""en"",""ja"")"),"N-アセチル-ベータ-D-グルコサミニダーゼの測定")</f>
        <v>N-アセチル-ベータ-D-グルコサミニダーゼの測定</v>
      </c>
    </row>
    <row r="3533" spans="1:9" ht="45">
      <c r="A3533" s="3" t="s">
        <v>6</v>
      </c>
      <c r="B3533" s="3" t="s">
        <v>14580</v>
      </c>
      <c r="C3533" s="3" t="s">
        <v>14581</v>
      </c>
      <c r="D3533" s="3" t="s">
        <v>14581</v>
      </c>
      <c r="E3533" s="3" t="s">
        <v>14582</v>
      </c>
      <c r="F3533" s="3" t="s">
        <v>14583</v>
      </c>
      <c r="G3533" s="3" t="str">
        <f ca="1">IFERROR(__xludf.DUMMYFUNCTION("googletranslate(D3533,""en"",""ja"")"),"N-アセチル-B-D-グルコサミニダーゼ/クレアチニン")</f>
        <v>N-アセチル-B-D-グルコサミニダーゼ/クレアチニン</v>
      </c>
      <c r="H3533" s="3" t="str">
        <f ca="1">IFERROR(__xludf.DUMMYFUNCTION("googletranslate(E3533,""en"",""ja"")"),"生物学的標本中のクレアチニンに対する N-アセチル-ベータ-D-グルコサミニダーゼの相対測定値 (比率またはパーセンテージ)。")</f>
        <v>生物学的標本中のクレアチニンに対する N-アセチル-ベータ-D-グルコサミニダーゼの相対測定値 (比率またはパーセンテージ)。</v>
      </c>
      <c r="I3533" s="3" t="str">
        <f ca="1">IFERROR(__xludf.DUMMYFUNCTION("googletranslate(F3533,""en"",""ja"")"),"N-アセチル-ベータ-D-グルコサミニダーゼとクレアチニンの比率の測定")</f>
        <v>N-アセチル-ベータ-D-グルコサミニダーゼとクレアチニンの比率の測定</v>
      </c>
    </row>
    <row r="3534" spans="1:9" ht="45">
      <c r="A3534" s="3" t="s">
        <v>6</v>
      </c>
      <c r="B3534" s="3" t="s">
        <v>14584</v>
      </c>
      <c r="C3534" s="3" t="s">
        <v>14585</v>
      </c>
      <c r="D3534" s="3" t="s">
        <v>14586</v>
      </c>
      <c r="E3534" s="3" t="s">
        <v>14587</v>
      </c>
      <c r="F3534" s="3" t="s">
        <v>14588</v>
      </c>
      <c r="G3534" s="3" t="str">
        <f ca="1">IFERROR(__xludf.DUMMYFUNCTION("googletranslate(D3534,""en"",""ja"")"),"N-アセチル-ベータ-D-グルコサミニダーゼ排泄率; NAGASEの排泄率")</f>
        <v>N-アセチル-ベータ-D-グルコサミニダーゼ排泄率; NAGASEの排泄率</v>
      </c>
      <c r="H3534" s="3" t="str">
        <f ca="1">IFERROR(__xludf.DUMMYFUNCTION("googletranslate(E3534,""en"",""ja"")"),"規定の時間 (例: 1 時間) にわたって生物学的検体中に排泄される N-アセチル-ベータ-D-グルコサミニダーゼの量の測定。")</f>
        <v>規定の時間 (例: 1 時間) にわたって生物学的検体中に排泄される N-アセチル-ベータ-D-グルコサミニダーゼの量の測定。</v>
      </c>
      <c r="I3534" s="3" t="str">
        <f ca="1">IFERROR(__xludf.DUMMYFUNCTION("googletranslate(F3534,""en"",""ja"")"),"N-アセチル-ベータ-D-グルコサミニダーゼの排泄率")</f>
        <v>N-アセチル-ベータ-D-グルコサミニダーゼの排泄率</v>
      </c>
    </row>
    <row r="3535" spans="1:9" ht="45">
      <c r="A3535" s="3" t="s">
        <v>6</v>
      </c>
      <c r="B3535" s="3" t="s">
        <v>14589</v>
      </c>
      <c r="C3535" s="3" t="s">
        <v>14590</v>
      </c>
      <c r="D3535" s="3" t="s">
        <v>14590</v>
      </c>
      <c r="E3535" s="3" t="s">
        <v>14591</v>
      </c>
      <c r="F3535" s="3" t="s">
        <v>14592</v>
      </c>
      <c r="G3535" s="3" t="str">
        <f ca="1">IFERROR(__xludf.DUMMYFUNCTION("googletranslate(D3535,""en"",""ja"")"),"N-アセチルグルコサミド/クレアチニン")</f>
        <v>N-アセチルグルコサミド/クレアチニン</v>
      </c>
      <c r="H3535" s="3" t="str">
        <f ca="1">IFERROR(__xludf.DUMMYFUNCTION("googletranslate(E3535,""en"",""ja"")"),"生物学的標本中のクレアチニンに対する N-アセチルグルコサミドの相対測定値 (比率またはパーセンテージ)。")</f>
        <v>生物学的標本中のクレアチニンに対する N-アセチルグルコサミドの相対測定値 (比率またはパーセンテージ)。</v>
      </c>
      <c r="I3535" s="3" t="str">
        <f ca="1">IFERROR(__xludf.DUMMYFUNCTION("googletranslate(F3535,""en"",""ja"")"),"N-アセチルグルコサミドとクレアチニンの比率の測定")</f>
        <v>N-アセチルグルコサミドとクレアチニンの比率の測定</v>
      </c>
    </row>
    <row r="3536" spans="1:9" ht="30">
      <c r="A3536" s="3" t="s">
        <v>6</v>
      </c>
      <c r="B3536" s="3" t="s">
        <v>14593</v>
      </c>
      <c r="C3536" s="3" t="s">
        <v>14594</v>
      </c>
      <c r="D3536" s="3" t="s">
        <v>14594</v>
      </c>
      <c r="E3536" s="3" t="s">
        <v>14595</v>
      </c>
      <c r="F3536" s="3" t="s">
        <v>14596</v>
      </c>
      <c r="G3536" s="3" t="str">
        <f ca="1">IFERROR(__xludf.DUMMYFUNCTION("googletranslate(D3536,""en"",""ja"")"),"ナトリウム・カリウム")</f>
        <v>ナトリウム・カリウム</v>
      </c>
      <c r="H3536" s="3" t="str">
        <f ca="1">IFERROR(__xludf.DUMMYFUNCTION("googletranslate(E3536,""en"",""ja"")"),"生物学的標本中のカリウムに対するナトリウムの相対的な測定値 (比率またはパーセンテージ)。")</f>
        <v>生物学的標本中のカリウムに対するナトリウムの相対的な測定値 (比率またはパーセンテージ)。</v>
      </c>
      <c r="I3536" s="3" t="str">
        <f ca="1">IFERROR(__xludf.DUMMYFUNCTION("googletranslate(F3536,""en"",""ja"")"),"ナトリウムとカリウムの比率の測定")</f>
        <v>ナトリウムとカリウムの比率の測定</v>
      </c>
    </row>
    <row r="3537" spans="1:9" ht="45">
      <c r="A3537" s="3" t="s">
        <v>6</v>
      </c>
      <c r="B3537" s="3" t="s">
        <v>14597</v>
      </c>
      <c r="C3537" s="3" t="s">
        <v>14598</v>
      </c>
      <c r="D3537" s="3" t="s">
        <v>14599</v>
      </c>
      <c r="E3537" s="3" t="s">
        <v>14600</v>
      </c>
      <c r="F3537" s="3" t="s">
        <v>14601</v>
      </c>
      <c r="G3537" s="3" t="str">
        <f ca="1">IFERROR(__xludf.DUMMYFUNCTION("googletranslate(D3537,""en"",""ja"")"),"アロルフィン;アントルフィン; N-アリルノルモルヒネ;ナロルフィン")</f>
        <v>アロルフィン;アントルフィン; N-アリルノルモルヒネ;ナロルフィン</v>
      </c>
      <c r="H3537" s="3" t="str">
        <f ca="1">IFERROR(__xludf.DUMMYFUNCTION("googletranslate(E3537,""en"",""ja"")"),"生物学的標本中のナロルフィンの測定。")</f>
        <v>生物学的標本中のナロルフィンの測定。</v>
      </c>
      <c r="I3537" s="3" t="str">
        <f ca="1">IFERROR(__xludf.DUMMYFUNCTION("googletranslate(F3537,""en"",""ja"")"),"ナロルフィンの測定")</f>
        <v>ナロルフィンの測定</v>
      </c>
    </row>
    <row r="3538" spans="1:9" ht="30">
      <c r="A3538" s="3" t="s">
        <v>6</v>
      </c>
      <c r="B3538" s="3" t="s">
        <v>14602</v>
      </c>
      <c r="C3538" s="3" t="s">
        <v>14603</v>
      </c>
      <c r="D3538" s="3" t="s">
        <v>14604</v>
      </c>
      <c r="E3538" s="3" t="s">
        <v>14605</v>
      </c>
      <c r="F3538" s="3" t="s">
        <v>14606</v>
      </c>
      <c r="G3538" s="3" t="str">
        <f ca="1">IFERROR(__xludf.DUMMYFUNCTION("googletranslate(D3538,""en"",""ja"")"),"ナンドロロン;ノランドロステノロン;ノルテストステロン")</f>
        <v>ナンドロロン;ノランドロステノロン;ノルテストステロン</v>
      </c>
      <c r="H3538" s="3" t="str">
        <f ca="1">IFERROR(__xludf.DUMMYFUNCTION("googletranslate(E3538,""en"",""ja"")"),"生物学的標本中のナンドロロンの測定。")</f>
        <v>生物学的標本中のナンドロロンの測定。</v>
      </c>
      <c r="I3538" s="3" t="str">
        <f ca="1">IFERROR(__xludf.DUMMYFUNCTION("googletranslate(F3538,""en"",""ja"")"),"ナンドロロンの測定")</f>
        <v>ナンドロロンの測定</v>
      </c>
    </row>
    <row r="3539" spans="1:9">
      <c r="A3539" s="3" t="s">
        <v>6</v>
      </c>
      <c r="B3539" s="3" t="s">
        <v>14607</v>
      </c>
      <c r="C3539" s="3" t="s">
        <v>14608</v>
      </c>
      <c r="D3539" s="3" t="s">
        <v>14608</v>
      </c>
      <c r="E3539" s="3" t="s">
        <v>14609</v>
      </c>
      <c r="F3539" s="3" t="s">
        <v>14610</v>
      </c>
      <c r="G3539" s="3" t="str">
        <f ca="1">IFERROR(__xludf.DUMMYFUNCTION("googletranslate(D3539,""en"",""ja"")"),"ナフィロン")</f>
        <v>ナフィロン</v>
      </c>
      <c r="H3539" s="3" t="str">
        <f ca="1">IFERROR(__xludf.DUMMYFUNCTION("googletranslate(E3539,""en"",""ja"")"),"生物学的標本中のナフィロンの測定。")</f>
        <v>生物学的標本中のナフィロンの測定。</v>
      </c>
      <c r="I3539" s="3" t="str">
        <f ca="1">IFERROR(__xludf.DUMMYFUNCTION("googletranslate(F3539,""en"",""ja"")"),"ナフィロンの測定")</f>
        <v>ナフィロンの測定</v>
      </c>
    </row>
    <row r="3540" spans="1:9" ht="45">
      <c r="A3540" s="3" t="s">
        <v>503</v>
      </c>
      <c r="B3540" s="3" t="s">
        <v>14611</v>
      </c>
      <c r="C3540" s="3" t="s">
        <v>14612</v>
      </c>
      <c r="D3540" s="3" t="s">
        <v>14612</v>
      </c>
      <c r="E3540" s="3" t="s">
        <v>14613</v>
      </c>
      <c r="F3540" s="3" t="s">
        <v>14612</v>
      </c>
      <c r="G3540" s="3" t="str">
        <f ca="1">IFERROR(__xludf.DUMMYFUNCTION("googletranslate(D3540,""en"",""ja"")"),"国の起源")</f>
        <v>国の起源</v>
      </c>
      <c r="H3540" s="3" t="str">
        <f ca="1">IFERROR(__xludf.DUMMYFUNCTION("googletranslate(E3540,""en"",""ja"")"),"現在居住している国に関係なく、その人の出身国に基づいて分類するシステム。")</f>
        <v>現在居住している国に関係なく、その人の出身国に基づいて分類するシステム。</v>
      </c>
      <c r="I3540" s="3" t="str">
        <f ca="1">IFERROR(__xludf.DUMMYFUNCTION("googletranslate(F3540,""en"",""ja"")"),"国の起源")</f>
        <v>国の起源</v>
      </c>
    </row>
    <row r="3541" spans="1:9" ht="30">
      <c r="A3541" s="3" t="s">
        <v>210</v>
      </c>
      <c r="B3541" s="3" t="s">
        <v>14614</v>
      </c>
      <c r="C3541" s="3" t="s">
        <v>14615</v>
      </c>
      <c r="D3541" s="3" t="s">
        <v>14615</v>
      </c>
      <c r="E3541" s="3" t="s">
        <v>14616</v>
      </c>
      <c r="F3541" s="3" t="s">
        <v>14615</v>
      </c>
      <c r="G3541" s="3" t="str">
        <f ca="1">IFERROR(__xludf.DUMMYFUNCTION("googletranslate(D3541,""en"",""ja"")"),"2 つ以上の新しい骨病変インジケーター")</f>
        <v>2 つ以上の新しい骨病変インジケーター</v>
      </c>
      <c r="H3541" s="3" t="str">
        <f ca="1">IFERROR(__xludf.DUMMYFUNCTION("googletranslate(E3541,""en"",""ja"")"),"基準時点と比較して、2 つ以上の新しい骨病変があるかどうかに関する指標。")</f>
        <v>基準時点と比較して、2 つ以上の新しい骨病変があるかどうかに関する指標。</v>
      </c>
      <c r="I3541" s="3" t="str">
        <f ca="1">IFERROR(__xludf.DUMMYFUNCTION("googletranslate(F3541,""en"",""ja"")"),"2 つ以上の新しい骨病変インジケーター")</f>
        <v>2 つ以上の新しい骨病変インジケーター</v>
      </c>
    </row>
    <row r="3542" spans="1:9" ht="30">
      <c r="A3542" s="3" t="s">
        <v>210</v>
      </c>
      <c r="B3542" s="3" t="s">
        <v>14617</v>
      </c>
      <c r="C3542" s="3" t="s">
        <v>14618</v>
      </c>
      <c r="D3542" s="3" t="s">
        <v>14618</v>
      </c>
      <c r="E3542" s="3" t="s">
        <v>14619</v>
      </c>
      <c r="F3542" s="3" t="s">
        <v>14618</v>
      </c>
      <c r="G3542" s="3" t="str">
        <f ca="1">IFERROR(__xludf.DUMMYFUNCTION("googletranslate(D3542,""en"",""ja"")"),"新たな骨病変の数")</f>
        <v>新たな骨病変の数</v>
      </c>
      <c r="H3542" s="3" t="str">
        <f ca="1">IFERROR(__xludf.DUMMYFUNCTION("googletranslate(E3542,""en"",""ja"")"),"基準時点と比較した、骨内の新たな病変の数。")</f>
        <v>基準時点と比較した、骨内の新たな病変の数。</v>
      </c>
      <c r="I3542" s="3" t="str">
        <f ca="1">IFERROR(__xludf.DUMMYFUNCTION("googletranslate(F3542,""en"",""ja"")"),"新たな骨病変の数")</f>
        <v>新たな骨病変の数</v>
      </c>
    </row>
    <row r="3543" spans="1:9">
      <c r="A3543" s="3" t="s">
        <v>51</v>
      </c>
      <c r="B3543" s="3" t="s">
        <v>14620</v>
      </c>
      <c r="C3543" s="3" t="s">
        <v>14621</v>
      </c>
      <c r="D3543" s="3" t="s">
        <v>14621</v>
      </c>
      <c r="E3543" s="3" t="s">
        <v>14622</v>
      </c>
      <c r="F3543" s="3" t="s">
        <v>14623</v>
      </c>
      <c r="G3543" s="3" t="str">
        <f ca="1">IFERROR(__xludf.DUMMYFUNCTION("googletranslate(D3543,""en"",""ja"")"),"ニトロベンゼン")</f>
        <v>ニトロベンゼン</v>
      </c>
      <c r="H3543" s="3" t="str">
        <f ca="1">IFERROR(__xludf.DUMMYFUNCTION("googletranslate(E3543,""en"",""ja"")"),"試料中のニトロベンゼンの測定。")</f>
        <v>試料中のニトロベンゼンの測定。</v>
      </c>
      <c r="I3543" s="3" t="str">
        <f ca="1">IFERROR(__xludf.DUMMYFUNCTION("googletranslate(F3543,""en"",""ja"")"),"ニトロベンゼンの測定")</f>
        <v>ニトロベンゼンの測定</v>
      </c>
    </row>
    <row r="3544" spans="1:9">
      <c r="A3544" s="3" t="s">
        <v>6</v>
      </c>
      <c r="B3544" s="3" t="s">
        <v>14624</v>
      </c>
      <c r="C3544" s="3" t="s">
        <v>14625</v>
      </c>
      <c r="D3544" s="3" t="s">
        <v>14626</v>
      </c>
      <c r="E3544" s="3" t="s">
        <v>14627</v>
      </c>
      <c r="F3544" s="3" t="s">
        <v>14628</v>
      </c>
      <c r="G3544" s="3" t="str">
        <f ca="1">IFERROR(__xludf.DUMMYFUNCTION("googletranslate(D3544,""en"",""ja"")"),"ノシセプチン;オーファニン FQ")</f>
        <v>ノシセプチン;オーファニン FQ</v>
      </c>
      <c r="H3544" s="3" t="str">
        <f ca="1">IFERROR(__xludf.DUMMYFUNCTION("googletranslate(E3544,""en"",""ja"")"),"生物学的標本中のノシセプチンの測定。")</f>
        <v>生物学的標本中のノシセプチンの測定。</v>
      </c>
      <c r="I3544" s="3" t="str">
        <f ca="1">IFERROR(__xludf.DUMMYFUNCTION("googletranslate(F3544,""en"",""ja"")"),"ノシセプチンの測定")</f>
        <v>ノシセプチンの測定</v>
      </c>
    </row>
    <row r="3545" spans="1:9">
      <c r="A3545" s="3" t="s">
        <v>6</v>
      </c>
      <c r="B3545" s="3" t="s">
        <v>14629</v>
      </c>
      <c r="C3545" s="3" t="s">
        <v>14630</v>
      </c>
      <c r="D3545" s="3" t="s">
        <v>14630</v>
      </c>
      <c r="E3545" s="3" t="s">
        <v>14631</v>
      </c>
      <c r="F3545" s="3" t="s">
        <v>14632</v>
      </c>
      <c r="G3545" s="3" t="str">
        <f ca="1">IFERROR(__xludf.DUMMYFUNCTION("googletranslate(D3545,""en"",""ja"")"),"ノルクロステボル")</f>
        <v>ノルクロステボル</v>
      </c>
      <c r="H3545" s="3" t="str">
        <f ca="1">IFERROR(__xludf.DUMMYFUNCTION("googletranslate(E3545,""en"",""ja"")"),"生物学的標本中のノルクロステボルの測定。")</f>
        <v>生物学的標本中のノルクロステボルの測定。</v>
      </c>
      <c r="I3545" s="3" t="str">
        <f ca="1">IFERROR(__xludf.DUMMYFUNCTION("googletranslate(F3545,""en"",""ja"")"),"ノルクロステボルの測定")</f>
        <v>ノルクロステボルの測定</v>
      </c>
    </row>
    <row r="3546" spans="1:9" ht="30">
      <c r="A3546" s="3" t="s">
        <v>51</v>
      </c>
      <c r="B3546" s="3" t="s">
        <v>14633</v>
      </c>
      <c r="C3546" s="3" t="s">
        <v>14634</v>
      </c>
      <c r="D3546" s="3" t="s">
        <v>14635</v>
      </c>
      <c r="E3546" s="3" t="s">
        <v>14636</v>
      </c>
      <c r="F3546" s="3" t="s">
        <v>14637</v>
      </c>
      <c r="G3546" s="3" t="str">
        <f ca="1">IFERROR(__xludf.DUMMYFUNCTION("googletranslate(D3546,""en"",""ja"")"),"ニコチン 1-N-オキシド;ニコチン-1 N-オキシド")</f>
        <v>ニコチン 1-N-オキシド;ニコチン-1 N-オキシド</v>
      </c>
      <c r="H3546" s="3" t="str">
        <f ca="1">IFERROR(__xludf.DUMMYFUNCTION("googletranslate(E3546,""en"",""ja"")"),"標本中のニコチン 1-N-オキシドの測定。")</f>
        <v>標本中のニコチン 1-N-オキシドの測定。</v>
      </c>
      <c r="I3546" s="3" t="str">
        <f ca="1">IFERROR(__xludf.DUMMYFUNCTION("googletranslate(F3546,""en"",""ja"")"),"ニコチン 1-N-オキシドの測定")</f>
        <v>ニコチン 1-N-オキシドの測定</v>
      </c>
    </row>
    <row r="3547" spans="1:9" ht="45">
      <c r="A3547" s="3" t="s">
        <v>6</v>
      </c>
      <c r="B3547" s="3" t="s">
        <v>14638</v>
      </c>
      <c r="C3547" s="3" t="s">
        <v>14639</v>
      </c>
      <c r="D3547" s="3" t="s">
        <v>14640</v>
      </c>
      <c r="E3547" s="3" t="s">
        <v>14641</v>
      </c>
      <c r="F3547" s="3" t="s">
        <v>14642</v>
      </c>
      <c r="G3547" s="3" t="str">
        <f ca="1">IFERROR(__xludf.DUMMYFUNCTION("googletranslate(D3547,""en"",""ja"")"),"5 ヌクレオチダーゼをプライムする。 5'-リボヌクレオチドホスホヒドロラーゼ")</f>
        <v>5 ヌクレオチダーゼをプライムする。 5'-リボヌクレオチドホスホヒドロラーゼ</v>
      </c>
      <c r="H3547" s="3" t="str">
        <f ca="1">IFERROR(__xludf.DUMMYFUNCTION("googletranslate(E3547,""en"",""ja"")"),"生物学的標本中の 5'-ヌクレオチダーゼの測定。")</f>
        <v>生物学的標本中の 5'-ヌクレオチダーゼの測定。</v>
      </c>
      <c r="I3547" s="3" t="str">
        <f ca="1">IFERROR(__xludf.DUMMYFUNCTION("googletranslate(F3547,""en"",""ja"")"),"5 プライムヌクレオチダーゼ測定")</f>
        <v>5 プライムヌクレオチダーゼ測定</v>
      </c>
    </row>
    <row r="3548" spans="1:9" ht="45">
      <c r="A3548" s="3" t="s">
        <v>51</v>
      </c>
      <c r="B3548" s="3" t="s">
        <v>14643</v>
      </c>
      <c r="C3548" s="3" t="s">
        <v>14644</v>
      </c>
      <c r="D3548" s="3" t="s">
        <v>14645</v>
      </c>
      <c r="E3548" s="3" t="s">
        <v>14646</v>
      </c>
      <c r="F3548" s="3" t="s">
        <v>14647</v>
      </c>
      <c r="G3548" s="3" t="str">
        <f ca="1">IFERROR(__xludf.DUMMYFUNCTION("googletranslate(D3548,""en"",""ja"")"),"ニコチングルクロニド;ニコチン N-グルクロニド;ニコチングルクロニド")</f>
        <v>ニコチングルクロニド;ニコチン N-グルクロニド;ニコチングルクロニド</v>
      </c>
      <c r="H3548" s="3" t="str">
        <f ca="1">IFERROR(__xludf.DUMMYFUNCTION("googletranslate(E3548,""en"",""ja"")"),"検体中のニコチングルクロニドの測定。")</f>
        <v>検体中のニコチングルクロニドの測定。</v>
      </c>
      <c r="I3548" s="3" t="str">
        <f ca="1">IFERROR(__xludf.DUMMYFUNCTION("googletranslate(F3548,""en"",""ja"")"),"ニコチングルクロニド測定")</f>
        <v>ニコチングルクロニド測定</v>
      </c>
    </row>
    <row r="3549" spans="1:9" ht="45">
      <c r="A3549" s="3" t="s">
        <v>6</v>
      </c>
      <c r="B3549" s="3" t="s">
        <v>14643</v>
      </c>
      <c r="C3549" s="3" t="s">
        <v>14644</v>
      </c>
      <c r="D3549" s="3" t="s">
        <v>14645</v>
      </c>
      <c r="E3549" s="3" t="s">
        <v>14646</v>
      </c>
      <c r="F3549" s="3" t="s">
        <v>14647</v>
      </c>
      <c r="G3549" s="3" t="str">
        <f ca="1">IFERROR(__xludf.DUMMYFUNCTION("googletranslate(D3549,""en"",""ja"")"),"ニコチングルクロニド;ニコチン N-グルクロニド;ニコチングルクロニド")</f>
        <v>ニコチングルクロニド;ニコチン N-グルクロニド;ニコチングルクロニド</v>
      </c>
      <c r="H3549" s="3" t="str">
        <f ca="1">IFERROR(__xludf.DUMMYFUNCTION("googletranslate(E3549,""en"",""ja"")"),"検体中のニコチングルクロニドの測定。")</f>
        <v>検体中のニコチングルクロニドの測定。</v>
      </c>
      <c r="I3549" s="3" t="str">
        <f ca="1">IFERROR(__xludf.DUMMYFUNCTION("googletranslate(F3549,""en"",""ja"")"),"ニコチングルクロニド測定")</f>
        <v>ニコチングルクロニド測定</v>
      </c>
    </row>
    <row r="3550" spans="1:9" ht="45">
      <c r="A3550" s="3" t="s">
        <v>6</v>
      </c>
      <c r="B3550" s="3" t="s">
        <v>14648</v>
      </c>
      <c r="C3550" s="3" t="s">
        <v>14649</v>
      </c>
      <c r="D3550" s="3" t="s">
        <v>14650</v>
      </c>
      <c r="E3550" s="3" t="s">
        <v>14651</v>
      </c>
      <c r="F3550" s="3" t="s">
        <v>14652</v>
      </c>
      <c r="G3550" s="3" t="str">
        <f ca="1">IFERROR(__xludf.DUMMYFUNCTION("googletranslate(D3550,""en"",""ja"")"),"ニコチンアミドホスホリボシルトランスフェラーゼ;ビスファチン")</f>
        <v>ニコチンアミドホスホリボシルトランスフェラーゼ;ビスファチン</v>
      </c>
      <c r="H3550" s="3" t="str">
        <f ca="1">IFERROR(__xludf.DUMMYFUNCTION("googletranslate(E3550,""en"",""ja"")"),"生物学的標本中のニコチンアミド ホスホリボシルトランスフェラーゼの測定。")</f>
        <v>生物学的標本中のニコチンアミド ホスホリボシルトランスフェラーゼの測定。</v>
      </c>
      <c r="I3550" s="3" t="str">
        <f ca="1">IFERROR(__xludf.DUMMYFUNCTION("googletranslate(F3550,""en"",""ja"")"),"ニコチンアミドホスホリボシルトランスフェラーゼの測定")</f>
        <v>ニコチンアミドホスホリボシルトランスフェラーゼの測定</v>
      </c>
    </row>
    <row r="3551" spans="1:9" ht="30">
      <c r="A3551" s="3" t="s">
        <v>81</v>
      </c>
      <c r="B3551" s="3" t="s">
        <v>14653</v>
      </c>
      <c r="C3551" s="3" t="s">
        <v>14654</v>
      </c>
      <c r="D3551" s="3" t="s">
        <v>14654</v>
      </c>
      <c r="E3551" s="3" t="s">
        <v>14655</v>
      </c>
      <c r="F3551" s="3" t="s">
        <v>14654</v>
      </c>
      <c r="G3551" s="3" t="str">
        <f ca="1">IFERROR(__xludf.DUMMYFUNCTION("googletranslate(D3551,""en"",""ja"")"),"ネイティブ心臓弁介入タイプ")</f>
        <v>ネイティブ心臓弁介入タイプ</v>
      </c>
      <c r="H3551" s="3" t="str">
        <f ca="1">IFERROR(__xludf.DUMMYFUNCTION("googletranslate(E3551,""en"",""ja"")"),"天然心臓弁に対してどのような種類の介入が行われたかの説明。")</f>
        <v>天然心臓弁に対してどのような種類の介入が行われたかの説明。</v>
      </c>
      <c r="I3551" s="3" t="str">
        <f ca="1">IFERROR(__xludf.DUMMYFUNCTION("googletranslate(F3551,""en"",""ja"")"),"ネイティブ心臓弁介入タイプ")</f>
        <v>ネイティブ心臓弁介入タイプ</v>
      </c>
    </row>
    <row r="3552" spans="1:9" ht="30">
      <c r="A3552" s="3" t="s">
        <v>67</v>
      </c>
      <c r="B3552" s="3" t="s">
        <v>14656</v>
      </c>
      <c r="C3552" s="3" t="s">
        <v>14657</v>
      </c>
      <c r="D3552" s="3" t="s">
        <v>14657</v>
      </c>
      <c r="E3552" s="3" t="s">
        <v>14658</v>
      </c>
      <c r="F3552" s="3" t="s">
        <v>14659</v>
      </c>
      <c r="G3552" s="3" t="str">
        <f ca="1">IFERROR(__xludf.DUMMYFUNCTION("googletranslate(D3552,""en"",""ja"")"),"ノカルディア・キリアシゲオルギカ")</f>
        <v>ノカルディア・キリアシゲオルギカ</v>
      </c>
      <c r="H3552" s="3" t="str">
        <f ca="1">IFERROR(__xludf.DUMMYFUNCTION("googletranslate(E3552,""en"",""ja"")"),"生物学的標本中の Nocardia cyriacigeorgica の測定。")</f>
        <v>生物学的標本中の Nocardia cyriacigeorgica の測定。</v>
      </c>
      <c r="I3552" s="3" t="str">
        <f ca="1">IFERROR(__xludf.DUMMYFUNCTION("googletranslate(F3552,""en"",""ja"")"),"Nocardia cyriacigeorgica の測定")</f>
        <v>Nocardia cyriacigeorgica の測定</v>
      </c>
    </row>
    <row r="3553" spans="1:9" ht="30">
      <c r="A3553" s="3" t="s">
        <v>51</v>
      </c>
      <c r="B3553" s="3" t="s">
        <v>14660</v>
      </c>
      <c r="C3553" s="3" t="s">
        <v>14661</v>
      </c>
      <c r="D3553" s="3" t="s">
        <v>14662</v>
      </c>
      <c r="E3553" s="3" t="s">
        <v>14663</v>
      </c>
      <c r="F3553" s="3" t="s">
        <v>14664</v>
      </c>
      <c r="G3553" s="3" t="str">
        <f ca="1">IFERROR(__xludf.DUMMYFUNCTION("googletranslate(D3553,""en"",""ja"")"),"N-ニトロソジエチルアミン; NDEA")</f>
        <v>N-ニトロソジエチルアミン; NDEA</v>
      </c>
      <c r="H3553" s="3" t="str">
        <f ca="1">IFERROR(__xludf.DUMMYFUNCTION("googletranslate(E3553,""en"",""ja"")"),"試料中の N-ニトロソジエチルアミンの測定。")</f>
        <v>試料中の N-ニトロソジエチルアミンの測定。</v>
      </c>
      <c r="I3553" s="3" t="str">
        <f ca="1">IFERROR(__xludf.DUMMYFUNCTION("googletranslate(F3553,""en"",""ja"")"),"N-ニトロソジエチルアミンの測定")</f>
        <v>N-ニトロソジエチルアミンの測定</v>
      </c>
    </row>
    <row r="3554" spans="1:9" ht="30">
      <c r="A3554" s="3" t="s">
        <v>51</v>
      </c>
      <c r="B3554" s="3" t="s">
        <v>14665</v>
      </c>
      <c r="C3554" s="3" t="s">
        <v>14666</v>
      </c>
      <c r="D3554" s="3" t="s">
        <v>14667</v>
      </c>
      <c r="E3554" s="3" t="s">
        <v>14668</v>
      </c>
      <c r="F3554" s="3" t="s">
        <v>14669</v>
      </c>
      <c r="G3554" s="3" t="str">
        <f ca="1">IFERROR(__xludf.DUMMYFUNCTION("googletranslate(D3554,""en"",""ja"")"),"N-ニトロソジエタノールアミン;ンデラ")</f>
        <v>N-ニトロソジエタノールアミン;ンデラ</v>
      </c>
      <c r="H3554" s="3" t="str">
        <f ca="1">IFERROR(__xludf.DUMMYFUNCTION("googletranslate(E3554,""en"",""ja"")"),"試料中の N-ニトロソジエタノールアミンの測定。")</f>
        <v>試料中の N-ニトロソジエタノールアミンの測定。</v>
      </c>
      <c r="I3554" s="3" t="str">
        <f ca="1">IFERROR(__xludf.DUMMYFUNCTION("googletranslate(F3554,""en"",""ja"")"),"N-ニトロソジエタノールアミンの測定")</f>
        <v>N-ニトロソジエタノールアミンの測定</v>
      </c>
    </row>
    <row r="3555" spans="1:9">
      <c r="A3555" s="3" t="s">
        <v>185</v>
      </c>
      <c r="B3555" s="3" t="s">
        <v>14670</v>
      </c>
      <c r="C3555" s="3" t="s">
        <v>14671</v>
      </c>
      <c r="D3555" s="3" t="s">
        <v>14671</v>
      </c>
      <c r="E3555" s="3" t="s">
        <v>14672</v>
      </c>
      <c r="F3555" s="3" t="s">
        <v>14671</v>
      </c>
      <c r="G3555" s="3" t="str">
        <f ca="1">IFERROR(__xludf.DUMMYFUNCTION("googletranslate(D3555,""en"",""ja"")"),"ニードルゲージ")</f>
        <v>ニードルゲージ</v>
      </c>
      <c r="H3555" s="3" t="str">
        <f ca="1">IFERROR(__xludf.DUMMYFUNCTION("googletranslate(E3555,""en"",""ja"")"),"針の外径を表す数値。 (NCI)")</f>
        <v>針の外径を表す数値。 (NCI)</v>
      </c>
      <c r="I3555" s="3" t="str">
        <f ca="1">IFERROR(__xludf.DUMMYFUNCTION("googletranslate(F3555,""en"",""ja"")"),"ニードルゲージ")</f>
        <v>ニードルゲージ</v>
      </c>
    </row>
    <row r="3556" spans="1:9" ht="30">
      <c r="A3556" s="3" t="s">
        <v>51</v>
      </c>
      <c r="B3556" s="3" t="s">
        <v>14673</v>
      </c>
      <c r="C3556" s="3" t="s">
        <v>14674</v>
      </c>
      <c r="D3556" s="3" t="s">
        <v>14675</v>
      </c>
      <c r="E3556" s="3" t="s">
        <v>14676</v>
      </c>
      <c r="F3556" s="3" t="s">
        <v>14677</v>
      </c>
      <c r="G3556" s="3" t="str">
        <f ca="1">IFERROR(__xludf.DUMMYFUNCTION("googletranslate(D3556,""en"",""ja"")"),"N-ニトロソジメチルアミン; NDMA")</f>
        <v>N-ニトロソジメチルアミン; NDMA</v>
      </c>
      <c r="H3556" s="3" t="str">
        <f ca="1">IFERROR(__xludf.DUMMYFUNCTION("googletranslate(E3556,""en"",""ja"")"),"試料中の N-ニトロソジメチルアミンの測定。")</f>
        <v>試料中の N-ニトロソジメチルアミンの測定。</v>
      </c>
      <c r="I3556" s="3" t="str">
        <f ca="1">IFERROR(__xludf.DUMMYFUNCTION("googletranslate(F3556,""en"",""ja"")"),"N-ニトロソジメチルアミンの測定")</f>
        <v>N-ニトロソジメチルアミンの測定</v>
      </c>
    </row>
    <row r="3557" spans="1:9" ht="45">
      <c r="A3557" s="3" t="s">
        <v>6</v>
      </c>
      <c r="B3557" s="3" t="s">
        <v>14678</v>
      </c>
      <c r="C3557" s="3" t="s">
        <v>14679</v>
      </c>
      <c r="D3557" s="3" t="s">
        <v>14680</v>
      </c>
      <c r="E3557" s="3" t="s">
        <v>14681</v>
      </c>
      <c r="F3557" s="3" t="s">
        <v>14682</v>
      </c>
      <c r="G3557" s="3" t="str">
        <f ca="1">IFERROR(__xludf.DUMMYFUNCTION("googletranslate(D3557,""en"",""ja"")"),"デスメチロランザピン; DMO; N-デスメチロランザピン;ノロランザピン")</f>
        <v>デスメチロランザピン; DMO; N-デスメチロランザピン;ノロランザピン</v>
      </c>
      <c r="H3557" s="3" t="str">
        <f ca="1">IFERROR(__xludf.DUMMYFUNCTION("googletranslate(E3557,""en"",""ja"")"),"生物学的標本中の N-デスメチロランザピンの測定。")</f>
        <v>生物学的標本中の N-デスメチロランザピンの測定。</v>
      </c>
      <c r="I3557" s="3" t="str">
        <f ca="1">IFERROR(__xludf.DUMMYFUNCTION("googletranslate(F3557,""en"",""ja"")"),"N-デスメチロランザピンの測定")</f>
        <v>N-デスメチロランザピンの測定</v>
      </c>
    </row>
    <row r="3558" spans="1:9" ht="30">
      <c r="A3558" s="3" t="s">
        <v>6</v>
      </c>
      <c r="B3558" s="3" t="s">
        <v>14683</v>
      </c>
      <c r="C3558" s="3" t="s">
        <v>14684</v>
      </c>
      <c r="D3558" s="3" t="s">
        <v>14684</v>
      </c>
      <c r="E3558" s="3" t="s">
        <v>14685</v>
      </c>
      <c r="F3558" s="3" t="s">
        <v>14686</v>
      </c>
      <c r="G3558" s="3" t="str">
        <f ca="1">IFERROR(__xludf.DUMMYFUNCTION("googletranslate(D3558,""en"",""ja"")"),"N-デメチラーゼ")</f>
        <v>N-デメチラーゼ</v>
      </c>
      <c r="H3558" s="3" t="str">
        <f ca="1">IFERROR(__xludf.DUMMYFUNCTION("googletranslate(E3558,""en"",""ja"")"),"生物学的標本中の N-デメチラーゼの測定。")</f>
        <v>生物学的標本中の N-デメチラーゼの測定。</v>
      </c>
      <c r="I3558" s="3" t="str">
        <f ca="1">IFERROR(__xludf.DUMMYFUNCTION("googletranslate(F3558,""en"",""ja"")"),"N-デメチラーゼの測定")</f>
        <v>N-デメチラーゼの測定</v>
      </c>
    </row>
    <row r="3559" spans="1:9" ht="30">
      <c r="A3559" s="3" t="s">
        <v>6</v>
      </c>
      <c r="B3559" s="3" t="s">
        <v>14687</v>
      </c>
      <c r="C3559" s="3" t="s">
        <v>14688</v>
      </c>
      <c r="D3559" s="3" t="s">
        <v>14689</v>
      </c>
      <c r="E3559" s="3" t="s">
        <v>14690</v>
      </c>
      <c r="F3559" s="3" t="s">
        <v>14691</v>
      </c>
      <c r="G3559" s="3" t="str">
        <f ca="1">IFERROR(__xludf.DUMMYFUNCTION("googletranslate(D3559,""en"",""ja"")"),"N-デスメチルトラマドール; N-DSMT")</f>
        <v>N-デスメチルトラマドール; N-DSMT</v>
      </c>
      <c r="H3559" s="3" t="str">
        <f ca="1">IFERROR(__xludf.DUMMYFUNCTION("googletranslate(E3559,""en"",""ja"")"),"生物学的標本中の N-デスメチルトラマドールの測定。")</f>
        <v>生物学的標本中の N-デスメチルトラマドールの測定。</v>
      </c>
      <c r="I3559" s="3" t="str">
        <f ca="1">IFERROR(__xludf.DUMMYFUNCTION("googletranslate(F3559,""en"",""ja"")"),"N-デスメチルトラマドールの測定")</f>
        <v>N-デスメチルトラマドールの測定</v>
      </c>
    </row>
    <row r="3560" spans="1:9" ht="30">
      <c r="A3560" s="3" t="s">
        <v>185</v>
      </c>
      <c r="B3560" s="3" t="s">
        <v>14692</v>
      </c>
      <c r="C3560" s="3" t="s">
        <v>14693</v>
      </c>
      <c r="D3560" s="3" t="s">
        <v>14693</v>
      </c>
      <c r="E3560" s="3" t="s">
        <v>14694</v>
      </c>
      <c r="F3560" s="3" t="s">
        <v>14693</v>
      </c>
      <c r="G3560" s="3" t="str">
        <f ca="1">IFERROR(__xludf.DUMMYFUNCTION("googletranslate(D3560,""en"",""ja"")"),"最も近いジョイント")</f>
        <v>最も近いジョイント</v>
      </c>
      <c r="H3560" s="3" t="str">
        <f ca="1">IFERROR(__xludf.DUMMYFUNCTION("googletranslate(E3560,""en"",""ja"")"),"対象となるエンティティまたはオブジェクトに最も近い解剖学的関節。")</f>
        <v>対象となるエンティティまたはオブジェクトに最も近い解剖学的関節。</v>
      </c>
      <c r="I3560" s="3" t="str">
        <f ca="1">IFERROR(__xludf.DUMMYFUNCTION("googletranslate(F3560,""en"",""ja"")"),"最も近いジョイント")</f>
        <v>最も近いジョイント</v>
      </c>
    </row>
    <row r="3561" spans="1:9" ht="30">
      <c r="A3561" s="3" t="s">
        <v>118</v>
      </c>
      <c r="B3561" s="3" t="s">
        <v>14695</v>
      </c>
      <c r="C3561" s="3" t="s">
        <v>14696</v>
      </c>
      <c r="D3561" s="3" t="s">
        <v>14696</v>
      </c>
      <c r="E3561" s="3" t="s">
        <v>14697</v>
      </c>
      <c r="F3561" s="3" t="s">
        <v>14696</v>
      </c>
      <c r="G3561" s="3" t="str">
        <f ca="1">IFERROR(__xludf.DUMMYFUNCTION("googletranslate(D3561,""en"",""ja"")"),"首周り")</f>
        <v>首周り</v>
      </c>
      <c r="H3561" s="3" t="str">
        <f ca="1">IFERROR(__xludf.DUMMYFUNCTION("googletranslate(E3561,""en"",""ja"")"),"喉頭のすぐ下の首の周囲の測定値。")</f>
        <v>喉頭のすぐ下の首の周囲の測定値。</v>
      </c>
      <c r="I3561" s="3" t="str">
        <f ca="1">IFERROR(__xludf.DUMMYFUNCTION("googletranslate(F3561,""en"",""ja"")"),"首周り")</f>
        <v>首周り</v>
      </c>
    </row>
    <row r="3562" spans="1:9">
      <c r="A3562" s="3" t="s">
        <v>6</v>
      </c>
      <c r="B3562" s="3" t="s">
        <v>14698</v>
      </c>
      <c r="C3562" s="3" t="s">
        <v>14699</v>
      </c>
      <c r="D3562" s="3" t="s">
        <v>14699</v>
      </c>
      <c r="E3562" s="3" t="s">
        <v>14700</v>
      </c>
      <c r="F3562" s="3" t="s">
        <v>14701</v>
      </c>
      <c r="G3562" s="3" t="str">
        <f ca="1">IFERROR(__xludf.DUMMYFUNCTION("googletranslate(D3562,""en"",""ja"")"),"ネオプテリン")</f>
        <v>ネオプテリン</v>
      </c>
      <c r="H3562" s="3" t="str">
        <f ca="1">IFERROR(__xludf.DUMMYFUNCTION("googletranslate(E3562,""en"",""ja"")"),"生物学的標本中のネオプテリンの測定。")</f>
        <v>生物学的標本中のネオプテリンの測定。</v>
      </c>
      <c r="I3562" s="3" t="str">
        <f ca="1">IFERROR(__xludf.DUMMYFUNCTION("googletranslate(F3562,""en"",""ja"")"),"ネオプテリンの測定")</f>
        <v>ネオプテリンの測定</v>
      </c>
    </row>
    <row r="3563" spans="1:9" ht="30">
      <c r="A3563" s="3" t="s">
        <v>1557</v>
      </c>
      <c r="B3563" s="3" t="s">
        <v>14702</v>
      </c>
      <c r="C3563" s="3" t="s">
        <v>14703</v>
      </c>
      <c r="D3563" s="3" t="s">
        <v>14703</v>
      </c>
      <c r="E3563" s="3" t="s">
        <v>14704</v>
      </c>
      <c r="F3563" s="3" t="s">
        <v>14705</v>
      </c>
      <c r="G3563" s="3" t="str">
        <f ca="1">IFERROR(__xludf.DUMMYFUNCTION("googletranslate(D3563,""en"",""ja"")"),"血管新生")</f>
        <v>血管新生</v>
      </c>
      <c r="H3563" s="3" t="str">
        <f ca="1">IFERROR(__xludf.DUMMYFUNCTION("googletranslate(E3563,""en"",""ja"")"),"生物学的標本または位置における血管新生 (新しい血管の形成) の評価。")</f>
        <v>生物学的標本または位置における血管新生 (新しい血管の形成) の評価。</v>
      </c>
      <c r="I3563" s="3" t="str">
        <f ca="1">IFERROR(__xludf.DUMMYFUNCTION("googletranslate(F3563,""en"",""ja"")"),"血管新生の評価")</f>
        <v>血管新生の評価</v>
      </c>
    </row>
    <row r="3564" spans="1:9" ht="30">
      <c r="A3564" s="3" t="s">
        <v>6</v>
      </c>
      <c r="B3564" s="3" t="s">
        <v>14706</v>
      </c>
      <c r="C3564" s="3" t="s">
        <v>14707</v>
      </c>
      <c r="D3564" s="3" t="s">
        <v>14708</v>
      </c>
      <c r="E3564" s="3" t="s">
        <v>14709</v>
      </c>
      <c r="F3564" s="3" t="s">
        <v>14710</v>
      </c>
      <c r="G3564" s="3" t="str">
        <f ca="1">IFERROR(__xludf.DUMMYFUNCTION("googletranslate(D3564,""en"",""ja"")"),"ネフリン。 NPHS1 接着分子、ネフリン")</f>
        <v>ネフリン。 NPHS1 接着分子、ネフリン</v>
      </c>
      <c r="H3564" s="3" t="str">
        <f ca="1">IFERROR(__xludf.DUMMYFUNCTION("googletranslate(E3564,""en"",""ja"")"),"生物学的標本中のネフリンの測定。")</f>
        <v>生物学的標本中のネフリンの測定。</v>
      </c>
      <c r="I3564" s="3" t="str">
        <f ca="1">IFERROR(__xludf.DUMMYFUNCTION("googletranslate(F3564,""en"",""ja"")"),"ネフリン測定")</f>
        <v>ネフリン測定</v>
      </c>
    </row>
    <row r="3565" spans="1:9" ht="45">
      <c r="A3565" s="3" t="s">
        <v>6</v>
      </c>
      <c r="B3565" s="3" t="s">
        <v>14711</v>
      </c>
      <c r="C3565" s="3" t="s">
        <v>14712</v>
      </c>
      <c r="D3565" s="3" t="s">
        <v>14712</v>
      </c>
      <c r="E3565" s="3" t="s">
        <v>14713</v>
      </c>
      <c r="F3565" s="3" t="s">
        <v>14714</v>
      </c>
      <c r="G3565" s="3" t="str">
        <f ca="1">IFERROR(__xludf.DUMMYFUNCTION("googletranslate(D3565,""en"",""ja"")"),"好中球性骨髄球/リンパ球")</f>
        <v>好中球性骨髄球/リンパ球</v>
      </c>
      <c r="H3565" s="3" t="str">
        <f ca="1">IFERROR(__xludf.DUMMYFUNCTION("googletranslate(E3565,""en"",""ja"")"),"生物学的標本 (骨髄標本など) 中のリンパ球に対する好中球性骨髄球の相対的な測定値 (比率またはパーセンテージ)。")</f>
        <v>生物学的標本 (骨髄標本など) 中のリンパ球に対する好中球性骨髄球の相対的な測定値 (比率またはパーセンテージ)。</v>
      </c>
      <c r="I3565" s="3" t="str">
        <f ca="1">IFERROR(__xludf.DUMMYFUNCTION("googletranslate(F3565,""en"",""ja"")"),"好中球性骨髄球とリンパ球の比率の測定")</f>
        <v>好中球性骨髄球とリンパ球の比率の測定</v>
      </c>
    </row>
    <row r="3566" spans="1:9">
      <c r="A3566" s="3" t="s">
        <v>103</v>
      </c>
      <c r="B3566" s="3" t="s">
        <v>14715</v>
      </c>
      <c r="C3566" s="3" t="s">
        <v>14716</v>
      </c>
      <c r="D3566" s="3" t="s">
        <v>14716</v>
      </c>
      <c r="E3566" s="3" t="s">
        <v>14717</v>
      </c>
      <c r="F3566" s="3" t="s">
        <v>14718</v>
      </c>
      <c r="G3566" s="3" t="str">
        <f ca="1">IFERROR(__xludf.DUMMYFUNCTION("googletranslate(D3566,""en"",""ja"")"),"好中球")</f>
        <v>好中球</v>
      </c>
      <c r="H3566" s="3" t="str">
        <f ca="1">IFERROR(__xludf.DUMMYFUNCTION("googletranslate(E3566,""en"",""ja"")"),"生物学的標本中の好中球の測定。")</f>
        <v>生物学的標本中の好中球の測定。</v>
      </c>
      <c r="I3566" s="3" t="str">
        <f ca="1">IFERROR(__xludf.DUMMYFUNCTION("googletranslate(F3566,""en"",""ja"")"),"絶対好中球数")</f>
        <v>絶対好中球数</v>
      </c>
    </row>
    <row r="3567" spans="1:9">
      <c r="A3567" s="3" t="s">
        <v>6</v>
      </c>
      <c r="B3567" s="3" t="s">
        <v>14715</v>
      </c>
      <c r="C3567" s="3" t="s">
        <v>14716</v>
      </c>
      <c r="D3567" s="3" t="s">
        <v>14716</v>
      </c>
      <c r="E3567" s="3" t="s">
        <v>14717</v>
      </c>
      <c r="F3567" s="3" t="s">
        <v>14718</v>
      </c>
      <c r="G3567" s="3" t="str">
        <f ca="1">IFERROR(__xludf.DUMMYFUNCTION("googletranslate(D3567,""en"",""ja"")"),"好中球")</f>
        <v>好中球</v>
      </c>
      <c r="H3567" s="3" t="str">
        <f ca="1">IFERROR(__xludf.DUMMYFUNCTION("googletranslate(E3567,""en"",""ja"")"),"生物学的標本中の好中球の測定。")</f>
        <v>生物学的標本中の好中球の測定。</v>
      </c>
      <c r="I3567" s="3" t="str">
        <f ca="1">IFERROR(__xludf.DUMMYFUNCTION("googletranslate(F3567,""en"",""ja"")"),"絶対好中球数")</f>
        <v>絶対好中球数</v>
      </c>
    </row>
    <row r="3568" spans="1:9" ht="30">
      <c r="A3568" s="3" t="s">
        <v>6</v>
      </c>
      <c r="B3568" s="3" t="s">
        <v>14719</v>
      </c>
      <c r="C3568" s="3" t="s">
        <v>14720</v>
      </c>
      <c r="D3568" s="3" t="s">
        <v>14720</v>
      </c>
      <c r="E3568" s="3" t="s">
        <v>14721</v>
      </c>
      <c r="F3568" s="3" t="s">
        <v>14722</v>
      </c>
      <c r="G3568" s="3" t="str">
        <f ca="1">IFERROR(__xludf.DUMMYFUNCTION("googletranslate(D3568,""en"",""ja"")"),"無顆粒好中球")</f>
        <v>無顆粒好中球</v>
      </c>
      <c r="H3568" s="3" t="str">
        <f ca="1">IFERROR(__xludf.DUMMYFUNCTION("googletranslate(E3568,""en"",""ja"")"),"生物学的標本中の無顆粒好中球の測定。")</f>
        <v>生物学的標本中の無顆粒好中球の測定。</v>
      </c>
      <c r="I3568" s="3" t="str">
        <f ca="1">IFERROR(__xludf.DUMMYFUNCTION("googletranslate(F3568,""en"",""ja"")"),"無顆粒好中球の測定")</f>
        <v>無顆粒好中球の測定</v>
      </c>
    </row>
    <row r="3569" spans="1:9" ht="30">
      <c r="A3569" s="3" t="s">
        <v>6</v>
      </c>
      <c r="B3569" s="3" t="s">
        <v>14723</v>
      </c>
      <c r="C3569" s="3" t="s">
        <v>14724</v>
      </c>
      <c r="D3569" s="3" t="s">
        <v>14724</v>
      </c>
      <c r="E3569" s="3" t="s">
        <v>14725</v>
      </c>
      <c r="F3569" s="3" t="s">
        <v>14726</v>
      </c>
      <c r="G3569" s="3" t="str">
        <f ca="1">IFERROR(__xludf.DUMMYFUNCTION("googletranslate(D3569,""en"",""ja"")"),"好中球バンドの形態")</f>
        <v>好中球バンドの形態</v>
      </c>
      <c r="H3569" s="3" t="str">
        <f ca="1">IFERROR(__xludf.DUMMYFUNCTION("googletranslate(E3569,""en"",""ja"")"),"生物学的標本中の縞模様の好中球の測定。")</f>
        <v>生物学的標本中の縞模様の好中球の測定。</v>
      </c>
      <c r="I3569" s="3" t="str">
        <f ca="1">IFERROR(__xludf.DUMMYFUNCTION("googletranslate(F3569,""en"",""ja"")"),"好中球バンド形成数")</f>
        <v>好中球バンド形成数</v>
      </c>
    </row>
    <row r="3570" spans="1:9" ht="30">
      <c r="A3570" s="3" t="s">
        <v>6</v>
      </c>
      <c r="B3570" s="3" t="s">
        <v>14727</v>
      </c>
      <c r="C3570" s="3" t="s">
        <v>14728</v>
      </c>
      <c r="D3570" s="3" t="s">
        <v>14728</v>
      </c>
      <c r="E3570" s="3" t="s">
        <v>14729</v>
      </c>
      <c r="F3570" s="3" t="s">
        <v>14730</v>
      </c>
      <c r="G3570" s="3" t="str">
        <f ca="1">IFERROR(__xludf.DUMMYFUNCTION("googletranslate(D3570,""en"",""ja"")"),"好中球バンド形態/細胞総数")</f>
        <v>好中球バンド形態/細胞総数</v>
      </c>
      <c r="H3570" s="3" t="str">
        <f ca="1">IFERROR(__xludf.DUMMYFUNCTION("googletranslate(E3570,""en"",""ja"")"),"生物学的標本の全細胞に対するバンド状の好中球の相対測定値 (比率またはパーセンテージ)。")</f>
        <v>生物学的標本の全細胞に対するバンド状の好中球の相対測定値 (比率またはパーセンテージ)。</v>
      </c>
      <c r="I3570" s="3" t="str">
        <f ca="1">IFERROR(__xludf.DUMMYFUNCTION("googletranslate(F3570,""en"",""ja"")"),"好中球バンド形態対総細胞比の測定")</f>
        <v>好中球バンド形態対総細胞比の測定</v>
      </c>
    </row>
    <row r="3571" spans="1:9" ht="30">
      <c r="A3571" s="3" t="s">
        <v>6</v>
      </c>
      <c r="B3571" s="3" t="s">
        <v>14731</v>
      </c>
      <c r="C3571" s="3" t="s">
        <v>14732</v>
      </c>
      <c r="D3571" s="3" t="s">
        <v>14732</v>
      </c>
      <c r="E3571" s="3" t="s">
        <v>14733</v>
      </c>
      <c r="F3571" s="3" t="s">
        <v>14734</v>
      </c>
      <c r="G3571" s="3" t="str">
        <f ca="1">IFERROR(__xludf.DUMMYFUNCTION("googletranslate(D3571,""en"",""ja"")"),"好中球バンド形態/白血球")</f>
        <v>好中球バンド形態/白血球</v>
      </c>
      <c r="H3571" s="3" t="str">
        <f ca="1">IFERROR(__xludf.DUMMYFUNCTION("googletranslate(E3571,""en"",""ja"")"),"生物学的標本中の白血球に対するバンド状の好中球の相対測定値 (比率またはパーセンテージ)。")</f>
        <v>生物学的標本中の白血球に対するバンド状の好中球の相対測定値 (比率またはパーセンテージ)。</v>
      </c>
      <c r="I3571" s="3" t="str">
        <f ca="1">IFERROR(__xludf.DUMMYFUNCTION("googletranslate(F3571,""en"",""ja"")"),"好中球バンド形態と白血球の比率")</f>
        <v>好中球バンド形態と白血球の比率</v>
      </c>
    </row>
    <row r="3572" spans="1:9" ht="30">
      <c r="A3572" s="3" t="s">
        <v>6</v>
      </c>
      <c r="B3572" s="3" t="s">
        <v>14735</v>
      </c>
      <c r="C3572" s="3" t="s">
        <v>14736</v>
      </c>
      <c r="D3572" s="3" t="s">
        <v>14736</v>
      </c>
      <c r="E3572" s="3" t="s">
        <v>14737</v>
      </c>
      <c r="F3572" s="3" t="s">
        <v>14738</v>
      </c>
      <c r="G3572" s="3" t="str">
        <f ca="1">IFERROR(__xludf.DUMMYFUNCTION("googletranslate(D3572,""en"",""ja"")"),"好中球のバンド形態/好中球")</f>
        <v>好中球のバンド形態/好中球</v>
      </c>
      <c r="H3572" s="3" t="str">
        <f ca="1">IFERROR(__xludf.DUMMYFUNCTION("googletranslate(E3572,""en"",""ja"")"),"生物学的標本中の総好中球に対するバンド状好中球の相対測定値 (比率またはパーセンテージ)。")</f>
        <v>生物学的標本中の総好中球に対するバンド状好中球の相対測定値 (比率またはパーセンテージ)。</v>
      </c>
      <c r="I3572" s="3" t="str">
        <f ca="1">IFERROR(__xludf.DUMMYFUNCTION("googletranslate(F3572,""en"",""ja"")"),"好中球バンド形態と好中球の比率の測定")</f>
        <v>好中球バンド形態と好中球の比率の測定</v>
      </c>
    </row>
    <row r="3573" spans="1:9" ht="45">
      <c r="A3573" s="3" t="s">
        <v>6</v>
      </c>
      <c r="B3573" s="3" t="s">
        <v>14739</v>
      </c>
      <c r="C3573" s="3" t="s">
        <v>14740</v>
      </c>
      <c r="D3573" s="3" t="s">
        <v>14740</v>
      </c>
      <c r="E3573" s="3" t="s">
        <v>14741</v>
      </c>
      <c r="F3573" s="3" t="s">
        <v>14742</v>
      </c>
      <c r="G3573" s="3" t="str">
        <f ca="1">IFERROR(__xludf.DUMMYFUNCTION("googletranslate(D3573,""en"",""ja"")"),"好中球/総細胞数")</f>
        <v>好中球/総細胞数</v>
      </c>
      <c r="H3573" s="3" t="str">
        <f ca="1">IFERROR(__xludf.DUMMYFUNCTION("googletranslate(E3573,""en"",""ja"")"),"生物学的標本 (骨髄標本など) の全細胞に対する好中球の相対的な測定値 (比率またはパーセンテージ)。")</f>
        <v>生物学的標本 (骨髄標本など) の全細胞に対する好中球の相対的な測定値 (比率またはパーセンテージ)。</v>
      </c>
      <c r="I3573" s="3" t="str">
        <f ca="1">IFERROR(__xludf.DUMMYFUNCTION("googletranslate(F3573,""en"",""ja"")"),"好中球対総細胞比の測定")</f>
        <v>好中球対総細胞比の測定</v>
      </c>
    </row>
    <row r="3574" spans="1:9" ht="45">
      <c r="A3574" s="3" t="s">
        <v>6</v>
      </c>
      <c r="B3574" s="3" t="s">
        <v>14743</v>
      </c>
      <c r="C3574" s="3" t="s">
        <v>14744</v>
      </c>
      <c r="D3574" s="3" t="s">
        <v>14744</v>
      </c>
      <c r="E3574" s="3" t="s">
        <v>14745</v>
      </c>
      <c r="F3574" s="3" t="s">
        <v>14746</v>
      </c>
      <c r="G3574" s="3" t="str">
        <f ca="1">IFERROR(__xludf.DUMMYFUNCTION("googletranslate(D3574,""en"",""ja"")"),"細胞質好塩基球好中球")</f>
        <v>細胞質好塩基球好中球</v>
      </c>
      <c r="H3574" s="3" t="str">
        <f ca="1">IFERROR(__xludf.DUMMYFUNCTION("googletranslate(E3574,""en"",""ja"")"),"生物学的標本中の好中球の測定では、酸性含有量の増加により細胞質に暗い染色パターンが見られます。")</f>
        <v>生物学的標本中の好中球の測定では、酸性含有量の増加により細胞質に暗い染色パターンが見られます。</v>
      </c>
      <c r="I3574" s="3" t="str">
        <f ca="1">IFERROR(__xludf.DUMMYFUNCTION("googletranslate(F3574,""en"",""ja"")"),"細胞質好塩基球好中球数")</f>
        <v>細胞質好塩基球好中球数</v>
      </c>
    </row>
    <row r="3575" spans="1:9" ht="30">
      <c r="A3575" s="3" t="s">
        <v>6</v>
      </c>
      <c r="B3575" s="3" t="s">
        <v>14747</v>
      </c>
      <c r="C3575" s="3" t="s">
        <v>14748</v>
      </c>
      <c r="D3575" s="3" t="s">
        <v>14748</v>
      </c>
      <c r="E3575" s="3" t="s">
        <v>14749</v>
      </c>
      <c r="F3575" s="3" t="s">
        <v>14750</v>
      </c>
      <c r="G3575" s="3" t="str">
        <f ca="1">IFERROR(__xludf.DUMMYFUNCTION("googletranslate(D3575,""en"",""ja"")"),"巨大な好中球")</f>
        <v>巨大な好中球</v>
      </c>
      <c r="H3575" s="3" t="str">
        <f ca="1">IFERROR(__xludf.DUMMYFUNCTION("googletranslate(E3575,""en"",""ja"")"),"生物学的標本中の巨大好中球の測定。")</f>
        <v>生物学的標本中の巨大好中球の測定。</v>
      </c>
      <c r="I3575" s="3" t="str">
        <f ca="1">IFERROR(__xludf.DUMMYFUNCTION("googletranslate(F3575,""en"",""ja"")"),"巨大好中球数")</f>
        <v>巨大好中球数</v>
      </c>
    </row>
    <row r="3576" spans="1:9" ht="30">
      <c r="A3576" s="3" t="s">
        <v>6</v>
      </c>
      <c r="B3576" s="3" t="s">
        <v>14751</v>
      </c>
      <c r="C3576" s="3" t="s">
        <v>14752</v>
      </c>
      <c r="D3576" s="3" t="s">
        <v>14752</v>
      </c>
      <c r="E3576" s="3" t="s">
        <v>14753</v>
      </c>
      <c r="F3576" s="3" t="s">
        <v>14754</v>
      </c>
      <c r="G3576" s="3" t="str">
        <f ca="1">IFERROR(__xludf.DUMMYFUNCTION("googletranslate(D3576,""en"",""ja"")"),"地下顆粒好中球")</f>
        <v>地下顆粒好中球</v>
      </c>
      <c r="H3576" s="3" t="str">
        <f ca="1">IFERROR(__xludf.DUMMYFUNCTION("googletranslate(E3576,""en"",""ja"")"),"生物学的標本中の下顆粒好中球の測定。")</f>
        <v>生物学的標本中の下顆粒好中球の測定。</v>
      </c>
      <c r="I3576" s="3" t="str">
        <f ca="1">IFERROR(__xludf.DUMMYFUNCTION("googletranslate(F3576,""en"",""ja"")"),"下顆粒好中球の測定")</f>
        <v>下顆粒好中球の測定</v>
      </c>
    </row>
    <row r="3577" spans="1:9" ht="30">
      <c r="A3577" s="3" t="s">
        <v>6</v>
      </c>
      <c r="B3577" s="3" t="s">
        <v>14755</v>
      </c>
      <c r="C3577" s="3" t="s">
        <v>14756</v>
      </c>
      <c r="D3577" s="3" t="s">
        <v>14756</v>
      </c>
      <c r="E3577" s="3" t="s">
        <v>14757</v>
      </c>
      <c r="F3577" s="3" t="s">
        <v>14758</v>
      </c>
      <c r="G3577" s="3" t="str">
        <f ca="1">IFERROR(__xludf.DUMMYFUNCTION("googletranslate(D3577,""en"",""ja"")"),"未熟好中球")</f>
        <v>未熟好中球</v>
      </c>
      <c r="H3577" s="3" t="str">
        <f ca="1">IFERROR(__xludf.DUMMYFUNCTION("googletranslate(E3577,""en"",""ja"")"),"生物学的標本中の未熟好中球の総数の測定。")</f>
        <v>生物学的標本中の未熟好中球の総数の測定。</v>
      </c>
      <c r="I3577" s="3" t="str">
        <f ca="1">IFERROR(__xludf.DUMMYFUNCTION("googletranslate(F3577,""en"",""ja"")"),"未熟好中球数")</f>
        <v>未熟好中球数</v>
      </c>
    </row>
    <row r="3578" spans="1:9" ht="30">
      <c r="A3578" s="3" t="s">
        <v>6</v>
      </c>
      <c r="B3578" s="3" t="s">
        <v>14759</v>
      </c>
      <c r="C3578" s="3" t="s">
        <v>14760</v>
      </c>
      <c r="D3578" s="3" t="s">
        <v>14760</v>
      </c>
      <c r="E3578" s="3" t="s">
        <v>14761</v>
      </c>
      <c r="F3578" s="3" t="s">
        <v>14762</v>
      </c>
      <c r="G3578" s="3" t="str">
        <f ca="1">IFERROR(__xludf.DUMMYFUNCTION("googletranslate(D3578,""en"",""ja"")"),"未熟な好中球/白血球")</f>
        <v>未熟な好中球/白血球</v>
      </c>
      <c r="H3578" s="3" t="str">
        <f ca="1">IFERROR(__xludf.DUMMYFUNCTION("googletranslate(E3578,""en"",""ja"")"),"生物学的標本中の白血球に対する未熟好中球の相対的な測定値 (比率またはパーセンテージ)。")</f>
        <v>生物学的標本中の白血球に対する未熟好中球の相対的な測定値 (比率またはパーセンテージ)。</v>
      </c>
      <c r="I3578" s="3" t="str">
        <f ca="1">IFERROR(__xludf.DUMMYFUNCTION("googletranslate(F3578,""en"",""ja"")"),"幼若好中球と白血球の比率の測定")</f>
        <v>幼若好中球と白血球の比率の測定</v>
      </c>
    </row>
    <row r="3579" spans="1:9" ht="30">
      <c r="A3579" s="3" t="s">
        <v>6</v>
      </c>
      <c r="B3579" s="3" t="s">
        <v>14763</v>
      </c>
      <c r="C3579" s="3" t="s">
        <v>14764</v>
      </c>
      <c r="D3579" s="3" t="s">
        <v>14764</v>
      </c>
      <c r="E3579" s="3" t="s">
        <v>14765</v>
      </c>
      <c r="F3579" s="3" t="s">
        <v>14766</v>
      </c>
      <c r="G3579" s="3" t="str">
        <f ca="1">IFERROR(__xludf.DUMMYFUNCTION("googletranslate(D3579,""en"",""ja"")"),"好中球/白血球")</f>
        <v>好中球/白血球</v>
      </c>
      <c r="H3579" s="3" t="str">
        <f ca="1">IFERROR(__xludf.DUMMYFUNCTION("googletranslate(E3579,""en"",""ja"")"),"生物学的標本における白血球に対する好中球の相対的な測定値 (比率またはパーセンテージ)。")</f>
        <v>生物学的標本における白血球に対する好中球の相対的な測定値 (比率またはパーセンテージ)。</v>
      </c>
      <c r="I3579" s="3" t="str">
        <f ca="1">IFERROR(__xludf.DUMMYFUNCTION("googletranslate(F3579,""en"",""ja"")"),"好中球と白血球の比率の測定")</f>
        <v>好中球と白血球の比率の測定</v>
      </c>
    </row>
    <row r="3580" spans="1:9" ht="45">
      <c r="A3580" s="3" t="s">
        <v>6</v>
      </c>
      <c r="B3580" s="3" t="s">
        <v>14767</v>
      </c>
      <c r="C3580" s="3" t="s">
        <v>14768</v>
      </c>
      <c r="D3580" s="3" t="s">
        <v>14768</v>
      </c>
      <c r="E3580" s="3" t="s">
        <v>14769</v>
      </c>
      <c r="F3580" s="3" t="s">
        <v>14770</v>
      </c>
      <c r="G3580" s="3" t="str">
        <f ca="1">IFERROR(__xludf.DUMMYFUNCTION("googletranslate(D3580,""en"",""ja"")"),"左シフト好中球")</f>
        <v>左シフト好中球</v>
      </c>
      <c r="H3580" s="3" t="str">
        <f ca="1">IFERROR(__xludf.DUMMYFUNCTION("googletranslate(E3580,""en"",""ja"")"),"生物学的標本におけるバンド好中球および好中球前駆体を含む未成熟好中球の上記の通常発生率の観察。")</f>
        <v>生物学的標本におけるバンド好中球および好中球前駆体を含む未成熟好中球の上記の通常発生率の観察。</v>
      </c>
      <c r="I3580" s="3" t="str">
        <f ca="1">IFERROR(__xludf.DUMMYFUNCTION("googletranslate(F3580,""en"",""ja"")"),"左シフト好中球測定")</f>
        <v>左シフト好中球測定</v>
      </c>
    </row>
    <row r="3581" spans="1:9" ht="30">
      <c r="A3581" s="3" t="s">
        <v>6</v>
      </c>
      <c r="B3581" s="3" t="s">
        <v>14771</v>
      </c>
      <c r="C3581" s="3" t="s">
        <v>14772</v>
      </c>
      <c r="D3581" s="3" t="s">
        <v>14772</v>
      </c>
      <c r="E3581" s="3" t="s">
        <v>14773</v>
      </c>
      <c r="F3581" s="3" t="s">
        <v>14774</v>
      </c>
      <c r="G3581" s="3" t="str">
        <f ca="1">IFERROR(__xludf.DUMMYFUNCTION("googletranslate(D3581,""en"",""ja"")"),"好中球/リンパ球")</f>
        <v>好中球/リンパ球</v>
      </c>
      <c r="H3581" s="3" t="str">
        <f ca="1">IFERROR(__xludf.DUMMYFUNCTION("googletranslate(E3581,""en"",""ja"")"),"生物学的標本中のリンパ球に対する好中球の相対測定値 (比率)。")</f>
        <v>生物学的標本中のリンパ球に対する好中球の相対測定値 (比率)。</v>
      </c>
      <c r="I3581" s="3" t="str">
        <f ca="1">IFERROR(__xludf.DUMMYFUNCTION("googletranslate(F3581,""en"",""ja"")"),"好中球とリンパ球の比率の測定")</f>
        <v>好中球とリンパ球の比率の測定</v>
      </c>
    </row>
    <row r="3582" spans="1:9" ht="30">
      <c r="A3582" s="3" t="s">
        <v>6</v>
      </c>
      <c r="B3582" s="3" t="s">
        <v>14775</v>
      </c>
      <c r="C3582" s="3" t="s">
        <v>14776</v>
      </c>
      <c r="D3582" s="3" t="s">
        <v>14776</v>
      </c>
      <c r="E3582" s="3" t="s">
        <v>14777</v>
      </c>
      <c r="F3582" s="3" t="s">
        <v>14778</v>
      </c>
      <c r="G3582" s="3" t="str">
        <f ca="1">IFERROR(__xludf.DUMMYFUNCTION("googletranslate(D3582,""en"",""ja"")"),"好中球性メタ骨髄球")</f>
        <v>好中球性メタ骨髄球</v>
      </c>
      <c r="H3582" s="3" t="str">
        <f ca="1">IFERROR(__xludf.DUMMYFUNCTION("googletranslate(E3582,""en"",""ja"")"),"生物学的標本中の好中球性後骨髄球の測定。")</f>
        <v>生物学的標本中の好中球性後骨髄球の測定。</v>
      </c>
      <c r="I3582" s="3" t="str">
        <f ca="1">IFERROR(__xludf.DUMMYFUNCTION("googletranslate(F3582,""en"",""ja"")"),"好中球性メタ骨髄球数")</f>
        <v>好中球性メタ骨髄球数</v>
      </c>
    </row>
    <row r="3583" spans="1:9" ht="45">
      <c r="A3583" s="3" t="s">
        <v>6</v>
      </c>
      <c r="B3583" s="3" t="s">
        <v>14779</v>
      </c>
      <c r="C3583" s="3" t="s">
        <v>14780</v>
      </c>
      <c r="D3583" s="3" t="s">
        <v>14780</v>
      </c>
      <c r="E3583" s="3" t="s">
        <v>14781</v>
      </c>
      <c r="F3583" s="3" t="s">
        <v>14782</v>
      </c>
      <c r="G3583" s="3" t="str">
        <f ca="1">IFERROR(__xludf.DUMMYFUNCTION("googletranslate(D3583,""en"",""ja"")"),"好中球性メタ骨髄球/全細胞")</f>
        <v>好中球性メタ骨髄球/全細胞</v>
      </c>
      <c r="H3583" s="3" t="str">
        <f ca="1">IFERROR(__xludf.DUMMYFUNCTION("googletranslate(E3583,""en"",""ja"")"),"生物学的標本の全細胞に対する好中球性後骨髄球の相対的な測定値 (比率またはパーセンテージ)。")</f>
        <v>生物学的標本の全細胞に対する好中球性後骨髄球の相対的な測定値 (比率またはパーセンテージ)。</v>
      </c>
      <c r="I3583" s="3" t="str">
        <f ca="1">IFERROR(__xludf.DUMMYFUNCTION("googletranslate(F3583,""en"",""ja"")"),"好中球性メタ骨髄球と全細胞の比率の測定")</f>
        <v>好中球性メタ骨髄球と全細胞の比率の測定</v>
      </c>
    </row>
    <row r="3584" spans="1:9" ht="30">
      <c r="A3584" s="3" t="s">
        <v>6</v>
      </c>
      <c r="B3584" s="3" t="s">
        <v>14783</v>
      </c>
      <c r="C3584" s="3" t="s">
        <v>14784</v>
      </c>
      <c r="D3584" s="3" t="s">
        <v>14784</v>
      </c>
      <c r="E3584" s="3" t="s">
        <v>14785</v>
      </c>
      <c r="F3584" s="3" t="s">
        <v>14786</v>
      </c>
      <c r="G3584" s="3" t="str">
        <f ca="1">IFERROR(__xludf.DUMMYFUNCTION("googletranslate(D3584,""en"",""ja"")"),"好中球性骨髄球")</f>
        <v>好中球性骨髄球</v>
      </c>
      <c r="H3584" s="3" t="str">
        <f ca="1">IFERROR(__xludf.DUMMYFUNCTION("googletranslate(E3584,""en"",""ja"")"),"生物学的標本中の好中球性骨髄球の測定。")</f>
        <v>生物学的標本中の好中球性骨髄球の測定。</v>
      </c>
      <c r="I3584" s="3" t="str">
        <f ca="1">IFERROR(__xludf.DUMMYFUNCTION("googletranslate(F3584,""en"",""ja"")"),"好中球骨髄球数")</f>
        <v>好中球骨髄球数</v>
      </c>
    </row>
    <row r="3585" spans="1:9" ht="45">
      <c r="A3585" s="3" t="s">
        <v>6</v>
      </c>
      <c r="B3585" s="3" t="s">
        <v>14787</v>
      </c>
      <c r="C3585" s="3" t="s">
        <v>14788</v>
      </c>
      <c r="D3585" s="3" t="s">
        <v>14788</v>
      </c>
      <c r="E3585" s="3" t="s">
        <v>14789</v>
      </c>
      <c r="F3585" s="3" t="s">
        <v>14790</v>
      </c>
      <c r="G3585" s="3" t="str">
        <f ca="1">IFERROR(__xludf.DUMMYFUNCTION("googletranslate(D3585,""en"",""ja"")"),"好中球/非扁平上皮細胞")</f>
        <v>好中球/非扁平上皮細胞</v>
      </c>
      <c r="H3585" s="3" t="str">
        <f ca="1">IFERROR(__xludf.DUMMYFUNCTION("googletranslate(E3585,""en"",""ja"")"),"生物学的標本中の非扁平上皮細胞に対する好中球の相対的な測定値 (比率またはパーセンテージ)。")</f>
        <v>生物学的標本中の非扁平上皮細胞に対する好中球の相対的な測定値 (比率またはパーセンテージ)。</v>
      </c>
      <c r="I3585" s="3" t="str">
        <f ca="1">IFERROR(__xludf.DUMMYFUNCTION("googletranslate(F3585,""en"",""ja"")"),"好中球と非扁平上皮細胞の比率の測定")</f>
        <v>好中球と非扁平上皮細胞の比率の測定</v>
      </c>
    </row>
    <row r="3586" spans="1:9" ht="45">
      <c r="A3586" s="3" t="s">
        <v>6</v>
      </c>
      <c r="B3586" s="3" t="s">
        <v>14791</v>
      </c>
      <c r="C3586" s="3" t="s">
        <v>14792</v>
      </c>
      <c r="D3586" s="3" t="s">
        <v>14793</v>
      </c>
      <c r="E3586" s="3" t="s">
        <v>14794</v>
      </c>
      <c r="F3586" s="3" t="s">
        <v>14795</v>
      </c>
      <c r="G3586" s="3" t="str">
        <f ca="1">IFERROR(__xludf.DUMMYFUNCTION("googletranslate(D3586,""en"",""ja"")"),"偽ペルガーヒュート核を有する好中球。偽ペルガーヒュエ好中球")</f>
        <v>偽ペルガーヒュート核を有する好中球。偽ペルガーヒュエ好中球</v>
      </c>
      <c r="H3586" s="3" t="str">
        <f ca="1">IFERROR(__xludf.DUMMYFUNCTION("googletranslate(E3586,""en"",""ja"")"),"生物学的標本中のペルガー・ヒュエ様核（低分節化）を持つ好中球の測定。")</f>
        <v>生物学的標本中のペルガー・ヒュエ様核（低分節化）を持つ好中球の測定。</v>
      </c>
      <c r="I3586" s="3" t="str">
        <f ca="1">IFERROR(__xludf.DUMMYFUNCTION("googletranslate(F3586,""en"",""ja"")"),"偽ペルガーヒューエット好中球数")</f>
        <v>偽ペルガーヒューエット好中球数</v>
      </c>
    </row>
    <row r="3587" spans="1:9" ht="30">
      <c r="A3587" s="3" t="s">
        <v>6</v>
      </c>
      <c r="B3587" s="3" t="s">
        <v>14796</v>
      </c>
      <c r="C3587" s="3" t="s">
        <v>14797</v>
      </c>
      <c r="D3587" s="3" t="s">
        <v>14797</v>
      </c>
      <c r="E3587" s="3" t="s">
        <v>14798</v>
      </c>
      <c r="F3587" s="3" t="s">
        <v>14799</v>
      </c>
      <c r="G3587" s="3" t="str">
        <f ca="1">IFERROR(__xludf.DUMMYFUNCTION("googletranslate(D3587,""en"",""ja"")"),"好中球、セグメント化")</f>
        <v>好中球、セグメント化</v>
      </c>
      <c r="H3587" s="3" t="str">
        <f ca="1">IFERROR(__xludf.DUMMYFUNCTION("googletranslate(E3587,""en"",""ja"")"),"生物学的標本中のセグメント化された好中球の測定。")</f>
        <v>生物学的標本中のセグメント化された好中球の測定。</v>
      </c>
      <c r="I3587" s="3" t="str">
        <f ca="1">IFERROR(__xludf.DUMMYFUNCTION("googletranslate(F3587,""en"",""ja"")"),"セグメント化された好中球数")</f>
        <v>セグメント化された好中球数</v>
      </c>
    </row>
    <row r="3588" spans="1:9" ht="30">
      <c r="A3588" s="3" t="s">
        <v>6</v>
      </c>
      <c r="B3588" s="3" t="s">
        <v>14800</v>
      </c>
      <c r="C3588" s="3" t="s">
        <v>14801</v>
      </c>
      <c r="D3588" s="3" t="s">
        <v>14801</v>
      </c>
      <c r="E3588" s="3" t="s">
        <v>14802</v>
      </c>
      <c r="F3588" s="3" t="s">
        <v>14803</v>
      </c>
      <c r="G3588" s="3" t="str">
        <f ca="1">IFERROR(__xludf.DUMMYFUNCTION("googletranslate(D3588,""en"",""ja"")"),"好中球、セグメント化 + バンド形式")</f>
        <v>好中球、セグメント化 + バンド形式</v>
      </c>
      <c r="H3588" s="3" t="str">
        <f ca="1">IFERROR(__xludf.DUMMYFUNCTION("googletranslate(E3588,""en"",""ja"")"),"生物学的標本中のセグメント化されたバンド状の好中球の測定。")</f>
        <v>生物学的標本中のセグメント化されたバンド状の好中球の測定。</v>
      </c>
      <c r="I3588" s="3" t="str">
        <f ca="1">IFERROR(__xludf.DUMMYFUNCTION("googletranslate(F3588,""en"",""ja"")"),"セグメント化およびバンド状好中球の測定")</f>
        <v>セグメント化およびバンド状好中球の測定</v>
      </c>
    </row>
    <row r="3589" spans="1:9" ht="45">
      <c r="A3589" s="3" t="s">
        <v>6</v>
      </c>
      <c r="B3589" s="3" t="s">
        <v>14804</v>
      </c>
      <c r="C3589" s="3" t="s">
        <v>14805</v>
      </c>
      <c r="D3589" s="3" t="s">
        <v>14806</v>
      </c>
      <c r="E3589" s="3" t="s">
        <v>14807</v>
      </c>
      <c r="F3589" s="3" t="s">
        <v>14808</v>
      </c>
      <c r="G3589" s="3" t="str">
        <f ca="1">IFERROR(__xludf.DUMMYFUNCTION("googletranslate(D3589,""en"",""ja"")"),"好中球、セグメント + バンド形式 + 前駆体;好中球、セグメント化 + バンド形式 + 前駆体")</f>
        <v>好中球、セグメント + バンド形式 + 前駆体;好中球、セグメント化 + バンド形式 + 前駆体</v>
      </c>
      <c r="H3589" s="3" t="str">
        <f ca="1">IFERROR(__xludf.DUMMYFUNCTION("googletranslate(E3589,""en"",""ja"")"),"生物学的標本中のセグメント化されたバンド状の好中球、後骨髄球、骨髄球、前骨髄球、および骨髄芽球の測定。")</f>
        <v>生物学的標本中のセグメント化されたバンド状の好中球、後骨髄球、骨髄球、前骨髄球、および骨髄芽球の測定。</v>
      </c>
      <c r="I3589" s="3" t="str">
        <f ca="1">IFERROR(__xludf.DUMMYFUNCTION("googletranslate(F3589,""en"",""ja"")"),"セグメント化されたバンド形状および前駆体好中球の測定")</f>
        <v>セグメント化されたバンド形状および前駆体好中球の測定</v>
      </c>
    </row>
    <row r="3590" spans="1:9" ht="45">
      <c r="A3590" s="3" t="s">
        <v>6</v>
      </c>
      <c r="B3590" s="3" t="s">
        <v>14809</v>
      </c>
      <c r="C3590" s="3" t="s">
        <v>14810</v>
      </c>
      <c r="D3590" s="3" t="s">
        <v>14810</v>
      </c>
      <c r="E3590" s="3" t="s">
        <v>14811</v>
      </c>
      <c r="F3590" s="3" t="s">
        <v>14812</v>
      </c>
      <c r="G3590" s="3" t="str">
        <f ca="1">IFERROR(__xludf.DUMMYFUNCTION("googletranslate(D3590,""en"",""ja"")"),"好中球、セグメント化/総細胞")</f>
        <v>好中球、セグメント化/総細胞</v>
      </c>
      <c r="H3590" s="3" t="str">
        <f ca="1">IFERROR(__xludf.DUMMYFUNCTION("googletranslate(E3590,""en"",""ja"")"),"生物学的標本の全細胞に対するセグメント化された好中球の相対的な測定値 (比率またはパーセンテージ)。")</f>
        <v>生物学的標本の全細胞に対するセグメント化された好中球の相対的な測定値 (比率またはパーセンテージ)。</v>
      </c>
      <c r="I3590" s="3" t="str">
        <f ca="1">IFERROR(__xludf.DUMMYFUNCTION("googletranslate(F3590,""en"",""ja"")"),"セグメント化された好中球対総細胞比の測定")</f>
        <v>セグメント化された好中球対総細胞比の測定</v>
      </c>
    </row>
    <row r="3591" spans="1:9" ht="45">
      <c r="A3591" s="3" t="s">
        <v>6</v>
      </c>
      <c r="B3591" s="3" t="s">
        <v>14813</v>
      </c>
      <c r="C3591" s="3" t="s">
        <v>14814</v>
      </c>
      <c r="D3591" s="3" t="s">
        <v>14814</v>
      </c>
      <c r="E3591" s="3" t="s">
        <v>14815</v>
      </c>
      <c r="F3591" s="3" t="s">
        <v>14816</v>
      </c>
      <c r="G3591" s="3" t="str">
        <f ca="1">IFERROR(__xludf.DUMMYFUNCTION("googletranslate(D3591,""en"",""ja"")"),"好中球、分節化/白血球")</f>
        <v>好中球、分節化/白血球</v>
      </c>
      <c r="H3591" s="3" t="str">
        <f ca="1">IFERROR(__xludf.DUMMYFUNCTION("googletranslate(E3591,""en"",""ja"")"),"生物学的標本中の白血球に対するセグメント化された好中球の相対測定値 (比率またはパーセンテージ)。")</f>
        <v>生物学的標本中の白血球に対するセグメント化された好中球の相対測定値 (比率またはパーセンテージ)。</v>
      </c>
      <c r="I3591" s="3" t="str">
        <f ca="1">IFERROR(__xludf.DUMMYFUNCTION("googletranslate(F3591,""en"",""ja"")"),"セグメント化された好中球対白血球比の測定")</f>
        <v>セグメント化された好中球対白血球比の測定</v>
      </c>
    </row>
    <row r="3592" spans="1:9" ht="45">
      <c r="A3592" s="3" t="s">
        <v>6</v>
      </c>
      <c r="B3592" s="3" t="s">
        <v>14817</v>
      </c>
      <c r="C3592" s="3" t="s">
        <v>14818</v>
      </c>
      <c r="D3592" s="3" t="s">
        <v>14818</v>
      </c>
      <c r="E3592" s="3" t="s">
        <v>14819</v>
      </c>
      <c r="F3592" s="3" t="s">
        <v>14820</v>
      </c>
      <c r="G3592" s="3" t="str">
        <f ca="1">IFERROR(__xludf.DUMMYFUNCTION("googletranslate(D3592,""en"",""ja"")"),"好中球、セグメント化/好中球")</f>
        <v>好中球、セグメント化/好中球</v>
      </c>
      <c r="H3592" s="3" t="str">
        <f ca="1">IFERROR(__xludf.DUMMYFUNCTION("googletranslate(E3592,""en"",""ja"")"),"生物学的標本中の総好中球に対するセグメント化された好中球の相対的な測定値 (比率またはパーセンテージ)。")</f>
        <v>生物学的標本中の総好中球に対するセグメント化された好中球の相対的な測定値 (比率またはパーセンテージ)。</v>
      </c>
      <c r="I3592" s="3" t="str">
        <f ca="1">IFERROR(__xludf.DUMMYFUNCTION("googletranslate(F3592,""en"",""ja"")"),"セグメント化された好中球対好中球比の測定")</f>
        <v>セグメント化された好中球対好中球比の測定</v>
      </c>
    </row>
    <row r="3593" spans="1:9" ht="30">
      <c r="A3593" s="3" t="s">
        <v>6</v>
      </c>
      <c r="B3593" s="3" t="s">
        <v>14821</v>
      </c>
      <c r="C3593" s="3" t="s">
        <v>14822</v>
      </c>
      <c r="D3593" s="3" t="s">
        <v>14822</v>
      </c>
      <c r="E3593" s="3" t="s">
        <v>14823</v>
      </c>
      <c r="F3593" s="3" t="s">
        <v>14824</v>
      </c>
      <c r="G3593" s="3" t="str">
        <f ca="1">IFERROR(__xludf.DUMMYFUNCTION("googletranslate(D3593,""en"",""ja"")"),"好中球の毒性変化")</f>
        <v>好中球の毒性変化</v>
      </c>
      <c r="H3593" s="3" t="str">
        <f ca="1">IFERROR(__xludf.DUMMYFUNCTION("googletranslate(E3593,""en"",""ja"")"),"生物学的標本の好中球系統の細胞におけるあらゆる種類の毒性変化の測定。")</f>
        <v>生物学的標本の好中球系統の細胞におけるあらゆる種類の毒性変化の測定。</v>
      </c>
      <c r="I3593" s="3" t="str">
        <f ca="1">IFERROR(__xludf.DUMMYFUNCTION("googletranslate(F3593,""en"",""ja"")"),"好中球の毒性変化の評価")</f>
        <v>好中球の毒性変化の評価</v>
      </c>
    </row>
    <row r="3594" spans="1:9" ht="30">
      <c r="A3594" s="3" t="s">
        <v>6</v>
      </c>
      <c r="B3594" s="3" t="s">
        <v>14825</v>
      </c>
      <c r="C3594" s="3" t="s">
        <v>14826</v>
      </c>
      <c r="D3594" s="3" t="s">
        <v>14826</v>
      </c>
      <c r="E3594" s="3" t="s">
        <v>14827</v>
      </c>
      <c r="F3594" s="3" t="s">
        <v>14828</v>
      </c>
      <c r="G3594" s="3" t="str">
        <f ca="1">IFERROR(__xludf.DUMMYFUNCTION("googletranslate(D3594,""en"",""ja"")"),"空胞化した好中球")</f>
        <v>空胞化した好中球</v>
      </c>
      <c r="H3594" s="3" t="str">
        <f ca="1">IFERROR(__xludf.DUMMYFUNCTION("googletranslate(E3594,""en"",""ja"")"),"生物学的標本中の小さな空胞を含む好中球の測定。")</f>
        <v>生物学的標本中の小さな空胞を含む好中球の測定。</v>
      </c>
      <c r="I3594" s="3" t="str">
        <f ca="1">IFERROR(__xludf.DUMMYFUNCTION("googletranslate(F3594,""en"",""ja"")"),"空胞化好中球数")</f>
        <v>空胞化好中球数</v>
      </c>
    </row>
    <row r="3595" spans="1:9" ht="45">
      <c r="A3595" s="3" t="s">
        <v>210</v>
      </c>
      <c r="B3595" s="3" t="s">
        <v>14829</v>
      </c>
      <c r="C3595" s="3" t="s">
        <v>14830</v>
      </c>
      <c r="D3595" s="3" t="s">
        <v>14830</v>
      </c>
      <c r="E3595" s="3" t="s">
        <v>14831</v>
      </c>
      <c r="F3595" s="3" t="s">
        <v>14832</v>
      </c>
      <c r="G3595" s="3" t="str">
        <f ca="1">IFERROR(__xludf.DUMMYFUNCTION("googletranslate(D3595,""en"",""ja"")"),"新たな腫瘍が確認された")</f>
        <v>新たな腫瘍が確認された</v>
      </c>
      <c r="H3595" s="3" t="str">
        <f ca="1">IFERROR(__xludf.DUMMYFUNCTION("googletranslate(E3595,""en"",""ja"")"),"他の方法またはモダリティによる、これまで観察または特徴付けられていない腫瘍が対象者に存在することの検証/確認。")</f>
        <v>他の方法またはモダリティによる、これまで観察または特徴付けられていない腫瘍が対象者に存在することの検証/確認。</v>
      </c>
      <c r="I3595" s="3" t="str">
        <f ca="1">IFERROR(__xludf.DUMMYFUNCTION("googletranslate(F3595,""en"",""ja"")"),"新しい腫瘍の確認")</f>
        <v>新しい腫瘍の確認</v>
      </c>
    </row>
    <row r="3596" spans="1:9" ht="75">
      <c r="A3596" s="3" t="s">
        <v>985</v>
      </c>
      <c r="B3596" s="3" t="s">
        <v>14833</v>
      </c>
      <c r="C3596" s="3" t="s">
        <v>14834</v>
      </c>
      <c r="D3596" s="3" t="s">
        <v>14834</v>
      </c>
      <c r="E3596" s="3" t="s">
        <v>14835</v>
      </c>
      <c r="F3596" s="3" t="s">
        <v>14834</v>
      </c>
      <c r="G3596" s="3" t="str">
        <f ca="1">IFERROR(__xludf.DUMMYFUNCTION("googletranslate(D3596,""en"",""ja"")"),"新しいQウェーブ")</f>
        <v>新しいQウェーブ</v>
      </c>
      <c r="H3596" s="3" t="str">
        <f ca="1">IFERROR(__xludf.DUMMYFUNCTION("googletranslate(E3596,""en"",""ja"")"),"心筋梗塞を示唆する新規または新規と推定される病理学的 Q 波の心電図所見評価。 (Thygesen K、Alpert JS、Jaffe AS、Simoons ML、他; 心筋梗塞の普遍的定義のための ESC/ACCF/AHA/WHF 合同タスクフォース")</f>
        <v>心筋梗塞を示唆する新規または新規と推定される病理学的 Q 波の心電図所見評価。 (Thygesen K、Alpert JS、Jaffe AS、Simoons ML、他; 心筋梗塞の普遍的定義のための ESC/ACCF/AHA/WHF 合同タスクフォース</v>
      </c>
      <c r="I3596" s="3" t="str">
        <f ca="1">IFERROR(__xludf.DUMMYFUNCTION("googletranslate(F3596,""en"",""ja"")"),"新しいQウェーブ")</f>
        <v>新しいQウェーブ</v>
      </c>
    </row>
    <row r="3597" spans="1:9" ht="75">
      <c r="A3597" s="3" t="s">
        <v>6</v>
      </c>
      <c r="B3597" s="3" t="s">
        <v>14836</v>
      </c>
      <c r="C3597" s="3" t="s">
        <v>14837</v>
      </c>
      <c r="D3597" s="3" t="s">
        <v>14838</v>
      </c>
      <c r="E3597" s="3" t="s">
        <v>14839</v>
      </c>
      <c r="F3597" s="3" t="s">
        <v>14840</v>
      </c>
      <c r="G3597" s="3" t="str">
        <f ca="1">IFERROR(__xludf.DUMMYFUNCTION("googletranslate(D3597,""en"",""ja"")"),"ニューロフィラメント重鎖;ニューロフィラメント重ポリペプチド;ニューロフィラメントトリプレットHタンパク質; NF-H")</f>
        <v>ニューロフィラメント重鎖;ニューロフィラメント重ポリペプチド;ニューロフィラメントトリプレットHタンパク質; NF-H</v>
      </c>
      <c r="H3597" s="3" t="str">
        <f ca="1">IFERROR(__xludf.DUMMYFUNCTION("googletranslate(E3597,""en"",""ja"")"),"生物学的標本中のニューロフィラメント重ポリペプチドの測定。")</f>
        <v>生物学的標本中のニューロフィラメント重ポリペプチドの測定。</v>
      </c>
      <c r="I3597" s="3" t="str">
        <f ca="1">IFERROR(__xludf.DUMMYFUNCTION("googletranslate(F3597,""en"",""ja"")"),"ニューロフィラメント重ポリペプチドの測定")</f>
        <v>ニューロフィラメント重ポリペプチドの測定</v>
      </c>
    </row>
    <row r="3598" spans="1:9" ht="30">
      <c r="A3598" s="3" t="s">
        <v>6</v>
      </c>
      <c r="B3598" s="3" t="s">
        <v>14841</v>
      </c>
      <c r="C3598" s="3" t="s">
        <v>14842</v>
      </c>
      <c r="D3598" s="3" t="s">
        <v>14842</v>
      </c>
      <c r="E3598" s="3" t="s">
        <v>14843</v>
      </c>
      <c r="F3598" s="3" t="s">
        <v>14844</v>
      </c>
      <c r="G3598" s="3" t="str">
        <f ca="1">IFERROR(__xludf.DUMMYFUNCTION("googletranslate(D3598,""en"",""ja"")"),"リン酸化神経フィラメント重鎖")</f>
        <v>リン酸化神経フィラメント重鎖</v>
      </c>
      <c r="H3598" s="3" t="str">
        <f ca="1">IFERROR(__xludf.DUMMYFUNCTION("googletranslate(E3598,""en"",""ja"")"),"生体標本中のリン酸化ニューロフィラメント重鎖の測定。")</f>
        <v>生体標本中のリン酸化ニューロフィラメント重鎖の測定。</v>
      </c>
      <c r="I3598" s="3" t="str">
        <f ca="1">IFERROR(__xludf.DUMMYFUNCTION("googletranslate(F3598,""en"",""ja"")"),"リン酸化神経フィラメント重鎖の測定")</f>
        <v>リン酸化神経フィラメント重鎖の測定</v>
      </c>
    </row>
    <row r="3599" spans="1:9" ht="75">
      <c r="A3599" s="3" t="s">
        <v>6</v>
      </c>
      <c r="B3599" s="3" t="s">
        <v>14845</v>
      </c>
      <c r="C3599" s="3" t="s">
        <v>14846</v>
      </c>
      <c r="D3599" s="3" t="s">
        <v>14847</v>
      </c>
      <c r="E3599" s="3" t="s">
        <v>14848</v>
      </c>
      <c r="F3599" s="3" t="s">
        <v>14849</v>
      </c>
      <c r="G3599" s="3" t="str">
        <f ca="1">IFERROR(__xludf.DUMMYFUNCTION("googletranslate(D3599,""en"",""ja"")"),"ネフル;ニューロフィラメント軽鎖タンパク質;ニューロフィラメント光ポリペプチド; NF-L;プロテインホスファターゼ 1、制御サブユニット 110")</f>
        <v>ネフル;ニューロフィラメント軽鎖タンパク質;ニューロフィラメント光ポリペプチド; NF-L;プロテインホスファターゼ 1、制御サブユニット 110</v>
      </c>
      <c r="H3599" s="3" t="str">
        <f ca="1">IFERROR(__xludf.DUMMYFUNCTION("googletranslate(E3599,""en"",""ja"")"),"生物学的標本中のニューロフィラメント軽鎖タンパク質の測定。")</f>
        <v>生物学的標本中のニューロフィラメント軽鎖タンパク質の測定。</v>
      </c>
      <c r="I3599" s="3" t="str">
        <f ca="1">IFERROR(__xludf.DUMMYFUNCTION("googletranslate(F3599,""en"",""ja"")"),"ニューロフィラメント軽鎖タンパク質の測定")</f>
        <v>ニューロフィラメント軽鎖タンパク質の測定</v>
      </c>
    </row>
    <row r="3600" spans="1:9" ht="30">
      <c r="A3600" s="3" t="s">
        <v>6</v>
      </c>
      <c r="B3600" s="3" t="s">
        <v>14850</v>
      </c>
      <c r="C3600" s="3" t="s">
        <v>14851</v>
      </c>
      <c r="D3600" s="3" t="s">
        <v>14851</v>
      </c>
      <c r="E3600" s="3" t="s">
        <v>14852</v>
      </c>
      <c r="F3600" s="3" t="s">
        <v>14853</v>
      </c>
      <c r="G3600" s="3" t="str">
        <f ca="1">IFERROR(__xludf.DUMMYFUNCTION("googletranslate(D3600,""en"",""ja"")"),"神経成長因子")</f>
        <v>神経成長因子</v>
      </c>
      <c r="H3600" s="3" t="str">
        <f ca="1">IFERROR(__xludf.DUMMYFUNCTION("googletranslate(E3600,""en"",""ja"")"),"生物学的標本中の総神経成長因子の測定。")</f>
        <v>生物学的標本中の総神経成長因子の測定。</v>
      </c>
      <c r="I3600" s="3" t="str">
        <f ca="1">IFERROR(__xludf.DUMMYFUNCTION("googletranslate(F3600,""en"",""ja"")"),"神経成長因子の測定")</f>
        <v>神経成長因子の測定</v>
      </c>
    </row>
    <row r="3601" spans="1:9" ht="30">
      <c r="A3601" s="3" t="s">
        <v>6</v>
      </c>
      <c r="B3601" s="3" t="s">
        <v>14854</v>
      </c>
      <c r="C3601" s="3" t="s">
        <v>14855</v>
      </c>
      <c r="D3601" s="3" t="s">
        <v>14855</v>
      </c>
      <c r="E3601" s="3" t="s">
        <v>14856</v>
      </c>
      <c r="F3601" s="3" t="s">
        <v>14857</v>
      </c>
      <c r="G3601" s="3" t="str">
        <f ca="1">IFERROR(__xludf.DUMMYFUNCTION("googletranslate(D3601,""en"",""ja"")"),"神経成長因子アルファ")</f>
        <v>神経成長因子アルファ</v>
      </c>
      <c r="H3601" s="3" t="str">
        <f ca="1">IFERROR(__xludf.DUMMYFUNCTION("googletranslate(E3601,""en"",""ja"")"),"生物学的標本中の神経成長因子アルファの測定。")</f>
        <v>生物学的標本中の神経成長因子アルファの測定。</v>
      </c>
      <c r="I3601" s="3" t="str">
        <f ca="1">IFERROR(__xludf.DUMMYFUNCTION("googletranslate(F3601,""en"",""ja"")"),"神経成長因子アルファの測定")</f>
        <v>神経成長因子アルファの測定</v>
      </c>
    </row>
    <row r="3602" spans="1:9" ht="30">
      <c r="A3602" s="3" t="s">
        <v>6</v>
      </c>
      <c r="B3602" s="3" t="s">
        <v>14858</v>
      </c>
      <c r="C3602" s="3" t="s">
        <v>14859</v>
      </c>
      <c r="D3602" s="3" t="s">
        <v>14859</v>
      </c>
      <c r="E3602" s="3" t="s">
        <v>14860</v>
      </c>
      <c r="F3602" s="3" t="s">
        <v>14861</v>
      </c>
      <c r="G3602" s="3" t="str">
        <f ca="1">IFERROR(__xludf.DUMMYFUNCTION("googletranslate(D3602,""en"",""ja"")"),"神経成長因子ベータ")</f>
        <v>神経成長因子ベータ</v>
      </c>
      <c r="H3602" s="3" t="str">
        <f ca="1">IFERROR(__xludf.DUMMYFUNCTION("googletranslate(E3602,""en"",""ja"")"),"生物学的標本中の神経成長因子ベータの測定。")</f>
        <v>生物学的標本中の神経成長因子ベータの測定。</v>
      </c>
      <c r="I3602" s="3" t="str">
        <f ca="1">IFERROR(__xludf.DUMMYFUNCTION("googletranslate(F3602,""en"",""ja"")"),"神経成長因子ベータ測定")</f>
        <v>神経成長因子ベータ測定</v>
      </c>
    </row>
    <row r="3603" spans="1:9" ht="30">
      <c r="A3603" s="3" t="s">
        <v>6</v>
      </c>
      <c r="B3603" s="3" t="s">
        <v>14862</v>
      </c>
      <c r="C3603" s="3" t="s">
        <v>14863</v>
      </c>
      <c r="D3603" s="3" t="s">
        <v>14863</v>
      </c>
      <c r="E3603" s="3" t="s">
        <v>14864</v>
      </c>
      <c r="F3603" s="3" t="s">
        <v>14865</v>
      </c>
      <c r="G3603" s="3" t="str">
        <f ca="1">IFERROR(__xludf.DUMMYFUNCTION("googletranslate(D3603,""en"",""ja"")"),"神経成長因子ガンマ")</f>
        <v>神経成長因子ガンマ</v>
      </c>
      <c r="H3603" s="3" t="str">
        <f ca="1">IFERROR(__xludf.DUMMYFUNCTION("googletranslate(E3603,""en"",""ja"")"),"生物学的標本中の神経成長因子ガンマの測定。")</f>
        <v>生物学的標本中の神経成長因子ガンマの測定。</v>
      </c>
      <c r="I3603" s="3" t="str">
        <f ca="1">IFERROR(__xludf.DUMMYFUNCTION("googletranslate(F3603,""en"",""ja"")"),"神経成長因子ガンマ測定")</f>
        <v>神経成長因子ガンマ測定</v>
      </c>
    </row>
    <row r="3604" spans="1:9" ht="45">
      <c r="A3604" s="3" t="s">
        <v>103</v>
      </c>
      <c r="B3604" s="3" t="s">
        <v>14866</v>
      </c>
      <c r="C3604" s="3" t="s">
        <v>14867</v>
      </c>
      <c r="D3604" s="3" t="s">
        <v>14868</v>
      </c>
      <c r="E3604" s="3" t="s">
        <v>14869</v>
      </c>
      <c r="F3604" s="3" t="s">
        <v>14870</v>
      </c>
      <c r="G3604" s="3" t="str">
        <f ca="1">IFERROR(__xludf.DUMMYFUNCTION("googletranslate(D3604,""en"",""ja"")"),"白血球、非顆粒球性。グラン・ルーク以外。非顆粒球性白血球")</f>
        <v>白血球、非顆粒球性。グラン・ルーク以外。非顆粒球性白血球</v>
      </c>
      <c r="H3604" s="3" t="str">
        <f ca="1">IFERROR(__xludf.DUMMYFUNCTION("googletranslate(E3604,""en"",""ja"")"),"生物学的標本中の非顆粒球性白血球の測定。")</f>
        <v>生物学的標本中の非顆粒球性白血球の測定。</v>
      </c>
      <c r="I3604" s="3" t="str">
        <f ca="1">IFERROR(__xludf.DUMMYFUNCTION("googletranslate(F3604,""en"",""ja"")"),"非顆粒球性白血球数")</f>
        <v>非顆粒球性白血球数</v>
      </c>
    </row>
    <row r="3605" spans="1:9" ht="30">
      <c r="A3605" s="3" t="s">
        <v>67</v>
      </c>
      <c r="B3605" s="3" t="s">
        <v>14871</v>
      </c>
      <c r="C3605" s="3" t="s">
        <v>14872</v>
      </c>
      <c r="D3605" s="3" t="s">
        <v>14872</v>
      </c>
      <c r="E3605" s="3" t="s">
        <v>14873</v>
      </c>
      <c r="F3605" s="3" t="s">
        <v>14874</v>
      </c>
      <c r="G3605" s="3" t="str">
        <f ca="1">IFERROR(__xludf.DUMMYFUNCTION("googletranslate(D3605,""en"",""ja"")"),"淋菌")</f>
        <v>淋菌</v>
      </c>
      <c r="H3605" s="3" t="str">
        <f ca="1">IFERROR(__xludf.DUMMYFUNCTION("googletranslate(E3605,""en"",""ja"")"),"生物学的標本中の淋菌の測定。")</f>
        <v>生物学的標本中の淋菌の測定。</v>
      </c>
      <c r="I3605" s="3" t="str">
        <f ca="1">IFERROR(__xludf.DUMMYFUNCTION("googletranslate(F3605,""en"",""ja"")"),"淋菌の測定")</f>
        <v>淋菌の測定</v>
      </c>
    </row>
    <row r="3606" spans="1:9" ht="30">
      <c r="A3606" s="3" t="s">
        <v>67</v>
      </c>
      <c r="B3606" s="3" t="s">
        <v>14875</v>
      </c>
      <c r="C3606" s="3" t="s">
        <v>14876</v>
      </c>
      <c r="D3606" s="3" t="s">
        <v>14876</v>
      </c>
      <c r="E3606" s="3" t="s">
        <v>14877</v>
      </c>
      <c r="F3606" s="3" t="s">
        <v>14878</v>
      </c>
      <c r="G3606" s="3" t="str">
        <f ca="1">IFERROR(__xludf.DUMMYFUNCTION("googletranslate(D3606,""en"",""ja"")"),"淋菌、ベータラクタマーゼ陰性")</f>
        <v>淋菌、ベータラクタマーゼ陰性</v>
      </c>
      <c r="H3606" s="3" t="str">
        <f ca="1">IFERROR(__xludf.DUMMYFUNCTION("googletranslate(E3606,""en"",""ja"")"),"生物学的標本中の淋菌のベータラクタマーゼ陰性株の測定。")</f>
        <v>生物学的標本中の淋菌のベータラクタマーゼ陰性株の測定。</v>
      </c>
      <c r="I3606" s="3" t="str">
        <f ca="1">IFERROR(__xludf.DUMMYFUNCTION("googletranslate(F3606,""en"",""ja"")"),"淋菌、ベータラクタマーゼ陰性測定")</f>
        <v>淋菌、ベータラクタマーゼ陰性測定</v>
      </c>
    </row>
    <row r="3607" spans="1:9" ht="30">
      <c r="A3607" s="3" t="s">
        <v>67</v>
      </c>
      <c r="B3607" s="3" t="s">
        <v>14879</v>
      </c>
      <c r="C3607" s="3" t="s">
        <v>14880</v>
      </c>
      <c r="D3607" s="3" t="s">
        <v>14880</v>
      </c>
      <c r="E3607" s="3" t="s">
        <v>14881</v>
      </c>
      <c r="F3607" s="3" t="s">
        <v>14882</v>
      </c>
      <c r="G3607" s="3" t="str">
        <f ca="1">IFERROR(__xludf.DUMMYFUNCTION("googletranslate(D3607,""en"",""ja"")"),"淋菌、ベータラクタマーゼ陽性")</f>
        <v>淋菌、ベータラクタマーゼ陽性</v>
      </c>
      <c r="H3607" s="3" t="str">
        <f ca="1">IFERROR(__xludf.DUMMYFUNCTION("googletranslate(E3607,""en"",""ja"")"),"生物学的標本中の淋菌のベータラクタマーゼ陽性株の測定。")</f>
        <v>生物学的標本中の淋菌のベータラクタマーゼ陽性株の測定。</v>
      </c>
      <c r="I3607" s="3" t="str">
        <f ca="1">IFERROR(__xludf.DUMMYFUNCTION("googletranslate(F3607,""en"",""ja"")"),"淋菌、ベータラクタマーゼ陽性測定")</f>
        <v>淋菌、ベータラクタマーゼ陽性測定</v>
      </c>
    </row>
    <row r="3608" spans="1:9" ht="30">
      <c r="A3608" s="3" t="s">
        <v>67</v>
      </c>
      <c r="B3608" s="3" t="s">
        <v>14883</v>
      </c>
      <c r="C3608" s="3" t="s">
        <v>14884</v>
      </c>
      <c r="D3608" s="3" t="s">
        <v>14884</v>
      </c>
      <c r="E3608" s="3" t="s">
        <v>14885</v>
      </c>
      <c r="F3608" s="3" t="s">
        <v>14886</v>
      </c>
      <c r="G3608" s="3" t="str">
        <f ca="1">IFERROR(__xludf.DUMMYFUNCTION("googletranslate(D3608,""en"",""ja"")"),"淋菌のDNA")</f>
        <v>淋菌のDNA</v>
      </c>
      <c r="H3608" s="3" t="str">
        <f ca="1">IFERROR(__xludf.DUMMYFUNCTION("googletranslate(E3608,""en"",""ja"")"),"生物学的標本中の淋菌 DNA の測定。")</f>
        <v>生物学的標本中の淋菌 DNA の測定。</v>
      </c>
      <c r="I3608" s="3" t="str">
        <f ca="1">IFERROR(__xludf.DUMMYFUNCTION("googletranslate(F3608,""en"",""ja"")"),"淋菌DNA測定")</f>
        <v>淋菌DNA測定</v>
      </c>
    </row>
    <row r="3609" spans="1:9" ht="30">
      <c r="A3609" s="3" t="s">
        <v>67</v>
      </c>
      <c r="B3609" s="3" t="s">
        <v>14887</v>
      </c>
      <c r="C3609" s="3" t="s">
        <v>14888</v>
      </c>
      <c r="D3609" s="3" t="s">
        <v>14888</v>
      </c>
      <c r="E3609" s="3" t="s">
        <v>14889</v>
      </c>
      <c r="F3609" s="3" t="s">
        <v>14890</v>
      </c>
      <c r="G3609" s="3" t="str">
        <f ca="1">IFERROR(__xludf.DUMMYFUNCTION("googletranslate(D3609,""en"",""ja"")"),"淋菌RNA")</f>
        <v>淋菌RNA</v>
      </c>
      <c r="H3609" s="3" t="str">
        <f ca="1">IFERROR(__xludf.DUMMYFUNCTION("googletranslate(E3609,""en"",""ja"")"),"生物学的標本中の淋菌 RNA の測定。")</f>
        <v>生物学的標本中の淋菌 RNA の測定。</v>
      </c>
      <c r="I3609" s="3" t="str">
        <f ca="1">IFERROR(__xludf.DUMMYFUNCTION("googletranslate(F3609,""en"",""ja"")"),"淋菌RNA測定")</f>
        <v>淋菌RNA測定</v>
      </c>
    </row>
    <row r="3610" spans="1:9" ht="45">
      <c r="A3610" s="3" t="s">
        <v>6</v>
      </c>
      <c r="B3610" s="3" t="s">
        <v>14891</v>
      </c>
      <c r="C3610" s="3" t="s">
        <v>14892</v>
      </c>
      <c r="D3610" s="3" t="s">
        <v>14892</v>
      </c>
      <c r="E3610" s="3" t="s">
        <v>14893</v>
      </c>
      <c r="F3610" s="3" t="s">
        <v>14894</v>
      </c>
      <c r="G3610" s="3" t="str">
        <f ca="1">IFERROR(__xludf.DUMMYFUNCTION("googletranslate(D3610,""en"",""ja"")"),"非HDLコレステロール/LDLコレステロール")</f>
        <v>非HDLコレステロール/LDLコレステロール</v>
      </c>
      <c r="H3610" s="3" t="str">
        <f ca="1">IFERROR(__xludf.DUMMYFUNCTION("googletranslate(E3610,""en"",""ja"")"),"生物学的標本における LDL コレステロールに対する非 HDL コレステロールの相対測定値 (比率またはパーセンテージ)。")</f>
        <v>生物学的標本における LDL コレステロールに対する非 HDL コレステロールの相対測定値 (比率またはパーセンテージ)。</v>
      </c>
      <c r="I3610" s="3" t="str">
        <f ca="1">IFERROR(__xludf.DUMMYFUNCTION("googletranslate(F3610,""en"",""ja"")"),"Non-HDLコレステロール対LDLコレステロール比の測定")</f>
        <v>Non-HDLコレステロール対LDLコレステロール比の測定</v>
      </c>
    </row>
    <row r="3611" spans="1:9" ht="30">
      <c r="A3611" s="3" t="s">
        <v>6</v>
      </c>
      <c r="B3611" s="3" t="s">
        <v>14895</v>
      </c>
      <c r="C3611" s="3" t="s">
        <v>14896</v>
      </c>
      <c r="D3611" s="3" t="s">
        <v>14896</v>
      </c>
      <c r="E3611" s="3" t="s">
        <v>14897</v>
      </c>
      <c r="F3611" s="3" t="s">
        <v>14898</v>
      </c>
      <c r="G3611" s="3" t="str">
        <f ca="1">IFERROR(__xludf.DUMMYFUNCTION("googletranslate(D3611,""en"",""ja"")"),"非血液細胞")</f>
        <v>非血液細胞</v>
      </c>
      <c r="H3611" s="3" t="str">
        <f ca="1">IFERROR(__xludf.DUMMYFUNCTION("googletranslate(E3611,""en"",""ja"")"),"生物学的標本中の非造血起源の細胞の測定。")</f>
        <v>生物学的標本中の非造血起源の細胞の測定。</v>
      </c>
      <c r="I3611" s="3" t="str">
        <f ca="1">IFERROR(__xludf.DUMMYFUNCTION("googletranslate(F3611,""en"",""ja"")"),"非血液細胞数")</f>
        <v>非血液細胞数</v>
      </c>
    </row>
    <row r="3612" spans="1:9" ht="30">
      <c r="A3612" s="3" t="s">
        <v>6</v>
      </c>
      <c r="B3612" s="3" t="s">
        <v>14899</v>
      </c>
      <c r="C3612" s="3" t="s">
        <v>14900</v>
      </c>
      <c r="D3612" s="3" t="s">
        <v>14900</v>
      </c>
      <c r="E3612" s="3" t="s">
        <v>14901</v>
      </c>
      <c r="F3612" s="3" t="s">
        <v>14902</v>
      </c>
      <c r="G3612" s="3" t="str">
        <f ca="1">IFERROR(__xludf.DUMMYFUNCTION("googletranslate(D3612,""en"",""ja"")"),"非血球細胞/白血球")</f>
        <v>非血球細胞/白血球</v>
      </c>
      <c r="H3612" s="3" t="str">
        <f ca="1">IFERROR(__xludf.DUMMYFUNCTION("googletranslate(E3612,""en"",""ja"")"),"生物学的標本中の全白血球に対する非血液細胞の相対測定値 (比率)。")</f>
        <v>生物学的標本中の全白血球に対する非血液細胞の相対測定値 (比率)。</v>
      </c>
      <c r="I3612" s="3" t="str">
        <f ca="1">IFERROR(__xludf.DUMMYFUNCTION("googletranslate(F3612,""en"",""ja"")"),"非血液細胞と白血球の比率の測定")</f>
        <v>非血液細胞と白血球の比率の測定</v>
      </c>
    </row>
    <row r="3613" spans="1:9" ht="30">
      <c r="A3613" s="3" t="s">
        <v>6</v>
      </c>
      <c r="B3613" s="3" t="s">
        <v>14903</v>
      </c>
      <c r="C3613" s="3" t="s">
        <v>14904</v>
      </c>
      <c r="D3613" s="3" t="s">
        <v>14904</v>
      </c>
      <c r="E3613" s="3" t="s">
        <v>14905</v>
      </c>
      <c r="F3613" s="3" t="s">
        <v>14906</v>
      </c>
      <c r="G3613" s="3" t="str">
        <f ca="1">IFERROR(__xludf.DUMMYFUNCTION("googletranslate(D3613,""en"",""ja"")"),"ノルヒドロコドン")</f>
        <v>ノルヒドロコドン</v>
      </c>
      <c r="H3613" s="3" t="str">
        <f ca="1">IFERROR(__xludf.DUMMYFUNCTION("googletranslate(E3613,""en"",""ja"")"),"生物学的標本中のノルヒドロコドンの測定。")</f>
        <v>生物学的標本中のノルヒドロコドンの測定。</v>
      </c>
      <c r="I3613" s="3" t="str">
        <f ca="1">IFERROR(__xludf.DUMMYFUNCTION("googletranslate(F3613,""en"",""ja"")"),"ノルヒドロコドンの測定")</f>
        <v>ノルヒドロコドンの測定</v>
      </c>
    </row>
    <row r="3614" spans="1:9">
      <c r="A3614" s="3" t="s">
        <v>51</v>
      </c>
      <c r="B3614" s="3" t="s">
        <v>14907</v>
      </c>
      <c r="C3614" s="3" t="s">
        <v>14908</v>
      </c>
      <c r="D3614" s="3" t="s">
        <v>14909</v>
      </c>
      <c r="E3614" s="3" t="s">
        <v>14910</v>
      </c>
      <c r="F3614" s="3" t="s">
        <v>14911</v>
      </c>
      <c r="G3614" s="3" t="str">
        <f ca="1">IFERROR(__xludf.DUMMYFUNCTION("googletranslate(D3614,""en"",""ja"")"),"に;ニッケル")</f>
        <v>に;ニッケル</v>
      </c>
      <c r="H3614" s="3" t="str">
        <f ca="1">IFERROR(__xludf.DUMMYFUNCTION("googletranslate(E3614,""en"",""ja"")"),"試験片中のニッケルの測定。")</f>
        <v>試験片中のニッケルの測定。</v>
      </c>
      <c r="I3614" s="3" t="str">
        <f ca="1">IFERROR(__xludf.DUMMYFUNCTION("googletranslate(F3614,""en"",""ja"")"),"ニッケル測定")</f>
        <v>ニッケル測定</v>
      </c>
    </row>
    <row r="3615" spans="1:9">
      <c r="A3615" s="3" t="s">
        <v>51</v>
      </c>
      <c r="B3615" s="3" t="s">
        <v>14912</v>
      </c>
      <c r="C3615" s="3" t="s">
        <v>14913</v>
      </c>
      <c r="D3615" s="3" t="s">
        <v>14913</v>
      </c>
      <c r="E3615" s="3" t="s">
        <v>14914</v>
      </c>
      <c r="F3615" s="3" t="s">
        <v>14915</v>
      </c>
      <c r="G3615" s="3" t="str">
        <f ca="1">IFERROR(__xludf.DUMMYFUNCTION("googletranslate(D3615,""en"",""ja"")"),"ニコチン")</f>
        <v>ニコチン</v>
      </c>
      <c r="H3615" s="3" t="str">
        <f ca="1">IFERROR(__xludf.DUMMYFUNCTION("googletranslate(E3615,""en"",""ja"")"),"検体中のニコチンの測定。")</f>
        <v>検体中のニコチンの測定。</v>
      </c>
      <c r="I3615" s="3" t="str">
        <f ca="1">IFERROR(__xludf.DUMMYFUNCTION("googletranslate(F3615,""en"",""ja"")"),"ニコチン測定")</f>
        <v>ニコチン測定</v>
      </c>
    </row>
    <row r="3616" spans="1:9">
      <c r="A3616" s="3" t="s">
        <v>6</v>
      </c>
      <c r="B3616" s="3" t="s">
        <v>14912</v>
      </c>
      <c r="C3616" s="3" t="s">
        <v>14913</v>
      </c>
      <c r="D3616" s="3" t="s">
        <v>14913</v>
      </c>
      <c r="E3616" s="3" t="s">
        <v>14914</v>
      </c>
      <c r="F3616" s="3" t="s">
        <v>14915</v>
      </c>
      <c r="G3616" s="3" t="str">
        <f ca="1">IFERROR(__xludf.DUMMYFUNCTION("googletranslate(D3616,""en"",""ja"")"),"ニコチン")</f>
        <v>ニコチン</v>
      </c>
      <c r="H3616" s="3" t="str">
        <f ca="1">IFERROR(__xludf.DUMMYFUNCTION("googletranslate(E3616,""en"",""ja"")"),"検体中のニコチンの測定。")</f>
        <v>検体中のニコチンの測定。</v>
      </c>
      <c r="I3616" s="3" t="str">
        <f ca="1">IFERROR(__xludf.DUMMYFUNCTION("googletranslate(F3616,""en"",""ja"")"),"ニコチン測定")</f>
        <v>ニコチン測定</v>
      </c>
    </row>
    <row r="3617" spans="1:9">
      <c r="A3617" s="3" t="s">
        <v>51</v>
      </c>
      <c r="B3617" s="3" t="s">
        <v>14916</v>
      </c>
      <c r="C3617" s="3" t="s">
        <v>14917</v>
      </c>
      <c r="D3617" s="3" t="s">
        <v>14917</v>
      </c>
      <c r="E3617" s="3" t="s">
        <v>14918</v>
      </c>
      <c r="F3617" s="3" t="s">
        <v>14917</v>
      </c>
      <c r="G3617" s="3" t="str">
        <f ca="1">IFERROR(__xludf.DUMMYFUNCTION("googletranslate(D3617,""en"",""ja"")"),"ニコチン溶解速度")</f>
        <v>ニコチン溶解速度</v>
      </c>
      <c r="H3617" s="3" t="str">
        <f ca="1">IFERROR(__xludf.DUMMYFUNCTION("googletranslate(E3617,""en"",""ja"")"),"ニコチンが媒体に溶解する速度。")</f>
        <v>ニコチンが媒体に溶解する速度。</v>
      </c>
      <c r="I3617" s="3" t="str">
        <f ca="1">IFERROR(__xludf.DUMMYFUNCTION("googletranslate(F3617,""en"",""ja"")"),"ニコチン溶解速度")</f>
        <v>ニコチン溶解速度</v>
      </c>
    </row>
    <row r="3618" spans="1:9" ht="45">
      <c r="A3618" s="3" t="s">
        <v>6</v>
      </c>
      <c r="B3618" s="3" t="s">
        <v>14919</v>
      </c>
      <c r="C3618" s="3" t="s">
        <v>14920</v>
      </c>
      <c r="D3618" s="3" t="s">
        <v>14921</v>
      </c>
      <c r="E3618" s="3" t="s">
        <v>14922</v>
      </c>
      <c r="F3618" s="3" t="s">
        <v>14923</v>
      </c>
      <c r="G3618" s="3" t="str">
        <f ca="1">IFERROR(__xludf.DUMMYFUNCTION("googletranslate(D3618,""en"",""ja"")"),"ニコチンおよび/または代謝物;ニコチン同等物; TNE;総ニコチン当量")</f>
        <v>ニコチンおよび/または代謝物;ニコチン同等物; TNE;総ニコチン当量</v>
      </c>
      <c r="H3618" s="3" t="str">
        <f ca="1">IFERROR(__xludf.DUMMYFUNCTION("googletranslate(E3618,""en"",""ja"")"),"ニコチンとその代謝物の両方を測定できるアッセイのための、検体中に存在するニコチンおよび/またはその代謝物の測定。")</f>
        <v>ニコチンとその代謝物の両方を測定できるアッセイのための、検体中に存在するニコチンおよび/またはその代謝物の測定。</v>
      </c>
      <c r="I3618" s="3" t="str">
        <f ca="1">IFERROR(__xludf.DUMMYFUNCTION("googletranslate(F3618,""en"",""ja"")"),"ニコチンおよび/または代謝物の測定")</f>
        <v>ニコチンおよび/または代謝物の測定</v>
      </c>
    </row>
    <row r="3619" spans="1:9" ht="30">
      <c r="A3619" s="3" t="s">
        <v>6</v>
      </c>
      <c r="B3619" s="3" t="s">
        <v>14924</v>
      </c>
      <c r="C3619" s="3" t="s">
        <v>14925</v>
      </c>
      <c r="D3619" s="3" t="s">
        <v>14925</v>
      </c>
      <c r="E3619" s="3" t="s">
        <v>5000</v>
      </c>
      <c r="F3619" s="3" t="s">
        <v>14926</v>
      </c>
      <c r="G3619" s="3" t="str">
        <f ca="1">IFERROR(__xludf.DUMMYFUNCTION("googletranslate(D3619,""en"",""ja"")"),"ニコチン、無料")</f>
        <v>ニコチン、無料</v>
      </c>
      <c r="H3619" s="3" t="str">
        <f ca="1">IFERROR(__xludf.DUMMYFUNCTION("googletranslate(E3619,""en"",""ja"")"),"標本中の遊離（結合していない）コチニンの測定。")</f>
        <v>標本中の遊離（結合していない）コチニンの測定。</v>
      </c>
      <c r="I3619" s="3" t="str">
        <f ca="1">IFERROR(__xludf.DUMMYFUNCTION("googletranslate(F3619,""en"",""ja"")"),"無料のニコチン測定")</f>
        <v>無料のニコチン測定</v>
      </c>
    </row>
    <row r="3620" spans="1:9" ht="30">
      <c r="A3620" s="3" t="s">
        <v>185</v>
      </c>
      <c r="B3620" s="3" t="s">
        <v>14927</v>
      </c>
      <c r="C3620" s="3" t="s">
        <v>14928</v>
      </c>
      <c r="D3620" s="3" t="s">
        <v>14928</v>
      </c>
      <c r="E3620" s="3" t="s">
        <v>14929</v>
      </c>
      <c r="F3620" s="3" t="s">
        <v>14930</v>
      </c>
      <c r="G3620" s="3" t="str">
        <f ca="1">IFERROR(__xludf.DUMMYFUNCTION("googletranslate(D3620,""en"",""ja"")"),"非侵襲的な画像変化")</f>
        <v>非侵襲的な画像変化</v>
      </c>
      <c r="H3620" s="3" t="str">
        <f ca="1">IFERROR(__xludf.DUMMYFUNCTION("googletranslate(E3620,""en"",""ja"")"),"非侵襲的画像処置後の被験者の臨床的変化の説明。")</f>
        <v>非侵襲的画像処置後の被験者の臨床的変化の説明。</v>
      </c>
      <c r="I3620" s="3" t="str">
        <f ca="1">IFERROR(__xludf.DUMMYFUNCTION("googletranslate(F3620,""en"",""ja"")"),"非侵襲的画像診断法による臨床変化")</f>
        <v>非侵襲的画像診断法による臨床変化</v>
      </c>
    </row>
    <row r="3621" spans="1:9">
      <c r="A3621" s="3" t="s">
        <v>6</v>
      </c>
      <c r="B3621" s="3" t="s">
        <v>14931</v>
      </c>
      <c r="C3621" s="3" t="s">
        <v>14932</v>
      </c>
      <c r="D3621" s="3" t="s">
        <v>14933</v>
      </c>
      <c r="E3621" s="3" t="s">
        <v>14934</v>
      </c>
      <c r="F3621" s="3" t="s">
        <v>14935</v>
      </c>
      <c r="G3621" s="3" t="str">
        <f ca="1">IFERROR(__xludf.DUMMYFUNCTION("googletranslate(D3621,""en"",""ja"")"),"硝酸塩;硝酸")</f>
        <v>硝酸塩;硝酸</v>
      </c>
      <c r="H3621" s="3" t="str">
        <f ca="1">IFERROR(__xludf.DUMMYFUNCTION("googletranslate(E3621,""en"",""ja"")"),"生物学的標本中の硝酸塩の測定。")</f>
        <v>生物学的標本中の硝酸塩の測定。</v>
      </c>
      <c r="I3621" s="3" t="str">
        <f ca="1">IFERROR(__xludf.DUMMYFUNCTION("googletranslate(F3621,""en"",""ja"")"),"硝酸塩測定")</f>
        <v>硝酸塩測定</v>
      </c>
    </row>
    <row r="3622" spans="1:9">
      <c r="A3622" s="3" t="s">
        <v>6</v>
      </c>
      <c r="B3622" s="3" t="s">
        <v>14936</v>
      </c>
      <c r="C3622" s="3" t="s">
        <v>14937</v>
      </c>
      <c r="D3622" s="3" t="s">
        <v>14938</v>
      </c>
      <c r="E3622" s="3" t="s">
        <v>14939</v>
      </c>
      <c r="F3622" s="3" t="s">
        <v>14940</v>
      </c>
      <c r="G3622" s="3" t="str">
        <f ca="1">IFERROR(__xludf.DUMMYFUNCTION("googletranslate(D3622,""en"",""ja"")"),"一酸化窒素;いいえ")</f>
        <v>一酸化窒素;いいえ</v>
      </c>
      <c r="H3622" s="3" t="str">
        <f ca="1">IFERROR(__xludf.DUMMYFUNCTION("googletranslate(E3622,""en"",""ja"")"),"生体試料中の一酸化窒素の測定。")</f>
        <v>生体試料中の一酸化窒素の測定。</v>
      </c>
      <c r="I3622" s="3" t="str">
        <f ca="1">IFERROR(__xludf.DUMMYFUNCTION("googletranslate(F3622,""en"",""ja"")"),"一酸化窒素の測定")</f>
        <v>一酸化窒素の測定</v>
      </c>
    </row>
    <row r="3623" spans="1:9">
      <c r="A3623" s="3" t="s">
        <v>6</v>
      </c>
      <c r="B3623" s="3" t="s">
        <v>14941</v>
      </c>
      <c r="C3623" s="3" t="s">
        <v>14942</v>
      </c>
      <c r="D3623" s="3" t="s">
        <v>14942</v>
      </c>
      <c r="E3623" s="3" t="s">
        <v>14943</v>
      </c>
      <c r="F3623" s="3" t="s">
        <v>14944</v>
      </c>
      <c r="G3623" s="3" t="str">
        <f ca="1">IFERROR(__xludf.DUMMYFUNCTION("googletranslate(D3623,""en"",""ja"")"),"亜硝酸塩")</f>
        <v>亜硝酸塩</v>
      </c>
      <c r="H3623" s="3" t="str">
        <f ca="1">IFERROR(__xludf.DUMMYFUNCTION("googletranslate(E3623,""en"",""ja"")"),"生物学的標本中の亜硝酸塩の測定。")</f>
        <v>生物学的標本中の亜硝酸塩の測定。</v>
      </c>
      <c r="I3623" s="3" t="str">
        <f ca="1">IFERROR(__xludf.DUMMYFUNCTION("googletranslate(F3623,""en"",""ja"")"),"亜硝酸塩測定")</f>
        <v>亜硝酸塩測定</v>
      </c>
    </row>
    <row r="3624" spans="1:9" ht="30">
      <c r="A3624" s="3" t="s">
        <v>103</v>
      </c>
      <c r="B3624" s="3" t="s">
        <v>14945</v>
      </c>
      <c r="C3624" s="3" t="s">
        <v>14946</v>
      </c>
      <c r="D3624" s="3" t="s">
        <v>14946</v>
      </c>
      <c r="E3624" s="3" t="s">
        <v>14947</v>
      </c>
      <c r="F3624" s="3" t="s">
        <v>14948</v>
      </c>
      <c r="G3624" s="3" t="str">
        <f ca="1">IFERROR(__xludf.DUMMYFUNCTION("googletranslate(D3624,""en"",""ja"")"),"ナチュラルキラー細胞")</f>
        <v>ナチュラルキラー細胞</v>
      </c>
      <c r="H3624" s="3" t="str">
        <f ca="1">IFERROR(__xludf.DUMMYFUNCTION("googletranslate(E3624,""en"",""ja"")"),"生物学的標本中のナチュラルキラー細胞の総数の測定。")</f>
        <v>生物学的標本中のナチュラルキラー細胞の総数の測定。</v>
      </c>
      <c r="I3624" s="3" t="str">
        <f ca="1">IFERROR(__xludf.DUMMYFUNCTION("googletranslate(F3624,""en"",""ja"")"),"ナチュラルキラー細胞数")</f>
        <v>ナチュラルキラー細胞数</v>
      </c>
    </row>
    <row r="3625" spans="1:9" ht="30">
      <c r="A3625" s="3" t="s">
        <v>6</v>
      </c>
      <c r="B3625" s="3" t="s">
        <v>14945</v>
      </c>
      <c r="C3625" s="3" t="s">
        <v>14946</v>
      </c>
      <c r="D3625" s="3" t="s">
        <v>14946</v>
      </c>
      <c r="E3625" s="3" t="s">
        <v>14947</v>
      </c>
      <c r="F3625" s="3" t="s">
        <v>14948</v>
      </c>
      <c r="G3625" s="3" t="str">
        <f ca="1">IFERROR(__xludf.DUMMYFUNCTION("googletranslate(D3625,""en"",""ja"")"),"ナチュラルキラー細胞")</f>
        <v>ナチュラルキラー細胞</v>
      </c>
      <c r="H3625" s="3" t="str">
        <f ca="1">IFERROR(__xludf.DUMMYFUNCTION("googletranslate(E3625,""en"",""ja"")"),"生物学的標本中のナチュラルキラー細胞の総数の測定。")</f>
        <v>生物学的標本中のナチュラルキラー細胞の総数の測定。</v>
      </c>
      <c r="I3625" s="3" t="str">
        <f ca="1">IFERROR(__xludf.DUMMYFUNCTION("googletranslate(F3625,""en"",""ja"")"),"ナチュラルキラー細胞数")</f>
        <v>ナチュラルキラー細胞数</v>
      </c>
    </row>
    <row r="3626" spans="1:9" ht="45">
      <c r="A3626" s="3" t="s">
        <v>103</v>
      </c>
      <c r="B3626" s="3" t="s">
        <v>14949</v>
      </c>
      <c r="C3626" s="3" t="s">
        <v>14950</v>
      </c>
      <c r="D3626" s="3" t="s">
        <v>14950</v>
      </c>
      <c r="E3626" s="3" t="s">
        <v>14951</v>
      </c>
      <c r="F3626" s="3" t="s">
        <v>14952</v>
      </c>
      <c r="G3626" s="3" t="str">
        <f ca="1">IFERROR(__xludf.DUMMYFUNCTION("googletranslate(D3626,""en"",""ja"")"),"ナチュラルキラー細胞/総細胞数")</f>
        <v>ナチュラルキラー細胞/総細胞数</v>
      </c>
      <c r="H3626" s="3" t="str">
        <f ca="1">IFERROR(__xludf.DUMMYFUNCTION("googletranslate(E3626,""en"",""ja"")"),"生物学的標本の全細胞に対するナチュラルキラー細胞の相対的な測定値 (比率またはパーセンテージ)。")</f>
        <v>生物学的標本の全細胞に対するナチュラルキラー細胞の相対的な測定値 (比率またはパーセンテージ)。</v>
      </c>
      <c r="I3626" s="3" t="str">
        <f ca="1">IFERROR(__xludf.DUMMYFUNCTION("googletranslate(F3626,""en"",""ja"")"),"ナチュラルキラー細胞と全細胞の比率の測定")</f>
        <v>ナチュラルキラー細胞と全細胞の比率の測定</v>
      </c>
    </row>
    <row r="3627" spans="1:9" ht="30">
      <c r="A3627" s="3" t="s">
        <v>6</v>
      </c>
      <c r="B3627" s="3" t="s">
        <v>14953</v>
      </c>
      <c r="C3627" s="3" t="s">
        <v>14954</v>
      </c>
      <c r="D3627" s="3" t="s">
        <v>14955</v>
      </c>
      <c r="E3627" s="3" t="s">
        <v>14956</v>
      </c>
      <c r="F3627" s="3" t="s">
        <v>14957</v>
      </c>
      <c r="G3627" s="3" t="str">
        <f ca="1">IFERROR(__xludf.DUMMYFUNCTION("googletranslate(D3627,""en"",""ja"")"),"ナチュラルキラー細胞の活性;ナチュラルキラー細胞の機能")</f>
        <v>ナチュラルキラー細胞の活性;ナチュラルキラー細胞の機能</v>
      </c>
      <c r="H3627" s="3" t="str">
        <f ca="1">IFERROR(__xludf.DUMMYFUNCTION("googletranslate(E3627,""en"",""ja"")"),"生物学的標本におけるナチュラルキラー細胞の機能の測定。")</f>
        <v>生物学的標本におけるナチュラルキラー細胞の機能の測定。</v>
      </c>
      <c r="I3627" s="3" t="str">
        <f ca="1">IFERROR(__xludf.DUMMYFUNCTION("googletranslate(F3627,""en"",""ja"")"),"ナチュラルキラー細胞活性測定")</f>
        <v>ナチュラルキラー細胞活性測定</v>
      </c>
    </row>
    <row r="3628" spans="1:9" ht="45">
      <c r="A3628" s="3" t="s">
        <v>180</v>
      </c>
      <c r="B3628" s="3" t="s">
        <v>14958</v>
      </c>
      <c r="C3628" s="3" t="s">
        <v>14959</v>
      </c>
      <c r="D3628" s="3" t="s">
        <v>14960</v>
      </c>
      <c r="E3628" s="3" t="s">
        <v>14961</v>
      </c>
      <c r="F3628" s="3" t="s">
        <v>14962</v>
      </c>
      <c r="G3628" s="3" t="str">
        <f ca="1">IFERROR(__xludf.DUMMYFUNCTION("googletranslate(D3628,""en"",""ja"")"),"ナチュラルキラー細胞媒介細胞溶解; NK細胞媒介細胞溶解")</f>
        <v>ナチュラルキラー細胞媒介細胞溶解; NK細胞媒介細胞溶解</v>
      </c>
      <c r="H3628" s="3" t="str">
        <f ca="1">IFERROR(__xludf.DUMMYFUNCTION("googletranslate(E3628,""en"",""ja"")"),"生物学的標本中のナチュラルキラー細胞によって媒介される標的細胞の溶解の測定。")</f>
        <v>生物学的標本中のナチュラルキラー細胞によって媒介される標的細胞の溶解の測定。</v>
      </c>
      <c r="I3628" s="3" t="str">
        <f ca="1">IFERROR(__xludf.DUMMYFUNCTION("googletranslate(F3628,""en"",""ja"")"),"ナチュラルキラー細胞媒介細胞溶解評価")</f>
        <v>ナチュラルキラー細胞媒介細胞溶解評価</v>
      </c>
    </row>
    <row r="3629" spans="1:9" ht="30">
      <c r="A3629" s="3" t="s">
        <v>103</v>
      </c>
      <c r="B3629" s="3" t="s">
        <v>14963</v>
      </c>
      <c r="C3629" s="3" t="s">
        <v>14964</v>
      </c>
      <c r="D3629" s="3" t="s">
        <v>14965</v>
      </c>
      <c r="E3629" s="3" t="s">
        <v>14966</v>
      </c>
      <c r="F3629" s="3" t="s">
        <v>14967</v>
      </c>
      <c r="G3629" s="3" t="str">
        <f ca="1">IFERROR(__xludf.DUMMYFUNCTION("googletranslate(D3629,""en"",""ja"")"),"ナチュラルキラー細胞は未熟です。 NK細胞イマット")</f>
        <v>ナチュラルキラー細胞は未熟です。 NK細胞イマット</v>
      </c>
      <c r="H3629" s="3" t="str">
        <f ca="1">IFERROR(__xludf.DUMMYFUNCTION("googletranslate(E3629,""en"",""ja"")"),"生物学的標本中の未熟なナチュラルキラー細胞の測定。")</f>
        <v>生物学的標本中の未熟なナチュラルキラー細胞の測定。</v>
      </c>
      <c r="I3629" s="3" t="str">
        <f ca="1">IFERROR(__xludf.DUMMYFUNCTION("googletranslate(F3629,""en"",""ja"")"),"未熟ナチュラルキラー細胞数")</f>
        <v>未熟ナチュラルキラー細胞数</v>
      </c>
    </row>
    <row r="3630" spans="1:9" ht="30">
      <c r="A3630" s="3" t="s">
        <v>103</v>
      </c>
      <c r="B3630" s="3" t="s">
        <v>14968</v>
      </c>
      <c r="C3630" s="3" t="s">
        <v>14969</v>
      </c>
      <c r="D3630" s="3" t="s">
        <v>14970</v>
      </c>
      <c r="E3630" s="3" t="s">
        <v>14971</v>
      </c>
      <c r="F3630" s="3" t="s">
        <v>14972</v>
      </c>
      <c r="G3630" s="3" t="str">
        <f ca="1">IFERROR(__xludf.DUMMYFUNCTION("googletranslate(D3630,""en"",""ja"")"),"ナチュラルキラー細胞の未熟な中間体。 NK細胞Immat Int")</f>
        <v>ナチュラルキラー細胞の未熟な中間体。 NK細胞Immat Int</v>
      </c>
      <c r="H3630" s="3" t="str">
        <f ca="1">IFERROR(__xludf.DUMMYFUNCTION("googletranslate(E3630,""en"",""ja"")"),"生物学的標本中の未熟な中間ナチュラルキラー細胞の測定。")</f>
        <v>生物学的標本中の未熟な中間ナチュラルキラー細胞の測定。</v>
      </c>
      <c r="I3630" s="3" t="str">
        <f ca="1">IFERROR(__xludf.DUMMYFUNCTION("googletranslate(F3630,""en"",""ja"")"),"未成熟中間ナチュラルキラー細胞数")</f>
        <v>未成熟中間ナチュラルキラー細胞数</v>
      </c>
    </row>
    <row r="3631" spans="1:9" ht="45">
      <c r="A3631" s="3" t="s">
        <v>103</v>
      </c>
      <c r="B3631" s="3" t="s">
        <v>14973</v>
      </c>
      <c r="C3631" s="3" t="s">
        <v>14974</v>
      </c>
      <c r="D3631" s="3" t="s">
        <v>14975</v>
      </c>
      <c r="E3631" s="3" t="s">
        <v>14976</v>
      </c>
      <c r="F3631" s="3" t="s">
        <v>14977</v>
      </c>
      <c r="G3631" s="3" t="str">
        <f ca="1">IFERROR(__xludf.DUMMYFUNCTION("googletranslate(D3631,""en"",""ja"")"),"ナチュラルキラー細胞 未熟な中間体/白血球。 NK 細胞 Immat Int/Leuk")</f>
        <v>ナチュラルキラー細胞 未熟な中間体/白血球。 NK 細胞 Immat Int/Leuk</v>
      </c>
      <c r="H3631" s="3" t="str">
        <f ca="1">IFERROR(__xludf.DUMMYFUNCTION("googletranslate(E3631,""en"",""ja"")"),"生物学的標本中の白血球に対する未熟な中間ナチュラルキラー細胞の相対的な測定値 (比率またはパーセンテージ)。")</f>
        <v>生物学的標本中の白血球に対する未熟な中間ナチュラルキラー細胞の相対的な測定値 (比率またはパーセンテージ)。</v>
      </c>
      <c r="I3631" s="3" t="str">
        <f ca="1">IFERROR(__xludf.DUMMYFUNCTION("googletranslate(F3631,""en"",""ja"")"),"未熟中間ナチュラルキラー細胞と白血球の比率の測定")</f>
        <v>未熟中間ナチュラルキラー細胞と白血球の比率の測定</v>
      </c>
    </row>
    <row r="3632" spans="1:9" ht="45">
      <c r="A3632" s="3" t="s">
        <v>103</v>
      </c>
      <c r="B3632" s="3" t="s">
        <v>14978</v>
      </c>
      <c r="C3632" s="3" t="s">
        <v>14979</v>
      </c>
      <c r="D3632" s="3" t="s">
        <v>14980</v>
      </c>
      <c r="E3632" s="3" t="s">
        <v>14981</v>
      </c>
      <c r="F3632" s="3" t="s">
        <v>14982</v>
      </c>
      <c r="G3632" s="3" t="str">
        <f ca="1">IFERROR(__xludf.DUMMYFUNCTION("googletranslate(D3632,""en"",""ja"")"),"ナチュラルキラー細胞 未熟な中間体/ナチュラルキラー細胞。 NK細胞 immat Int/NK細胞")</f>
        <v>ナチュラルキラー細胞 未熟な中間体/ナチュラルキラー細胞。 NK細胞 immat Int/NK細胞</v>
      </c>
      <c r="H3632" s="3" t="str">
        <f ca="1">IFERROR(__xludf.DUMMYFUNCTION("googletranslate(E3632,""en"",""ja"")"),"生物学的標本中の全ナチュラルキラー細胞に対する未熟な中間ナチュラルキラー細胞の相対的な測定値 (比率またはパーセンテージ)。")</f>
        <v>生物学的標本中の全ナチュラルキラー細胞に対する未熟な中間ナチュラルキラー細胞の相対的な測定値 (比率またはパーセンテージ)。</v>
      </c>
      <c r="I3632" s="3" t="str">
        <f ca="1">IFERROR(__xludf.DUMMYFUNCTION("googletranslate(F3632,""en"",""ja"")"),"未成熟中間体ナチュラルキラー細胞とナチュラルキラー細胞の比率の測定")</f>
        <v>未成熟中間体ナチュラルキラー細胞とナチュラルキラー細胞の比率の測定</v>
      </c>
    </row>
    <row r="3633" spans="1:9" ht="75">
      <c r="A3633" s="3" t="s">
        <v>103</v>
      </c>
      <c r="B3633" s="3" t="s">
        <v>14983</v>
      </c>
      <c r="C3633" s="3" t="s">
        <v>14984</v>
      </c>
      <c r="D3633" s="3" t="s">
        <v>14985</v>
      </c>
      <c r="E3633" s="3" t="s">
        <v>14986</v>
      </c>
      <c r="F3633" s="3" t="s">
        <v>14987</v>
      </c>
      <c r="G3633" s="3" t="str">
        <f ca="1">IFERROR(__xludf.DUMMYFUNCTION("googletranslate(D3633,""en"",""ja"")"),"ナチュラルキラー細胞 未成熟中間部分集団/ナチュラルキラー細胞 未成熟中間; NK 細胞 Immat Int Sub/NK Immat Int")</f>
        <v>ナチュラルキラー細胞 未成熟中間部分集団/ナチュラルキラー細胞 未成熟中間; NK 細胞 Immat Int Sub/NK Immat Int</v>
      </c>
      <c r="H3633" s="3" t="str">
        <f ca="1">IFERROR(__xludf.DUMMYFUNCTION("googletranslate(E3633,""en"",""ja"")"),"生物学的標本中の未成熟中間ナチュラルキラー細胞の総数に対する未成熟中間ナチュラルキラー細胞の部分集団の相対的な測定値 (比率またはパーセンテージ)。")</f>
        <v>生物学的標本中の未成熟中間ナチュラルキラー細胞の総数に対する未成熟中間ナチュラルキラー細胞の部分集団の相対的な測定値 (比率またはパーセンテージ)。</v>
      </c>
      <c r="I3633" s="3" t="str">
        <f ca="1">IFERROR(__xludf.DUMMYFUNCTION("googletranslate(F3633,""en"",""ja"")"),"未成熟中間型ナチュラルキラー細胞亜集団と未成熟中間型ナチュラルキラー細胞の比率の測定")</f>
        <v>未成熟中間型ナチュラルキラー細胞亜集団と未成熟中間型ナチュラルキラー細胞の比率の測定</v>
      </c>
    </row>
    <row r="3634" spans="1:9" ht="45">
      <c r="A3634" s="3" t="s">
        <v>103</v>
      </c>
      <c r="B3634" s="3" t="s">
        <v>14988</v>
      </c>
      <c r="C3634" s="3" t="s">
        <v>14989</v>
      </c>
      <c r="D3634" s="3" t="s">
        <v>14990</v>
      </c>
      <c r="E3634" s="3" t="s">
        <v>14991</v>
      </c>
      <c r="F3634" s="3" t="s">
        <v>14992</v>
      </c>
      <c r="G3634" s="3" t="str">
        <f ca="1">IFERROR(__xludf.DUMMYFUNCTION("googletranslate(D3634,""en"",""ja"")"),"ナチュラルキラー細胞 未熟/白血球。 NK細胞イマット/ロイク")</f>
        <v>ナチュラルキラー細胞 未熟/白血球。 NK細胞イマット/ロイク</v>
      </c>
      <c r="H3634" s="3" t="str">
        <f ca="1">IFERROR(__xludf.DUMMYFUNCTION("googletranslate(E3634,""en"",""ja"")"),"生物学的標本中の全白血球に対する未成熟ナチュラルキラー細胞の相対的な測定値 (比率またはパーセンテージ)。")</f>
        <v>生物学的標本中の全白血球に対する未成熟ナチュラルキラー細胞の相対的な測定値 (比率またはパーセンテージ)。</v>
      </c>
      <c r="I3634" s="3" t="str">
        <f ca="1">IFERROR(__xludf.DUMMYFUNCTION("googletranslate(F3634,""en"",""ja"")"),"未熟ナチュラルキラー細胞と白血球の比率の測定")</f>
        <v>未熟ナチュラルキラー細胞と白血球の比率の測定</v>
      </c>
    </row>
    <row r="3635" spans="1:9" ht="45">
      <c r="A3635" s="3" t="s">
        <v>103</v>
      </c>
      <c r="B3635" s="3" t="s">
        <v>14993</v>
      </c>
      <c r="C3635" s="3" t="s">
        <v>14994</v>
      </c>
      <c r="D3635" s="3" t="s">
        <v>14995</v>
      </c>
      <c r="E3635" s="3" t="s">
        <v>14996</v>
      </c>
      <c r="F3635" s="3" t="s">
        <v>14997</v>
      </c>
      <c r="G3635" s="3" t="str">
        <f ca="1">IFERROR(__xludf.DUMMYFUNCTION("googletranslate(D3635,""en"",""ja"")"),"ナチュラルキラー細胞 未熟/リンパ球; NK 細胞 Immat/Lym")</f>
        <v>ナチュラルキラー細胞 未熟/リンパ球; NK 細胞 Immat/Lym</v>
      </c>
      <c r="H3635" s="3" t="str">
        <f ca="1">IFERROR(__xludf.DUMMYFUNCTION("googletranslate(E3635,""en"",""ja"")"),"生物学的標本中の全リンパ球に対する未熟ナチュラルキラー細胞の相対的な測定値 (比率またはパーセンテージ)。")</f>
        <v>生物学的標本中の全リンパ球に対する未熟ナチュラルキラー細胞の相対的な測定値 (比率またはパーセンテージ)。</v>
      </c>
      <c r="I3635" s="3" t="str">
        <f ca="1">IFERROR(__xludf.DUMMYFUNCTION("googletranslate(F3635,""en"",""ja"")"),"未熟ナチュラルキラー細胞とリンパ球の比率の測定")</f>
        <v>未熟ナチュラルキラー細胞とリンパ球の比率の測定</v>
      </c>
    </row>
    <row r="3636" spans="1:9" ht="60">
      <c r="A3636" s="3" t="s">
        <v>103</v>
      </c>
      <c r="B3636" s="3" t="s">
        <v>14998</v>
      </c>
      <c r="C3636" s="3" t="s">
        <v>14999</v>
      </c>
      <c r="D3636" s="3" t="s">
        <v>15000</v>
      </c>
      <c r="E3636" s="3" t="s">
        <v>15001</v>
      </c>
      <c r="F3636" s="3" t="s">
        <v>15002</v>
      </c>
      <c r="G3636" s="3" t="str">
        <f ca="1">IFERROR(__xludf.DUMMYFUNCTION("googletranslate(D3636,""en"",""ja"")"),"ナチュラルキラー細胞の未熟/リンパ球部分集団。 NK 細胞 Immat/Lym Sub")</f>
        <v>ナチュラルキラー細胞の未熟/リンパ球部分集団。 NK 細胞 Immat/Lym Sub</v>
      </c>
      <c r="H3636" s="3" t="str">
        <f ca="1">IFERROR(__xludf.DUMMYFUNCTION("googletranslate(E3636,""en"",""ja"")"),"生物学的標本中のリンパ球の部分集団に対する未熟なナチュラルキラー細胞の相対的な測定値 (比率またはパーセンテージ)。")</f>
        <v>生物学的標本中のリンパ球の部分集団に対する未熟なナチュラルキラー細胞の相対的な測定値 (比率またはパーセンテージ)。</v>
      </c>
      <c r="I3636" s="3" t="str">
        <f ca="1">IFERROR(__xludf.DUMMYFUNCTION("googletranslate(F3636,""en"",""ja"")"),"未熟ナチュラルキラー細胞とリンパ球部分集団の比率の測定")</f>
        <v>未熟ナチュラルキラー細胞とリンパ球部分集団の比率の測定</v>
      </c>
    </row>
    <row r="3637" spans="1:9" ht="45">
      <c r="A3637" s="3" t="s">
        <v>103</v>
      </c>
      <c r="B3637" s="3" t="s">
        <v>15003</v>
      </c>
      <c r="C3637" s="3" t="s">
        <v>15004</v>
      </c>
      <c r="D3637" s="3" t="s">
        <v>15005</v>
      </c>
      <c r="E3637" s="3" t="s">
        <v>15006</v>
      </c>
      <c r="F3637" s="3" t="s">
        <v>15007</v>
      </c>
      <c r="G3637" s="3" t="str">
        <f ca="1">IFERROR(__xludf.DUMMYFUNCTION("googletranslate(D3637,""en"",""ja"")"),"ナチュラルキラー細胞 未成熟/ナチュラルキラー細胞。 NK細胞 Immat/NK")</f>
        <v>ナチュラルキラー細胞 未成熟/ナチュラルキラー細胞。 NK細胞 Immat/NK</v>
      </c>
      <c r="H3637" s="3" t="str">
        <f ca="1">IFERROR(__xludf.DUMMYFUNCTION("googletranslate(E3637,""en"",""ja"")"),"生物学的標本中の全ナチュラルキラー細胞に対する未成熟ナチュラルキラー細胞の相対的な測定値 (比率またはパーセンテージ)。")</f>
        <v>生物学的標本中の全ナチュラルキラー細胞に対する未成熟ナチュラルキラー細胞の相対的な測定値 (比率またはパーセンテージ)。</v>
      </c>
      <c r="I3637" s="3" t="str">
        <f ca="1">IFERROR(__xludf.DUMMYFUNCTION("googletranslate(F3637,""en"",""ja"")"),"未成熟ナチュラルキラー細胞とナチュラルキラー細胞の比率の測定")</f>
        <v>未成熟ナチュラルキラー細胞とナチュラルキラー細胞の比率の測定</v>
      </c>
    </row>
    <row r="3638" spans="1:9" ht="90">
      <c r="A3638" s="3" t="s">
        <v>103</v>
      </c>
      <c r="B3638" s="3" t="s">
        <v>15008</v>
      </c>
      <c r="C3638" s="3" t="s">
        <v>15009</v>
      </c>
      <c r="D3638" s="3" t="s">
        <v>15010</v>
      </c>
      <c r="E3638" s="3" t="s">
        <v>15011</v>
      </c>
      <c r="F3638" s="3" t="s">
        <v>15012</v>
      </c>
      <c r="G3638" s="3" t="str">
        <f ca="1">IFERROR(__xludf.DUMMYFUNCTION("googletranslate(D3638,""en"",""ja"")"),"未熟なナチュラルキラー細胞の亜集団。未熟なNK亜集団。未成熟なNKC部分集団。ナチュラルキラー細胞の未熟な部分集団。 NK細胞イマットサブ")</f>
        <v>未熟なナチュラルキラー細胞の亜集団。未熟なNK亜集団。未成熟なNKC部分集団。ナチュラルキラー細胞の未熟な部分集団。 NK細胞イマットサブ</v>
      </c>
      <c r="H3638" s="3" t="str">
        <f ca="1">IFERROR(__xludf.DUMMYFUNCTION("googletranslate(E3638,""en"",""ja"")"),"生物学的標本中の未熟なナチュラルキラー細胞の部分集団の測定。")</f>
        <v>生物学的標本中の未熟なナチュラルキラー細胞の部分集団の測定。</v>
      </c>
      <c r="I3638" s="3" t="str">
        <f ca="1">IFERROR(__xludf.DUMMYFUNCTION("googletranslate(F3638,""en"",""ja"")"),"未熟なナチュラルキラー細胞亜集団の数")</f>
        <v>未熟なナチュラルキラー細胞亜集団の数</v>
      </c>
    </row>
    <row r="3639" spans="1:9" ht="60">
      <c r="A3639" s="3" t="s">
        <v>103</v>
      </c>
      <c r="B3639" s="3" t="s">
        <v>15013</v>
      </c>
      <c r="C3639" s="3" t="s">
        <v>15014</v>
      </c>
      <c r="D3639" s="3" t="s">
        <v>15015</v>
      </c>
      <c r="E3639" s="3" t="s">
        <v>15016</v>
      </c>
      <c r="F3639" s="3" t="s">
        <v>15017</v>
      </c>
      <c r="G3639" s="3" t="str">
        <f ca="1">IFERROR(__xludf.DUMMYFUNCTION("googletranslate(D3639,""en"",""ja"")"),"ナチュラルキラー細胞の未熟な部分集団/ナチュラルキラー細胞の未熟。 NK細胞Immat Sub/NK Immat")</f>
        <v>ナチュラルキラー細胞の未熟な部分集団/ナチュラルキラー細胞の未熟。 NK細胞Immat Sub/NK Immat</v>
      </c>
      <c r="H3639" s="3" t="str">
        <f ca="1">IFERROR(__xludf.DUMMYFUNCTION("googletranslate(E3639,""en"",""ja"")"),"生物学的標本中の未成熟ナチュラルキラー細胞の総数に対する未成熟ナチュラルキラー細胞の部分集団の相対的な測定値 (比率またはパーセンテージ)。")</f>
        <v>生物学的標本中の未成熟ナチュラルキラー細胞の総数に対する未成熟ナチュラルキラー細胞の部分集団の相対的な測定値 (比率またはパーセンテージ)。</v>
      </c>
      <c r="I3639" s="3" t="str">
        <f ca="1">IFERROR(__xludf.DUMMYFUNCTION("googletranslate(F3639,""en"",""ja"")"),"未熟ナチュラルキラー細胞亜集団と未熟ナチュラルキラー細胞の比率の測定")</f>
        <v>未熟ナチュラルキラー細胞亜集団と未熟ナチュラルキラー細胞の比率の測定</v>
      </c>
    </row>
    <row r="3640" spans="1:9" ht="30">
      <c r="A3640" s="3" t="s">
        <v>103</v>
      </c>
      <c r="B3640" s="3" t="s">
        <v>15018</v>
      </c>
      <c r="C3640" s="3" t="s">
        <v>15019</v>
      </c>
      <c r="D3640" s="3" t="s">
        <v>15020</v>
      </c>
      <c r="E3640" s="3" t="s">
        <v>15021</v>
      </c>
      <c r="F3640" s="3" t="s">
        <v>15022</v>
      </c>
      <c r="G3640" s="3" t="str">
        <f ca="1">IFERROR(__xludf.DUMMYFUNCTION("googletranslate(D3640,""en"",""ja"")"),"ナチュラルキラー細胞中間体; NK細胞の介在")</f>
        <v>ナチュラルキラー細胞中間体; NK細胞の介在</v>
      </c>
      <c r="H3640" s="3" t="str">
        <f ca="1">IFERROR(__xludf.DUMMYFUNCTION("googletranslate(E3640,""en"",""ja"")"),"生物学的標本中の中間ナチュラルキラー細胞の測定。")</f>
        <v>生物学的標本中の中間ナチュラルキラー細胞の測定。</v>
      </c>
      <c r="I3640" s="3" t="str">
        <f ca="1">IFERROR(__xludf.DUMMYFUNCTION("googletranslate(F3640,""en"",""ja"")"),"中間ナチュラルキラー細胞数")</f>
        <v>中間ナチュラルキラー細胞数</v>
      </c>
    </row>
    <row r="3641" spans="1:9" ht="30">
      <c r="A3641" s="3" t="s">
        <v>6</v>
      </c>
      <c r="B3641" s="3" t="s">
        <v>15023</v>
      </c>
      <c r="C3641" s="3" t="s">
        <v>15024</v>
      </c>
      <c r="D3641" s="3" t="s">
        <v>15025</v>
      </c>
      <c r="E3641" s="3" t="s">
        <v>15026</v>
      </c>
      <c r="F3641" s="3" t="s">
        <v>15027</v>
      </c>
      <c r="G3641" s="3" t="str">
        <f ca="1">IFERROR(__xludf.DUMMYFUNCTION("googletranslate(D3641,""en"",""ja"")"),"ニューロキニンA; NKA;サブスタンスK")</f>
        <v>ニューロキニンA; NKA;サブスタンスK</v>
      </c>
      <c r="H3641" s="3" t="str">
        <f ca="1">IFERROR(__xludf.DUMMYFUNCTION("googletranslate(E3641,""en"",""ja"")"),"生物学的標本中のニューロキニン A の測定。")</f>
        <v>生物学的標本中のニューロキニン A の測定。</v>
      </c>
      <c r="I3641" s="3" t="str">
        <f ca="1">IFERROR(__xludf.DUMMYFUNCTION("googletranslate(F3641,""en"",""ja"")"),"ニューロキニンAの測定")</f>
        <v>ニューロキニンAの測定</v>
      </c>
    </row>
    <row r="3642" spans="1:9" ht="45">
      <c r="A3642" s="3" t="s">
        <v>103</v>
      </c>
      <c r="B3642" s="3" t="s">
        <v>15028</v>
      </c>
      <c r="C3642" s="3" t="s">
        <v>15029</v>
      </c>
      <c r="D3642" s="3" t="s">
        <v>15030</v>
      </c>
      <c r="E3642" s="3" t="s">
        <v>15031</v>
      </c>
      <c r="F3642" s="3" t="s">
        <v>15032</v>
      </c>
      <c r="G3642" s="3" t="str">
        <f ca="1">IFERROR(__xludf.DUMMYFUNCTION("googletranslate(D3642,""en"",""ja"")"),"ナチュラルキラー細胞中間体/白血球; NK細胞仲介/ロイク")</f>
        <v>ナチュラルキラー細胞中間体/白血球; NK細胞仲介/ロイク</v>
      </c>
      <c r="H3642" s="3" t="str">
        <f ca="1">IFERROR(__xludf.DUMMYFUNCTION("googletranslate(E3642,""en"",""ja"")"),"生物学的標本中の全白血球に対する中間ナチュラルキラー細胞の相対測定値 (比率またはパーセンテージ)。")</f>
        <v>生物学的標本中の全白血球に対する中間ナチュラルキラー細胞の相対測定値 (比率またはパーセンテージ)。</v>
      </c>
      <c r="I3642" s="3" t="str">
        <f ca="1">IFERROR(__xludf.DUMMYFUNCTION("googletranslate(F3642,""en"",""ja"")"),"中間ナチュラルキラー細胞と白血球の比率の測定")</f>
        <v>中間ナチュラルキラー細胞と白血球の比率の測定</v>
      </c>
    </row>
    <row r="3643" spans="1:9" ht="45">
      <c r="A3643" s="3" t="s">
        <v>103</v>
      </c>
      <c r="B3643" s="3" t="s">
        <v>15033</v>
      </c>
      <c r="C3643" s="3" t="s">
        <v>15034</v>
      </c>
      <c r="D3643" s="3" t="s">
        <v>15035</v>
      </c>
      <c r="E3643" s="3" t="s">
        <v>15036</v>
      </c>
      <c r="F3643" s="3" t="s">
        <v>15037</v>
      </c>
      <c r="G3643" s="3" t="str">
        <f ca="1">IFERROR(__xludf.DUMMYFUNCTION("googletranslate(D3643,""en"",""ja"")"),"ナチュラルキラー細胞中間体/リンパ球; NK細胞中間体/Lym")</f>
        <v>ナチュラルキラー細胞中間体/リンパ球; NK細胞中間体/Lym</v>
      </c>
      <c r="H3643" s="3" t="str">
        <f ca="1">IFERROR(__xludf.DUMMYFUNCTION("googletranslate(E3643,""en"",""ja"")"),"生物学的標本中の全リンパ球に対する中間ナチュラルキラー細胞の相対的な測定値 (比率またはパーセンテージ)。")</f>
        <v>生物学的標本中の全リンパ球に対する中間ナチュラルキラー細胞の相対的な測定値 (比率またはパーセンテージ)。</v>
      </c>
      <c r="I3643" s="3" t="str">
        <f ca="1">IFERROR(__xludf.DUMMYFUNCTION("googletranslate(F3643,""en"",""ja"")"),"中間ナチュラルキラー細胞とリンパ球の比率の測定")</f>
        <v>中間ナチュラルキラー細胞とリンパ球の比率の測定</v>
      </c>
    </row>
    <row r="3644" spans="1:9" ht="60">
      <c r="A3644" s="3" t="s">
        <v>103</v>
      </c>
      <c r="B3644" s="3" t="s">
        <v>15038</v>
      </c>
      <c r="C3644" s="3" t="s">
        <v>15039</v>
      </c>
      <c r="D3644" s="3" t="s">
        <v>15040</v>
      </c>
      <c r="E3644" s="3" t="s">
        <v>15041</v>
      </c>
      <c r="F3644" s="3" t="s">
        <v>15042</v>
      </c>
      <c r="G3644" s="3" t="str">
        <f ca="1">IFERROR(__xludf.DUMMYFUNCTION("googletranslate(D3644,""en"",""ja"")"),"ナチュラルキラー細胞中間/リンパ球サブ集団。 NK細胞中間体/リムサブ")</f>
        <v>ナチュラルキラー細胞中間/リンパ球サブ集団。 NK細胞中間体/リムサブ</v>
      </c>
      <c r="H3644" s="3" t="str">
        <f ca="1">IFERROR(__xludf.DUMMYFUNCTION("googletranslate(E3644,""en"",""ja"")"),"生物学的標本中のリンパ球の部分集団に対する中間ナチュラルキラー細胞の相対的な測定値 (比率またはパーセンテージ)。")</f>
        <v>生物学的標本中のリンパ球の部分集団に対する中間ナチュラルキラー細胞の相対的な測定値 (比率またはパーセンテージ)。</v>
      </c>
      <c r="I3644" s="3" t="str">
        <f ca="1">IFERROR(__xludf.DUMMYFUNCTION("googletranslate(F3644,""en"",""ja"")"),"中間ナチュラルキラー細胞とリンパ球部分集団の比率の測定")</f>
        <v>中間ナチュラルキラー細胞とリンパ球部分集団の比率の測定</v>
      </c>
    </row>
    <row r="3645" spans="1:9" ht="45">
      <c r="A3645" s="3" t="s">
        <v>103</v>
      </c>
      <c r="B3645" s="3" t="s">
        <v>15043</v>
      </c>
      <c r="C3645" s="3" t="s">
        <v>15044</v>
      </c>
      <c r="D3645" s="3" t="s">
        <v>15045</v>
      </c>
      <c r="E3645" s="3" t="s">
        <v>15046</v>
      </c>
      <c r="F3645" s="3" t="s">
        <v>15047</v>
      </c>
      <c r="G3645" s="3" t="str">
        <f ca="1">IFERROR(__xludf.DUMMYFUNCTION("googletranslate(D3645,""en"",""ja"")"),"ナチュラルキラー細胞 中間体/ナチュラルキラー細胞; NK細胞介在/NK")</f>
        <v>ナチュラルキラー細胞 中間体/ナチュラルキラー細胞; NK細胞介在/NK</v>
      </c>
      <c r="H3645" s="3" t="str">
        <f ca="1">IFERROR(__xludf.DUMMYFUNCTION("googletranslate(E3645,""en"",""ja"")"),"生物学的標本中の全ナチュラルキラー細胞に対する中間ナチュラルキラー細胞の相対的な測定値 (比率またはパーセンテージ)。")</f>
        <v>生物学的標本中の全ナチュラルキラー細胞に対する中間ナチュラルキラー細胞の相対的な測定値 (比率またはパーセンテージ)。</v>
      </c>
      <c r="I3645" s="3" t="str">
        <f ca="1">IFERROR(__xludf.DUMMYFUNCTION("googletranslate(F3645,""en"",""ja"")"),"中間ナチュラルキラー細胞対ナチュラルキラー細胞比の測定")</f>
        <v>中間ナチュラルキラー細胞対ナチュラルキラー細胞比の測定</v>
      </c>
    </row>
    <row r="3646" spans="1:9" ht="90">
      <c r="A3646" s="3" t="s">
        <v>103</v>
      </c>
      <c r="B3646" s="3" t="s">
        <v>15048</v>
      </c>
      <c r="C3646" s="3" t="s">
        <v>15049</v>
      </c>
      <c r="D3646" s="3" t="s">
        <v>15050</v>
      </c>
      <c r="E3646" s="3" t="s">
        <v>15051</v>
      </c>
      <c r="F3646" s="3" t="s">
        <v>15052</v>
      </c>
      <c r="G3646" s="3" t="str">
        <f ca="1">IFERROR(__xludf.DUMMYFUNCTION("googletranslate(D3646,""en"",""ja"")"),"中間ナチュラルキラー細胞亜集団。中級NK亜集団;中間NKC部分集団。ナチュラルキラー細胞の中間部分集団。 NK細胞中間サブ")</f>
        <v>中間ナチュラルキラー細胞亜集団。中級NK亜集団;中間NKC部分集団。ナチュラルキラー細胞の中間部分集団。 NK細胞中間サブ</v>
      </c>
      <c r="H3646" s="3" t="str">
        <f ca="1">IFERROR(__xludf.DUMMYFUNCTION("googletranslate(E3646,""en"",""ja"")"),"生物学的標本中の中間ナチュラルキラー細胞の部分集団の測定。")</f>
        <v>生物学的標本中の中間ナチュラルキラー細胞の部分集団の測定。</v>
      </c>
      <c r="I3646" s="3" t="str">
        <f ca="1">IFERROR(__xludf.DUMMYFUNCTION("googletranslate(F3646,""en"",""ja"")"),"中間ナチュラルキラー細胞亜集団数")</f>
        <v>中間ナチュラルキラー細胞亜集団数</v>
      </c>
    </row>
    <row r="3647" spans="1:9" ht="45">
      <c r="A3647" s="3" t="s">
        <v>103</v>
      </c>
      <c r="B3647" s="3" t="s">
        <v>15053</v>
      </c>
      <c r="C3647" s="3" t="s">
        <v>15054</v>
      </c>
      <c r="D3647" s="3" t="s">
        <v>15055</v>
      </c>
      <c r="E3647" s="3" t="s">
        <v>15056</v>
      </c>
      <c r="F3647" s="3" t="s">
        <v>15057</v>
      </c>
      <c r="G3647" s="3" t="str">
        <f ca="1">IFERROR(__xludf.DUMMYFUNCTION("googletranslate(D3647,""en"",""ja"")"),"ナチュラルキラー細胞中間部分集団/白血球; NK細胞間サブ/白血球")</f>
        <v>ナチュラルキラー細胞中間部分集団/白血球; NK細胞間サブ/白血球</v>
      </c>
      <c r="H3647" s="3" t="str">
        <f ca="1">IFERROR(__xludf.DUMMYFUNCTION("googletranslate(E3647,""en"",""ja"")"),"生物学的標本中の全白血球に対する中間ナチュラルキラー細胞の部分集団の相対的な測定値 (比率またはパーセンテージ)。")</f>
        <v>生物学的標本中の全白血球に対する中間ナチュラルキラー細胞の部分集団の相対的な測定値 (比率またはパーセンテージ)。</v>
      </c>
      <c r="I3647" s="3" t="str">
        <f ca="1">IFERROR(__xludf.DUMMYFUNCTION("googletranslate(F3647,""en"",""ja"")"),"中間ナチュラルキラー細胞部分集団と白血球の比率の測定")</f>
        <v>中間ナチュラルキラー細胞部分集団と白血球の比率の測定</v>
      </c>
    </row>
    <row r="3648" spans="1:9" ht="45">
      <c r="A3648" s="3" t="s">
        <v>103</v>
      </c>
      <c r="B3648" s="3" t="s">
        <v>15058</v>
      </c>
      <c r="C3648" s="3" t="s">
        <v>15059</v>
      </c>
      <c r="D3648" s="3" t="s">
        <v>15060</v>
      </c>
      <c r="E3648" s="3" t="s">
        <v>15061</v>
      </c>
      <c r="F3648" s="3" t="s">
        <v>15062</v>
      </c>
      <c r="G3648" s="3" t="str">
        <f ca="1">IFERROR(__xludf.DUMMYFUNCTION("googletranslate(D3648,""en"",""ja"")"),"ナチュラルキラー細胞 中間部分集団/リンパ球; NK細胞間サブ/リム")</f>
        <v>ナチュラルキラー細胞 中間部分集団/リンパ球; NK細胞間サブ/リム</v>
      </c>
      <c r="H3648" s="3" t="str">
        <f ca="1">IFERROR(__xludf.DUMMYFUNCTION("googletranslate(E3648,""en"",""ja"")"),"生物学的標本中の全リンパ球に対する中間ナチュラルキラー細胞の部分集団の相対的な測定値 (比率またはパーセンテージ)。")</f>
        <v>生物学的標本中の全リンパ球に対する中間ナチュラルキラー細胞の部分集団の相対的な測定値 (比率またはパーセンテージ)。</v>
      </c>
      <c r="I3648" s="3" t="str">
        <f ca="1">IFERROR(__xludf.DUMMYFUNCTION("googletranslate(F3648,""en"",""ja"")"),"中間ナチュラルキラー細胞部分集団とリンパ球の比率の測定")</f>
        <v>中間ナチュラルキラー細胞部分集団とリンパ球の比率の測定</v>
      </c>
    </row>
    <row r="3649" spans="1:9" ht="60">
      <c r="A3649" s="3" t="s">
        <v>103</v>
      </c>
      <c r="B3649" s="3" t="s">
        <v>15063</v>
      </c>
      <c r="C3649" s="3" t="s">
        <v>15064</v>
      </c>
      <c r="D3649" s="3" t="s">
        <v>15065</v>
      </c>
      <c r="E3649" s="3" t="s">
        <v>15066</v>
      </c>
      <c r="F3649" s="3" t="s">
        <v>15067</v>
      </c>
      <c r="G3649" s="3" t="str">
        <f ca="1">IFERROR(__xludf.DUMMYFUNCTION("googletranslate(D3649,""en"",""ja"")"),"ナチュラルキラー細胞中間サブ集団/ナチュラルキラー細胞中間; NK細胞中間サブ/NK中間")</f>
        <v>ナチュラルキラー細胞中間サブ集団/ナチュラルキラー細胞中間; NK細胞中間サブ/NK中間</v>
      </c>
      <c r="H3649" s="3" t="str">
        <f ca="1">IFERROR(__xludf.DUMMYFUNCTION("googletranslate(E3649,""en"",""ja"")"),"生物学的標本中の中間ナチュラルキラー細胞の総中間ナチュラルキラー細胞に対する部分集団の相対的な測定値 (比率またはパーセンテージ)。")</f>
        <v>生物学的標本中の中間ナチュラルキラー細胞の総中間ナチュラルキラー細胞に対する部分集団の相対的な測定値 (比率またはパーセンテージ)。</v>
      </c>
      <c r="I3649" s="3" t="str">
        <f ca="1">IFERROR(__xludf.DUMMYFUNCTION("googletranslate(F3649,""en"",""ja"")"),"中間ナチュラルキラー細胞亜集団から中間ナチュラルキラー細胞比の測定")</f>
        <v>中間ナチュラルキラー細胞亜集団から中間ナチュラルキラー細胞比の測定</v>
      </c>
    </row>
    <row r="3650" spans="1:9" ht="45">
      <c r="A3650" s="3" t="s">
        <v>103</v>
      </c>
      <c r="B3650" s="3" t="s">
        <v>15068</v>
      </c>
      <c r="C3650" s="3" t="s">
        <v>15069</v>
      </c>
      <c r="D3650" s="3" t="s">
        <v>15070</v>
      </c>
      <c r="E3650" s="3" t="s">
        <v>15071</v>
      </c>
      <c r="F3650" s="3" t="s">
        <v>15072</v>
      </c>
      <c r="G3650" s="3" t="str">
        <f ca="1">IFERROR(__xludf.DUMMYFUNCTION("googletranslate(D3650,""en"",""ja"")"),"ナチュラルキラー細胞/白血球; NK細胞/白血球")</f>
        <v>ナチュラルキラー細胞/白血球; NK細胞/白血球</v>
      </c>
      <c r="H3650" s="3" t="str">
        <f ca="1">IFERROR(__xludf.DUMMYFUNCTION("googletranslate(E3650,""en"",""ja"")"),"生物学的標本中の白血球に対するナチュラルキラー細胞の相対的な測定値 (比率またはパーセンテージ)。")</f>
        <v>生物学的標本中の白血球に対するナチュラルキラー細胞の相対的な測定値 (比率またはパーセンテージ)。</v>
      </c>
      <c r="I3650" s="3" t="str">
        <f ca="1">IFERROR(__xludf.DUMMYFUNCTION("googletranslate(F3650,""en"",""ja"")"),"ナチュラルキラー細胞と白血球の比率の測定")</f>
        <v>ナチュラルキラー細胞と白血球の比率の測定</v>
      </c>
    </row>
    <row r="3651" spans="1:9" ht="45">
      <c r="A3651" s="3" t="s">
        <v>6</v>
      </c>
      <c r="B3651" s="3" t="s">
        <v>15073</v>
      </c>
      <c r="C3651" s="3" t="s">
        <v>15074</v>
      </c>
      <c r="D3651" s="3" t="s">
        <v>15075</v>
      </c>
      <c r="E3651" s="3" t="s">
        <v>15076</v>
      </c>
      <c r="F3651" s="3" t="s">
        <v>15077</v>
      </c>
      <c r="G3651" s="3" t="str">
        <f ca="1">IFERROR(__xludf.DUMMYFUNCTION("googletranslate(D3651,""en"",""ja"")"),"ナチュラルキラー細胞/リンパ球; NK細胞/リムジン")</f>
        <v>ナチュラルキラー細胞/リンパ球; NK細胞/リムジン</v>
      </c>
      <c r="H3651" s="3" t="str">
        <f ca="1">IFERROR(__xludf.DUMMYFUNCTION("googletranslate(E3651,""en"",""ja"")"),"生物学的標本中のリンパ球に対するナチュラルキラー細胞の相対的な測定値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651" s="3" t="str">
        <f ca="1">IFERROR(__xludf.DUMMYFUNCTION("googletranslate(F3651,""en"",""ja"")"),"ナチュラルキラー細胞とリンパ球の比率の測定")</f>
        <v>ナチュラルキラー細胞とリンパ球の比率の測定</v>
      </c>
    </row>
    <row r="3652" spans="1:9" ht="45">
      <c r="A3652" s="3" t="s">
        <v>103</v>
      </c>
      <c r="B3652" s="3" t="s">
        <v>15073</v>
      </c>
      <c r="C3652" s="3" t="s">
        <v>15074</v>
      </c>
      <c r="D3652" s="3" t="s">
        <v>15075</v>
      </c>
      <c r="E3652" s="3" t="s">
        <v>15076</v>
      </c>
      <c r="F3652" s="3" t="s">
        <v>15077</v>
      </c>
      <c r="G3652" s="3" t="str">
        <f ca="1">IFERROR(__xludf.DUMMYFUNCTION("googletranslate(D3652,""en"",""ja"")"),"ナチュラルキラー細胞/リンパ球; NK細胞/リムジン")</f>
        <v>ナチュラルキラー細胞/リンパ球; NK細胞/リムジン</v>
      </c>
      <c r="H3652" s="3" t="str">
        <f ca="1">IFERROR(__xludf.DUMMYFUNCTION("googletranslate(E3652,""en"",""ja"")"),"生物学的標本中のリンパ球に対するナチュラルキラー細胞の相対的な測定値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652" s="3" t="str">
        <f ca="1">IFERROR(__xludf.DUMMYFUNCTION("googletranslate(F3652,""en"",""ja"")"),"ナチュラルキラー細胞とリンパ球の比率の測定")</f>
        <v>ナチュラルキラー細胞とリンパ球の比率の測定</v>
      </c>
    </row>
    <row r="3653" spans="1:9" ht="45">
      <c r="A3653" s="3" t="s">
        <v>103</v>
      </c>
      <c r="B3653" s="3" t="s">
        <v>15078</v>
      </c>
      <c r="C3653" s="3" t="s">
        <v>15079</v>
      </c>
      <c r="D3653" s="3" t="s">
        <v>15080</v>
      </c>
      <c r="E3653" s="3" t="s">
        <v>15081</v>
      </c>
      <c r="F3653" s="3" t="s">
        <v>15082</v>
      </c>
      <c r="G3653" s="3" t="str">
        <f ca="1">IFERROR(__xludf.DUMMYFUNCTION("googletranslate(D3653,""en"",""ja"")"),"ナチュラルキラー細胞/リンパ球サブ集団; NK細胞/リムサブ")</f>
        <v>ナチュラルキラー細胞/リンパ球サブ集団; NK細胞/リムサブ</v>
      </c>
      <c r="H3653" s="3" t="str">
        <f ca="1">IFERROR(__xludf.DUMMYFUNCTION("googletranslate(E3653,""en"",""ja"")"),"生物学的標本中のリンパ球の部分集団に対するナチュラルキラー細胞の相対的な測定値 (比率またはパーセンテージ)。")</f>
        <v>生物学的標本中のリンパ球の部分集団に対するナチュラルキラー細胞の相対的な測定値 (比率またはパーセンテージ)。</v>
      </c>
      <c r="I3653" s="3" t="str">
        <f ca="1">IFERROR(__xludf.DUMMYFUNCTION("googletranslate(F3653,""en"",""ja"")"),"ナチュラルキラー細胞とリンパ球部分集団の比率の測定")</f>
        <v>ナチュラルキラー細胞とリンパ球部分集団の比率の測定</v>
      </c>
    </row>
    <row r="3654" spans="1:9" ht="30">
      <c r="A3654" s="3" t="s">
        <v>103</v>
      </c>
      <c r="B3654" s="3" t="s">
        <v>15083</v>
      </c>
      <c r="C3654" s="3" t="s">
        <v>15084</v>
      </c>
      <c r="D3654" s="3" t="s">
        <v>15085</v>
      </c>
      <c r="E3654" s="3" t="s">
        <v>15086</v>
      </c>
      <c r="F3654" s="3" t="s">
        <v>15087</v>
      </c>
      <c r="G3654" s="3" t="str">
        <f ca="1">IFERROR(__xludf.DUMMYFUNCTION("googletranslate(D3654,""en"",""ja"")"),"ナチュラルキラー細胞は成熟します。 NK細胞マット")</f>
        <v>ナチュラルキラー細胞は成熟します。 NK細胞マット</v>
      </c>
      <c r="H3654" s="3" t="str">
        <f ca="1">IFERROR(__xludf.DUMMYFUNCTION("googletranslate(E3654,""en"",""ja"")"),"生物学的標本中の成熟したナチュラルキラー細胞の測定。")</f>
        <v>生物学的標本中の成熟したナチュラルキラー細胞の測定。</v>
      </c>
      <c r="I3654" s="3" t="str">
        <f ca="1">IFERROR(__xludf.DUMMYFUNCTION("googletranslate(F3654,""en"",""ja"")"),"成熟したナチュラルキラー細胞の数")</f>
        <v>成熟したナチュラルキラー細胞の数</v>
      </c>
    </row>
    <row r="3655" spans="1:9" ht="45">
      <c r="A3655" s="3" t="s">
        <v>103</v>
      </c>
      <c r="B3655" s="3" t="s">
        <v>15088</v>
      </c>
      <c r="C3655" s="3" t="s">
        <v>15089</v>
      </c>
      <c r="D3655" s="3" t="s">
        <v>15090</v>
      </c>
      <c r="E3655" s="3" t="s">
        <v>15091</v>
      </c>
      <c r="F3655" s="3" t="s">
        <v>15092</v>
      </c>
      <c r="G3655" s="3" t="str">
        <f ca="1">IFERROR(__xludf.DUMMYFUNCTION("googletranslate(D3655,""en"",""ja"")"),"ナチュラルキラー細胞 成熟/白血球; NK細胞マット/白血球")</f>
        <v>ナチュラルキラー細胞 成熟/白血球; NK細胞マット/白血球</v>
      </c>
      <c r="H3655" s="3" t="str">
        <f ca="1">IFERROR(__xludf.DUMMYFUNCTION("googletranslate(E3655,""en"",""ja"")"),"生物学的標本中の全白血球に対する成熟ナチュラルキラー細胞の相対測定値 (比率またはパーセンテージ)。")</f>
        <v>生物学的標本中の全白血球に対する成熟ナチュラルキラー細胞の相対測定値 (比率またはパーセンテージ)。</v>
      </c>
      <c r="I3655" s="3" t="str">
        <f ca="1">IFERROR(__xludf.DUMMYFUNCTION("googletranslate(F3655,""en"",""ja"")"),"成熟ナチュラルキラー細胞と白血球の比率の測定")</f>
        <v>成熟ナチュラルキラー細胞と白血球の比率の測定</v>
      </c>
    </row>
    <row r="3656" spans="1:9" ht="45">
      <c r="A3656" s="3" t="s">
        <v>103</v>
      </c>
      <c r="B3656" s="3" t="s">
        <v>15093</v>
      </c>
      <c r="C3656" s="3" t="s">
        <v>15094</v>
      </c>
      <c r="D3656" s="3" t="s">
        <v>15095</v>
      </c>
      <c r="E3656" s="3" t="s">
        <v>15096</v>
      </c>
      <c r="F3656" s="3" t="s">
        <v>15097</v>
      </c>
      <c r="G3656" s="3" t="str">
        <f ca="1">IFERROR(__xludf.DUMMYFUNCTION("googletranslate(D3656,""en"",""ja"")"),"ナチュラルキラー細胞 成熟/リンパ球; NK細胞マット/リム")</f>
        <v>ナチュラルキラー細胞 成熟/リンパ球; NK細胞マット/リム</v>
      </c>
      <c r="H3656" s="3" t="str">
        <f ca="1">IFERROR(__xludf.DUMMYFUNCTION("googletranslate(E3656,""en"",""ja"")"),"生物学的標本中の全リンパ球に対する成熟ナチュラルキラー細胞の相対的な測定値 (比率またはパーセンテージ)。")</f>
        <v>生物学的標本中の全リンパ球に対する成熟ナチュラルキラー細胞の相対的な測定値 (比率またはパーセンテージ)。</v>
      </c>
      <c r="I3656" s="3" t="str">
        <f ca="1">IFERROR(__xludf.DUMMYFUNCTION("googletranslate(F3656,""en"",""ja"")"),"成熟ナチュラルキラー細胞とリンパ球の比率の測定")</f>
        <v>成熟ナチュラルキラー細胞とリンパ球の比率の測定</v>
      </c>
    </row>
    <row r="3657" spans="1:9" ht="45">
      <c r="A3657" s="3" t="s">
        <v>103</v>
      </c>
      <c r="B3657" s="3" t="s">
        <v>15098</v>
      </c>
      <c r="C3657" s="3" t="s">
        <v>15099</v>
      </c>
      <c r="D3657" s="3" t="s">
        <v>15100</v>
      </c>
      <c r="E3657" s="3" t="s">
        <v>15101</v>
      </c>
      <c r="F3657" s="3" t="s">
        <v>15102</v>
      </c>
      <c r="G3657" s="3" t="str">
        <f ca="1">IFERROR(__xludf.DUMMYFUNCTION("googletranslate(D3657,""en"",""ja"")"),"ナチュラルキラー細胞成熟/リンパ球部分集団。 NK細胞マット/リムサブ")</f>
        <v>ナチュラルキラー細胞成熟/リンパ球部分集団。 NK細胞マット/リムサブ</v>
      </c>
      <c r="H3657" s="3" t="str">
        <f ca="1">IFERROR(__xludf.DUMMYFUNCTION("googletranslate(E3657,""en"",""ja"")"),"生物学的標本中のリンパ球の部分集団に対する成熟ナチュラルキラー細胞の相対的な測定値 (比率またはパーセンテージ)。")</f>
        <v>生物学的標本中のリンパ球の部分集団に対する成熟ナチュラルキラー細胞の相対的な測定値 (比率またはパーセンテージ)。</v>
      </c>
      <c r="I3657" s="3" t="str">
        <f ca="1">IFERROR(__xludf.DUMMYFUNCTION("googletranslate(F3657,""en"",""ja"")"),"成熟ナチュラルキラー細胞とリンパ球部分集団の比率の測定")</f>
        <v>成熟ナチュラルキラー細胞とリンパ球部分集団の比率の測定</v>
      </c>
    </row>
    <row r="3658" spans="1:9" ht="45">
      <c r="A3658" s="3" t="s">
        <v>103</v>
      </c>
      <c r="B3658" s="3" t="s">
        <v>15103</v>
      </c>
      <c r="C3658" s="3" t="s">
        <v>15104</v>
      </c>
      <c r="D3658" s="3" t="s">
        <v>15105</v>
      </c>
      <c r="E3658" s="3" t="s">
        <v>15106</v>
      </c>
      <c r="F3658" s="3" t="s">
        <v>15107</v>
      </c>
      <c r="G3658" s="3" t="str">
        <f ca="1">IFERROR(__xludf.DUMMYFUNCTION("googletranslate(D3658,""en"",""ja"")"),"ナチュラルキラー細胞 成熟/ナチュラルキラー細胞; NK細胞マット/NK")</f>
        <v>ナチュラルキラー細胞 成熟/ナチュラルキラー細胞; NK細胞マット/NK</v>
      </c>
      <c r="H3658" s="3" t="str">
        <f ca="1">IFERROR(__xludf.DUMMYFUNCTION("googletranslate(E3658,""en"",""ja"")"),"生物学的標本中の全ナチュラルキラー細胞に対する成熟ナチュラルキラー細胞の相対的な測定値 (比率またはパーセンテージ)。")</f>
        <v>生物学的標本中の全ナチュラルキラー細胞に対する成熟ナチュラルキラー細胞の相対的な測定値 (比率またはパーセンテージ)。</v>
      </c>
      <c r="I3658" s="3" t="str">
        <f ca="1">IFERROR(__xludf.DUMMYFUNCTION("googletranslate(F3658,""en"",""ja"")"),"成熟ナチュラルキラー細胞とナチュラルキラー細胞の比率の測定")</f>
        <v>成熟ナチュラルキラー細胞とナチュラルキラー細胞の比率の測定</v>
      </c>
    </row>
    <row r="3659" spans="1:9" ht="90">
      <c r="A3659" s="3" t="s">
        <v>103</v>
      </c>
      <c r="B3659" s="3" t="s">
        <v>15108</v>
      </c>
      <c r="C3659" s="3" t="s">
        <v>15109</v>
      </c>
      <c r="D3659" s="3" t="s">
        <v>15110</v>
      </c>
      <c r="E3659" s="3" t="s">
        <v>15111</v>
      </c>
      <c r="F3659" s="3" t="s">
        <v>15112</v>
      </c>
      <c r="G3659" s="3" t="str">
        <f ca="1">IFERROR(__xludf.DUMMYFUNCTION("googletranslate(D3659,""en"",""ja"")"),"成熟したナチュラルキラー細胞亜集団。成熟したNK亜集団。成熟したNKC部分集団。ナチュラルキラー細胞の成熟した部分集団。 NK細胞マットサブ")</f>
        <v>成熟したナチュラルキラー細胞亜集団。成熟したNK亜集団。成熟したNKC部分集団。ナチュラルキラー細胞の成熟した部分集団。 NK細胞マットサブ</v>
      </c>
      <c r="H3659" s="3" t="str">
        <f ca="1">IFERROR(__xludf.DUMMYFUNCTION("googletranslate(E3659,""en"",""ja"")"),"生物学的標本中の成熟ナチュラルキラー細胞の部分集団の測定。")</f>
        <v>生物学的標本中の成熟ナチュラルキラー細胞の部分集団の測定。</v>
      </c>
      <c r="I3659" s="3" t="str">
        <f ca="1">IFERROR(__xludf.DUMMYFUNCTION("googletranslate(F3659,""en"",""ja"")"),"成熟したナチュラルキラー細胞部分集団の数")</f>
        <v>成熟したナチュラルキラー細胞部分集団の数</v>
      </c>
    </row>
    <row r="3660" spans="1:9" ht="45">
      <c r="A3660" s="3" t="s">
        <v>103</v>
      </c>
      <c r="B3660" s="3" t="s">
        <v>15113</v>
      </c>
      <c r="C3660" s="3" t="s">
        <v>15114</v>
      </c>
      <c r="D3660" s="3" t="s">
        <v>15115</v>
      </c>
      <c r="E3660" s="3" t="s">
        <v>15116</v>
      </c>
      <c r="F3660" s="3" t="s">
        <v>15117</v>
      </c>
      <c r="G3660" s="3" t="str">
        <f ca="1">IFERROR(__xludf.DUMMYFUNCTION("googletranslate(D3660,""en"",""ja"")"),"ナチュラルキラー細胞は成熟した部分集団/白血球; NK細胞マットサブ/ロイク")</f>
        <v>ナチュラルキラー細胞は成熟した部分集団/白血球; NK細胞マットサブ/ロイク</v>
      </c>
      <c r="H3660" s="3" t="str">
        <f ca="1">IFERROR(__xludf.DUMMYFUNCTION("googletranslate(E3660,""en"",""ja"")"),"生物学的標本中の全白血球に対する成熟ナチュラルキラー細胞の部分集団の相対的な測定値 (比率またはパーセンテージ)。")</f>
        <v>生物学的標本中の全白血球に対する成熟ナチュラルキラー細胞の部分集団の相対的な測定値 (比率またはパーセンテージ)。</v>
      </c>
      <c r="I3660" s="3" t="str">
        <f ca="1">IFERROR(__xludf.DUMMYFUNCTION("googletranslate(F3660,""en"",""ja"")"),"成熟したナチュラルキラー細胞部分集団と白血球の比率の測定")</f>
        <v>成熟したナチュラルキラー細胞部分集団と白血球の比率の測定</v>
      </c>
    </row>
    <row r="3661" spans="1:9" ht="45">
      <c r="A3661" s="3" t="s">
        <v>103</v>
      </c>
      <c r="B3661" s="3" t="s">
        <v>15118</v>
      </c>
      <c r="C3661" s="3" t="s">
        <v>15119</v>
      </c>
      <c r="D3661" s="3" t="s">
        <v>15120</v>
      </c>
      <c r="E3661" s="3" t="s">
        <v>15121</v>
      </c>
      <c r="F3661" s="3" t="s">
        <v>15122</v>
      </c>
      <c r="G3661" s="3" t="str">
        <f ca="1">IFERROR(__xludf.DUMMYFUNCTION("googletranslate(D3661,""en"",""ja"")"),"ナチュラルキラー細胞は成熟した部分集団/リンパ球; NK細胞マットサブ/リム")</f>
        <v>ナチュラルキラー細胞は成熟した部分集団/リンパ球; NK細胞マットサブ/リム</v>
      </c>
      <c r="H3661" s="3" t="str">
        <f ca="1">IFERROR(__xludf.DUMMYFUNCTION("googletranslate(E3661,""en"",""ja"")"),"生物学的標本中の全リンパ球に対する成熟ナチュラルキラー細胞の部分集団の相対的な測定値 (比率またはパーセンテージ)。")</f>
        <v>生物学的標本中の全リンパ球に対する成熟ナチュラルキラー細胞の部分集団の相対的な測定値 (比率またはパーセンテージ)。</v>
      </c>
      <c r="I3661" s="3" t="str">
        <f ca="1">IFERROR(__xludf.DUMMYFUNCTION("googletranslate(F3661,""en"",""ja"")"),"成熟したナチュラルキラー細胞部分集団とリンパ球の比率の測定")</f>
        <v>成熟したナチュラルキラー細胞部分集団とリンパ球の比率の測定</v>
      </c>
    </row>
    <row r="3662" spans="1:9" ht="45">
      <c r="A3662" s="3" t="s">
        <v>103</v>
      </c>
      <c r="B3662" s="3" t="s">
        <v>15123</v>
      </c>
      <c r="C3662" s="3" t="s">
        <v>15124</v>
      </c>
      <c r="D3662" s="3" t="s">
        <v>15125</v>
      </c>
      <c r="E3662" s="3" t="s">
        <v>15126</v>
      </c>
      <c r="F3662" s="3" t="s">
        <v>15127</v>
      </c>
      <c r="G3662" s="3" t="str">
        <f ca="1">IFERROR(__xludf.DUMMYFUNCTION("googletranslate(D3662,""en"",""ja"")"),"ナチュラルキラー細胞 成熟した部分集団/ナチュラルキラー細胞。 NK細胞マットサブ/NK")</f>
        <v>ナチュラルキラー細胞 成熟した部分集団/ナチュラルキラー細胞。 NK細胞マットサブ/NK</v>
      </c>
      <c r="H3662" s="3" t="str">
        <f ca="1">IFERROR(__xludf.DUMMYFUNCTION("googletranslate(E3662,""en"",""ja"")"),"生物学的標本中の全ナチュラルキラー細胞に対する成熟ナチュラルキラー細胞の部分集団の相対的な測定値 (比率またはパーセンテージ)。")</f>
        <v>生物学的標本中の全ナチュラルキラー細胞に対する成熟ナチュラルキラー細胞の部分集団の相対的な測定値 (比率またはパーセンテージ)。</v>
      </c>
      <c r="I3662" s="3" t="str">
        <f ca="1">IFERROR(__xludf.DUMMYFUNCTION("googletranslate(F3662,""en"",""ja"")"),"成熟したナチュラルキラー細胞亜集団とナチュラルキラー細胞の比率の測定")</f>
        <v>成熟したナチュラルキラー細胞亜集団とナチュラルキラー細胞の比率の測定</v>
      </c>
    </row>
    <row r="3663" spans="1:9" ht="60">
      <c r="A3663" s="3" t="s">
        <v>103</v>
      </c>
      <c r="B3663" s="3" t="s">
        <v>15128</v>
      </c>
      <c r="C3663" s="3" t="s">
        <v>15129</v>
      </c>
      <c r="D3663" s="3" t="s">
        <v>15130</v>
      </c>
      <c r="E3663" s="3" t="s">
        <v>15131</v>
      </c>
      <c r="F3663" s="3" t="s">
        <v>15132</v>
      </c>
      <c r="G3663" s="3" t="str">
        <f ca="1">IFERROR(__xludf.DUMMYFUNCTION("googletranslate(D3663,""en"",""ja"")"),"ナチュラルキラー細胞成熟サブ集団/ナチュラルキラー細胞成熟。 NK細胞マットサブ/NKマット")</f>
        <v>ナチュラルキラー細胞成熟サブ集団/ナチュラルキラー細胞成熟。 NK細胞マットサブ/NKマット</v>
      </c>
      <c r="H3663" s="3" t="str">
        <f ca="1">IFERROR(__xludf.DUMMYFUNCTION("googletranslate(E3663,""en"",""ja"")"),"生物学的標本中の成熟ナチュラルキラー細胞の総数に対する成熟ナチュラルキラー細胞の部分集団の相対的な測定値 (比率またはパーセンテージ)。")</f>
        <v>生物学的標本中の成熟ナチュラルキラー細胞の総数に対する成熟ナチュラルキラー細胞の部分集団の相対的な測定値 (比率またはパーセンテージ)。</v>
      </c>
      <c r="I3663" s="3" t="str">
        <f ca="1">IFERROR(__xludf.DUMMYFUNCTION("googletranslate(F3663,""en"",""ja"")"),"成熟ナチュラルキラー細胞亜集団と成熟ナチュラルキラー細胞の比率の測定")</f>
        <v>成熟ナチュラルキラー細胞亜集団と成熟ナチュラルキラー細胞の比率の測定</v>
      </c>
    </row>
    <row r="3664" spans="1:9" ht="45">
      <c r="A3664" s="3" t="s">
        <v>103</v>
      </c>
      <c r="B3664" s="3" t="s">
        <v>15133</v>
      </c>
      <c r="C3664" s="3" t="s">
        <v>15134</v>
      </c>
      <c r="D3664" s="3" t="s">
        <v>15135</v>
      </c>
      <c r="E3664" s="3" t="s">
        <v>15136</v>
      </c>
      <c r="F3664" s="3" t="s">
        <v>15137</v>
      </c>
      <c r="G3664" s="3" t="str">
        <f ca="1">IFERROR(__xludf.DUMMYFUNCTION("googletranslate(D3664,""en"",""ja"")"),"ナチュラルキラー細胞の亜集団。 NK細胞サブ; NK細胞サブ集団")</f>
        <v>ナチュラルキラー細胞の亜集団。 NK細胞サブ; NK細胞サブ集団</v>
      </c>
      <c r="H3664" s="3" t="str">
        <f ca="1">IFERROR(__xludf.DUMMYFUNCTION("googletranslate(E3664,""en"",""ja"")"),"生物学的標本中のナチュラルキラー細胞の部分集団の測定。")</f>
        <v>生物学的標本中のナチュラルキラー細胞の部分集団の測定。</v>
      </c>
      <c r="I3664" s="3" t="str">
        <f ca="1">IFERROR(__xludf.DUMMYFUNCTION("googletranslate(F3664,""en"",""ja"")"),"ナチュラルキラー細胞サブ集団数")</f>
        <v>ナチュラルキラー細胞サブ集団数</v>
      </c>
    </row>
    <row r="3665" spans="1:9" ht="45">
      <c r="A3665" s="3" t="s">
        <v>103</v>
      </c>
      <c r="B3665" s="3" t="s">
        <v>15138</v>
      </c>
      <c r="C3665" s="3" t="s">
        <v>15139</v>
      </c>
      <c r="D3665" s="3" t="s">
        <v>15140</v>
      </c>
      <c r="E3665" s="3" t="s">
        <v>15141</v>
      </c>
      <c r="F3665" s="3" t="s">
        <v>15142</v>
      </c>
      <c r="G3665" s="3" t="str">
        <f ca="1">IFERROR(__xludf.DUMMYFUNCTION("googletranslate(D3665,""en"",""ja"")"),"ナチュラルキラー細胞亜集団/白血球; NK細胞サブ/白血球")</f>
        <v>ナチュラルキラー細胞亜集団/白血球; NK細胞サブ/白血球</v>
      </c>
      <c r="H3665" s="3" t="str">
        <f ca="1">IFERROR(__xludf.DUMMYFUNCTION("googletranslate(E3665,""en"",""ja"")"),"生物学的標本中の全白血球に対するナチュラルキラー細胞の部分集団の相対的な測定値 (比率またはパーセンテージ)。")</f>
        <v>生物学的標本中の全白血球に対するナチュラルキラー細胞の部分集団の相対的な測定値 (比率またはパーセンテージ)。</v>
      </c>
      <c r="I3665" s="3" t="str">
        <f ca="1">IFERROR(__xludf.DUMMYFUNCTION("googletranslate(F3665,""en"",""ja"")"),"ナチュラルキラー細胞亜集団と白血球の比率の測定")</f>
        <v>ナチュラルキラー細胞亜集団と白血球の比率の測定</v>
      </c>
    </row>
    <row r="3666" spans="1:9" ht="45">
      <c r="A3666" s="3" t="s">
        <v>103</v>
      </c>
      <c r="B3666" s="3" t="s">
        <v>15143</v>
      </c>
      <c r="C3666" s="3" t="s">
        <v>15144</v>
      </c>
      <c r="D3666" s="3" t="s">
        <v>15145</v>
      </c>
      <c r="E3666" s="3" t="s">
        <v>15146</v>
      </c>
      <c r="F3666" s="3" t="s">
        <v>15147</v>
      </c>
      <c r="G3666" s="3" t="str">
        <f ca="1">IFERROR(__xludf.DUMMYFUNCTION("googletranslate(D3666,""en"",""ja"")"),"ナチュラルキラー細胞サブ集団/リンパ球サブ集団; NK細胞サブ/リムサブ")</f>
        <v>ナチュラルキラー細胞サブ集団/リンパ球サブ集団; NK細胞サブ/リムサブ</v>
      </c>
      <c r="H3666" s="3" t="str">
        <f ca="1">IFERROR(__xludf.DUMMYFUNCTION("googletranslate(E3666,""en"",""ja"")"),"生物学的標本中のリンパ球の部分集団に対するナチュラルキラー細胞の部分集団の相対的な測定値 (比率またはパーセンテージ)。")</f>
        <v>生物学的標本中のリンパ球の部分集団に対するナチュラルキラー細胞の部分集団の相対的な測定値 (比率またはパーセンテージ)。</v>
      </c>
      <c r="I3666" s="3" t="str">
        <f ca="1">IFERROR(__xludf.DUMMYFUNCTION("googletranslate(F3666,""en"",""ja"")"),"ナチュラルキラー細胞亜集団とリンパ球亜集団の比率の測定")</f>
        <v>ナチュラルキラー細胞亜集団とリンパ球亜集団の比率の測定</v>
      </c>
    </row>
    <row r="3667" spans="1:9" ht="45">
      <c r="A3667" s="3" t="s">
        <v>103</v>
      </c>
      <c r="B3667" s="3" t="s">
        <v>15148</v>
      </c>
      <c r="C3667" s="3" t="s">
        <v>15149</v>
      </c>
      <c r="D3667" s="3" t="s">
        <v>15150</v>
      </c>
      <c r="E3667" s="3" t="s">
        <v>15151</v>
      </c>
      <c r="F3667" s="3" t="s">
        <v>15152</v>
      </c>
      <c r="G3667" s="3" t="str">
        <f ca="1">IFERROR(__xludf.DUMMYFUNCTION("googletranslate(D3667,""en"",""ja"")"),"ナチュラルキラー細胞亜集団/ナチュラルキラー細胞; NK細胞サブ/NK細胞")</f>
        <v>ナチュラルキラー細胞亜集団/ナチュラルキラー細胞; NK細胞サブ/NK細胞</v>
      </c>
      <c r="H3667" s="3" t="str">
        <f ca="1">IFERROR(__xludf.DUMMYFUNCTION("googletranslate(E3667,""en"",""ja"")"),"生物学的標本中のナチュラルキラー細胞の総数に対するナチュラルキラー細胞の部分集団の相対的な測定値 (比率またはパーセンテージ)。")</f>
        <v>生物学的標本中のナチュラルキラー細胞の総数に対するナチュラルキラー細胞の部分集団の相対的な測定値 (比率またはパーセンテージ)。</v>
      </c>
      <c r="I3667" s="3" t="str">
        <f ca="1">IFERROR(__xludf.DUMMYFUNCTION("googletranslate(F3667,""en"",""ja"")"),"ナチュラルキラー細胞サブ集団対全ナチュラルキラー細胞比の測定")</f>
        <v>ナチュラルキラー細胞サブ集団対全ナチュラルキラー細胞比の測定</v>
      </c>
    </row>
    <row r="3668" spans="1:9" ht="60">
      <c r="A3668" s="3" t="s">
        <v>103</v>
      </c>
      <c r="B3668" s="3" t="s">
        <v>15153</v>
      </c>
      <c r="C3668" s="3" t="s">
        <v>15154</v>
      </c>
      <c r="D3668" s="3" t="s">
        <v>15155</v>
      </c>
      <c r="E3668" s="3" t="s">
        <v>15156</v>
      </c>
      <c r="F3668" s="3" t="s">
        <v>15157</v>
      </c>
      <c r="G3668" s="3" t="str">
        <f ca="1">IFERROR(__xludf.DUMMYFUNCTION("googletranslate(D3668,""en"",""ja"")"),"ナチュラルキラー細胞サブ集団/ナチュラルキラー細胞サブ集団; NK細胞サブ/NK細胞サブ")</f>
        <v>ナチュラルキラー細胞サブ集団/ナチュラルキラー細胞サブ集団; NK細胞サブ/NK細胞サブ</v>
      </c>
      <c r="H3668" s="3" t="str">
        <f ca="1">IFERROR(__xludf.DUMMYFUNCTION("googletranslate(E3668,""en"",""ja"")"),"生物学的標本におけるナチュラルキラー細胞の部分集団に対するナチュラルキラー細胞の部分集団の相対的な測定値 (比率またはパーセンテージ)。")</f>
        <v>生物学的標本におけるナチュラルキラー細胞の部分集団に対するナチュラルキラー細胞の部分集団の相対的な測定値 (比率またはパーセンテージ)。</v>
      </c>
      <c r="I3668" s="3" t="str">
        <f ca="1">IFERROR(__xludf.DUMMYFUNCTION("googletranslate(F3668,""en"",""ja"")"),"ナチュラルキラー細胞亜集団とナチュラルキラー細胞亜集団の比率の測定")</f>
        <v>ナチュラルキラー細胞亜集団とナチュラルキラー細胞亜集団の比率の測定</v>
      </c>
    </row>
    <row r="3669" spans="1:9" ht="45">
      <c r="A3669" s="3" t="s">
        <v>103</v>
      </c>
      <c r="B3669" s="3" t="s">
        <v>15158</v>
      </c>
      <c r="C3669" s="3" t="s">
        <v>15159</v>
      </c>
      <c r="D3669" s="3" t="s">
        <v>15160</v>
      </c>
      <c r="E3669" s="3" t="s">
        <v>15161</v>
      </c>
      <c r="F3669" s="3" t="s">
        <v>15162</v>
      </c>
      <c r="G3669" s="3" t="str">
        <f ca="1">IFERROR(__xludf.DUMMYFUNCTION("googletranslate(D3669,""en"",""ja"")"),"ナチュラルキラーT細胞;ナチュラルキラーTリンパ球; NK Tリム; NKT")</f>
        <v>ナチュラルキラーT細胞;ナチュラルキラーTリンパ球; NK Tリム; NKT</v>
      </c>
      <c r="H3669" s="3" t="str">
        <f ca="1">IFERROR(__xludf.DUMMYFUNCTION("googletranslate(E3669,""en"",""ja"")"),"生物学的標本中のナチュラルキラー T リンパ球の測定。")</f>
        <v>生物学的標本中のナチュラルキラー T リンパ球の測定。</v>
      </c>
      <c r="I3669" s="3" t="str">
        <f ca="1">IFERROR(__xludf.DUMMYFUNCTION("googletranslate(F3669,""en"",""ja"")"),"ナチュラルキラーTリンパ球数")</f>
        <v>ナチュラルキラーTリンパ球数</v>
      </c>
    </row>
    <row r="3670" spans="1:9" ht="45">
      <c r="A3670" s="3" t="s">
        <v>103</v>
      </c>
      <c r="B3670" s="3" t="s">
        <v>15163</v>
      </c>
      <c r="C3670" s="3" t="s">
        <v>15164</v>
      </c>
      <c r="D3670" s="3" t="s">
        <v>15165</v>
      </c>
      <c r="E3670" s="3" t="s">
        <v>15166</v>
      </c>
      <c r="F3670" s="3" t="s">
        <v>15167</v>
      </c>
      <c r="G3670" s="3" t="str">
        <f ca="1">IFERROR(__xludf.DUMMYFUNCTION("googletranslate(D3670,""en"",""ja"")"),"インクT;ナチュラルキラーTリンパ球は不変。 NK Tリム・インバール")</f>
        <v>インクT;ナチュラルキラーTリンパ球は不変。 NK Tリム・インバール</v>
      </c>
      <c r="H3670" s="3" t="str">
        <f ca="1">IFERROR(__xludf.DUMMYFUNCTION("googletranslate(E3670,""en"",""ja"")"),"生物学的標本中の不変のナチュラルキラー T リンパ球の測定。")</f>
        <v>生物学的標本中の不変のナチュラルキラー T リンパ球の測定。</v>
      </c>
      <c r="I3670" s="3" t="str">
        <f ca="1">IFERROR(__xludf.DUMMYFUNCTION("googletranslate(F3670,""en"",""ja"")"),"不変のナチュラルキラー T リンパ球数")</f>
        <v>不変のナチュラルキラー T リンパ球数</v>
      </c>
    </row>
    <row r="3671" spans="1:9" ht="60">
      <c r="A3671" s="3" t="s">
        <v>103</v>
      </c>
      <c r="B3671" s="3" t="s">
        <v>15168</v>
      </c>
      <c r="C3671" s="3" t="s">
        <v>15169</v>
      </c>
      <c r="D3671" s="3" t="s">
        <v>15170</v>
      </c>
      <c r="E3671" s="3" t="s">
        <v>15171</v>
      </c>
      <c r="F3671" s="3" t="s">
        <v>15172</v>
      </c>
      <c r="G3671" s="3" t="str">
        <f ca="1">IFERROR(__xludf.DUMMYFUNCTION("googletranslate(D3671,""en"",""ja"")"),"ナチュラルキラーTリンパ球インバリアント/ナチュラルキラーTリンパ球; NK Tリム・インバール/NKT")</f>
        <v>ナチュラルキラーTリンパ球インバリアント/ナチュラルキラーTリンパ球; NK Tリム・インバール/NKT</v>
      </c>
      <c r="H3671" s="3" t="str">
        <f ca="1">IFERROR(__xludf.DUMMYFUNCTION("googletranslate(E3671,""en"",""ja"")"),"生物学的標本中の全ナチュラルキラー T リンパ球に対する不変ナチュラル キラー T リンパ球の相対測定値 (比率またはパーセンテージ)。")</f>
        <v>生物学的標本中の全ナチュラルキラー T リンパ球に対する不変ナチュラル キラー T リンパ球の相対測定値 (比率またはパーセンテージ)。</v>
      </c>
      <c r="I3671" s="3" t="str">
        <f ca="1">IFERROR(__xludf.DUMMYFUNCTION("googletranslate(F3671,""en"",""ja"")"),"不変ナチュラルキラー T リンパ球対ナチュラルキラー T リンパ球比測定")</f>
        <v>不変ナチュラルキラー T リンパ球対ナチュラルキラー T リンパ球比測定</v>
      </c>
    </row>
    <row r="3672" spans="1:9" ht="60">
      <c r="A3672" s="3" t="s">
        <v>103</v>
      </c>
      <c r="B3672" s="3" t="s">
        <v>15173</v>
      </c>
      <c r="C3672" s="3" t="s">
        <v>15174</v>
      </c>
      <c r="D3672" s="3" t="s">
        <v>15175</v>
      </c>
      <c r="E3672" s="3" t="s">
        <v>15176</v>
      </c>
      <c r="F3672" s="3" t="s">
        <v>15177</v>
      </c>
      <c r="G3672" s="3" t="str">
        <f ca="1">IFERROR(__xludf.DUMMYFUNCTION("googletranslate(D3672,""en"",""ja"")"),"iNKT サブ母集団。ナチュラルキラーTリンパ球の不変部分集団。 NK Tリム・インバー・サブ")</f>
        <v>iNKT サブ母集団。ナチュラルキラーTリンパ球の不変部分集団。 NK Tリム・インバー・サブ</v>
      </c>
      <c r="H3672" s="3" t="str">
        <f ca="1">IFERROR(__xludf.DUMMYFUNCTION("googletranslate(E3672,""en"",""ja"")"),"生物学的標本中の不変ナチュラルキラー T リンパ球の部分集団の測定。")</f>
        <v>生物学的標本中の不変ナチュラルキラー T リンパ球の部分集団の測定。</v>
      </c>
      <c r="I3672" s="3" t="str">
        <f ca="1">IFERROR(__xludf.DUMMYFUNCTION("googletranslate(F3672,""en"",""ja"")"),"不変のナチュラルキラー T リンパ球部分集団数")</f>
        <v>不変のナチュラルキラー T リンパ球部分集団数</v>
      </c>
    </row>
    <row r="3673" spans="1:9" ht="90">
      <c r="A3673" s="3" t="s">
        <v>103</v>
      </c>
      <c r="B3673" s="3" t="s">
        <v>15178</v>
      </c>
      <c r="C3673" s="3" t="s">
        <v>15179</v>
      </c>
      <c r="D3673" s="3" t="s">
        <v>15180</v>
      </c>
      <c r="E3673" s="3" t="s">
        <v>15181</v>
      </c>
      <c r="F3673" s="3" t="s">
        <v>15182</v>
      </c>
      <c r="G3673" s="3" t="str">
        <f ca="1">IFERROR(__xludf.DUMMYFUNCTION("googletranslate(D3673,""en"",""ja"")"),"iNKT 部分母集団/iNKT;ナチュラルキラー T リンパ球不変サブ集団/ナチュラルキラー T リンパ球不変; NK TLym インバー サブ/NK TLym インバー; NK TLym インバー サブ/NKT インバー")</f>
        <v>iNKT 部分母集団/iNKT;ナチュラルキラー T リンパ球不変サブ集団/ナチュラルキラー T リンパ球不変; NK TLym インバー サブ/NK TLym インバー; NK TLym インバー サブ/NKT インバー</v>
      </c>
      <c r="H3673" s="3" t="str">
        <f ca="1">IFERROR(__xludf.DUMMYFUNCTION("googletranslate(E3673,""en"",""ja"")"),"生物学的検体中の総不変ナチュラルキラー T リンパ球に対する不変ナチュラルキラー T リンパ球の部分集団の相対測定値 (比率またはパーセンテージ)。")</f>
        <v>生物学的検体中の総不変ナチュラルキラー T リンパ球に対する不変ナチュラルキラー T リンパ球の部分集団の相対測定値 (比率またはパーセンテージ)。</v>
      </c>
      <c r="I3673" s="3" t="str">
        <f ca="1">IFERROR(__xludf.DUMMYFUNCTION("googletranslate(F3673,""en"",""ja"")"),"インバリアント ナチュラルキラー T リンパ球部分集団とインバリアント ナチュラル キラー T リンパ球の比率の測定")</f>
        <v>インバリアント ナチュラルキラー T リンパ球部分集団とインバリアント ナチュラル キラー T リンパ球の比率の測定</v>
      </c>
    </row>
    <row r="3674" spans="1:9" ht="60">
      <c r="A3674" s="3" t="s">
        <v>103</v>
      </c>
      <c r="B3674" s="3" t="s">
        <v>15183</v>
      </c>
      <c r="C3674" s="3" t="s">
        <v>15184</v>
      </c>
      <c r="D3674" s="3" t="s">
        <v>15185</v>
      </c>
      <c r="E3674" s="3" t="s">
        <v>15186</v>
      </c>
      <c r="F3674" s="3" t="s">
        <v>15187</v>
      </c>
      <c r="G3674" s="3" t="str">
        <f ca="1">IFERROR(__xludf.DUMMYFUNCTION("googletranslate(D3674,""en"",""ja"")"),"ナチュラルキラーTリンパ球/白血球; NK Tリム/ロイク; NK TLym/白血球; NKT/ロイク")</f>
        <v>ナチュラルキラーTリンパ球/白血球; NK Tリム/ロイク; NK TLym/白血球; NKT/ロイク</v>
      </c>
      <c r="H3674" s="3" t="str">
        <f ca="1">IFERROR(__xludf.DUMMYFUNCTION("googletranslate(E3674,""en"",""ja"")"),"生物学的標本における白血球に対するナチュラルキラー T リンパ球の相対的な測定値 (比率またはパーセンテージ)。")</f>
        <v>生物学的標本における白血球に対するナチュラルキラー T リンパ球の相対的な測定値 (比率またはパーセンテージ)。</v>
      </c>
      <c r="I3674" s="3" t="str">
        <f ca="1">IFERROR(__xludf.DUMMYFUNCTION("googletranslate(F3674,""en"",""ja"")"),"ナチュラルキラーTリンパ球と白血球の比率の測定")</f>
        <v>ナチュラルキラーTリンパ球と白血球の比率の測定</v>
      </c>
    </row>
    <row r="3675" spans="1:9" ht="45">
      <c r="A3675" s="3" t="s">
        <v>103</v>
      </c>
      <c r="B3675" s="3" t="s">
        <v>15188</v>
      </c>
      <c r="C3675" s="3" t="s">
        <v>15189</v>
      </c>
      <c r="D3675" s="3" t="s">
        <v>15190</v>
      </c>
      <c r="E3675" s="3" t="s">
        <v>15191</v>
      </c>
      <c r="F3675" s="3" t="s">
        <v>15192</v>
      </c>
      <c r="G3675" s="3" t="str">
        <f ca="1">IFERROR(__xludf.DUMMYFUNCTION("googletranslate(D3675,""en"",""ja"")"),"ナチュラルキラーTリンパ球/リンパ球; NK TLym/リム; NKT/リム")</f>
        <v>ナチュラルキラーTリンパ球/リンパ球; NK TLym/リム; NKT/リム</v>
      </c>
      <c r="H3675" s="3" t="str">
        <f ca="1">IFERROR(__xludf.DUMMYFUNCTION("googletranslate(E3675,""en"",""ja"")"),"生物学的標本中の全リンパ球に対するナチュラルキラー T リンパ球の相対測定値 (比率またはパーセンテージ)。")</f>
        <v>生物学的標本中の全リンパ球に対するナチュラルキラー T リンパ球の相対測定値 (比率またはパーセンテージ)。</v>
      </c>
      <c r="I3675" s="3" t="str">
        <f ca="1">IFERROR(__xludf.DUMMYFUNCTION("googletranslate(F3675,""en"",""ja"")"),"ナチュラルキラーTリンパ球とリンパ球の比率の測定")</f>
        <v>ナチュラルキラーTリンパ球とリンパ球の比率の測定</v>
      </c>
    </row>
    <row r="3676" spans="1:9" ht="60">
      <c r="A3676" s="3" t="s">
        <v>103</v>
      </c>
      <c r="B3676" s="3" t="s">
        <v>15193</v>
      </c>
      <c r="C3676" s="3" t="s">
        <v>15194</v>
      </c>
      <c r="D3676" s="3" t="s">
        <v>15195</v>
      </c>
      <c r="E3676" s="3" t="s">
        <v>15196</v>
      </c>
      <c r="F3676" s="3" t="s">
        <v>15197</v>
      </c>
      <c r="G3676" s="3" t="str">
        <f ca="1">IFERROR(__xludf.DUMMYFUNCTION("googletranslate(D3676,""en"",""ja"")"),"ナチュラルキラーT細胞サブ集団;ナチュラルキラーTリンパ球亜集団; NK Tリムサブ; NKTサブ")</f>
        <v>ナチュラルキラーT細胞サブ集団;ナチュラルキラーTリンパ球亜集団; NK Tリムサブ; NKTサブ</v>
      </c>
      <c r="H3676" s="3" t="str">
        <f ca="1">IFERROR(__xludf.DUMMYFUNCTION("googletranslate(E3676,""en"",""ja"")"),"生物学的標本中のナチュラルキラー T リンパ球の部分集団の測定。")</f>
        <v>生物学的標本中のナチュラルキラー T リンパ球の部分集団の測定。</v>
      </c>
      <c r="I3676" s="3" t="str">
        <f ca="1">IFERROR(__xludf.DUMMYFUNCTION("googletranslate(F3676,""en"",""ja"")"),"ナチュラルキラーTリンパ球部分集団数")</f>
        <v>ナチュラルキラーTリンパ球部分集団数</v>
      </c>
    </row>
    <row r="3677" spans="1:9" ht="75">
      <c r="A3677" s="3" t="s">
        <v>103</v>
      </c>
      <c r="B3677" s="3" t="s">
        <v>15198</v>
      </c>
      <c r="C3677" s="3" t="s">
        <v>15199</v>
      </c>
      <c r="D3677" s="3" t="s">
        <v>15200</v>
      </c>
      <c r="E3677" s="3" t="s">
        <v>15201</v>
      </c>
      <c r="F3677" s="3" t="s">
        <v>15202</v>
      </c>
      <c r="G3677" s="3" t="str">
        <f ca="1">IFERROR(__xludf.DUMMYFUNCTION("googletranslate(D3677,""en"",""ja"")"),"ナチュラルキラーTリンパ球サブ集団/ナチュラルキラーTリンパ球サブ集団; NK TLym サブ/NK TLym サブ; NKTサブ/NKTサブ")</f>
        <v>ナチュラルキラーTリンパ球サブ集団/ナチュラルキラーTリンパ球サブ集団; NK TLym サブ/NK TLym サブ; NKTサブ/NKTサブ</v>
      </c>
      <c r="H3677" s="3" t="str">
        <f ca="1">IFERROR(__xludf.DUMMYFUNCTION("googletranslate(E3677,""en"",""ja"")"),"生物学的標本中のナチュラルキラー T リンパ球の部分集団に対するナチュラルキラー T リンパ球の部分集団の相対的な測定値 (比率またはパーセンテージ)。")</f>
        <v>生物学的標本中のナチュラルキラー T リンパ球の部分集団に対するナチュラルキラー T リンパ球の部分集団の相対的な測定値 (比率またはパーセンテージ)。</v>
      </c>
      <c r="I3677" s="3" t="str">
        <f ca="1">IFERROR(__xludf.DUMMYFUNCTION("googletranslate(F3677,""en"",""ja"")"),"ナチュラルキラーTリンパ球部分集団とナチュラルキラーTリンパ球部分集団の比率の測定")</f>
        <v>ナチュラルキラーTリンパ球部分集団とナチュラルキラーTリンパ球部分集団の比率の測定</v>
      </c>
    </row>
    <row r="3678" spans="1:9" ht="60">
      <c r="A3678" s="3" t="s">
        <v>103</v>
      </c>
      <c r="B3678" s="3" t="s">
        <v>15203</v>
      </c>
      <c r="C3678" s="3" t="s">
        <v>15204</v>
      </c>
      <c r="D3678" s="3" t="s">
        <v>15205</v>
      </c>
      <c r="E3678" s="3" t="s">
        <v>15206</v>
      </c>
      <c r="F3678" s="3" t="s">
        <v>15207</v>
      </c>
      <c r="G3678" s="3" t="str">
        <f ca="1">IFERROR(__xludf.DUMMYFUNCTION("googletranslate(D3678,""en"",""ja"")"),"ナチュラルキラーTリンパ球部分集団/ナチュラルキラーTリンパ球; NK Tリムサブ/NKT; NKTサブ/NKT")</f>
        <v>ナチュラルキラーTリンパ球部分集団/ナチュラルキラーTリンパ球; NK Tリムサブ/NKT; NKTサブ/NKT</v>
      </c>
      <c r="H3678" s="3" t="str">
        <f ca="1">IFERROR(__xludf.DUMMYFUNCTION("googletranslate(E3678,""en"",""ja"")"),"生物学的標本中のナチュラルキラー T リンパ球の総数に対するナチュラルキラー T リンパ球の部分集団の相対測定値 (比率またはパーセンテージ)。")</f>
        <v>生物学的標本中のナチュラルキラー T リンパ球の総数に対するナチュラルキラー T リンパ球の部分集団の相対測定値 (比率またはパーセンテージ)。</v>
      </c>
      <c r="I3678" s="3" t="str">
        <f ca="1">IFERROR(__xludf.DUMMYFUNCTION("googletranslate(F3678,""en"",""ja"")"),"ナチュラルキラーTリンパ球部分集団とナチュラルキラーTリンパ球の比率の測定")</f>
        <v>ナチュラルキラーTリンパ球部分集団とナチュラルキラーTリンパ球の比率の測定</v>
      </c>
    </row>
    <row r="3679" spans="1:9" ht="45">
      <c r="A3679" s="3" t="s">
        <v>103</v>
      </c>
      <c r="B3679" s="3" t="s">
        <v>15208</v>
      </c>
      <c r="C3679" s="3" t="s">
        <v>15209</v>
      </c>
      <c r="D3679" s="3" t="s">
        <v>15210</v>
      </c>
      <c r="E3679" s="3" t="s">
        <v>15211</v>
      </c>
      <c r="F3679" s="3" t="s">
        <v>15212</v>
      </c>
      <c r="G3679" s="3" t="str">
        <f ca="1">IFERROR(__xludf.DUMMYFUNCTION("googletranslate(D3679,""en"",""ja"")"),"ナチュラルキラーTリンパ球サブ集団/Tリンパ球; NK TLym サブ/TLym; NKTサブ/TLym")</f>
        <v>ナチュラルキラーTリンパ球サブ集団/Tリンパ球; NK TLym サブ/TLym; NKTサブ/TLym</v>
      </c>
      <c r="H3679" s="3" t="str">
        <f ca="1">IFERROR(__xludf.DUMMYFUNCTION("googletranslate(E3679,""en"",""ja"")"),"生物学的標本中の全 T リンパ球に対するナチュラルキラー T リンパ球の部分集団の相対的な測定値 (比率またはパーセンテージ)。")</f>
        <v>生物学的標本中の全 T リンパ球に対するナチュラルキラー T リンパ球の部分集団の相対的な測定値 (比率またはパーセンテージ)。</v>
      </c>
      <c r="I3679" s="3" t="str">
        <f ca="1">IFERROR(__xludf.DUMMYFUNCTION("googletranslate(F3679,""en"",""ja"")"),"ナチュラルキラーTリンパ球部分集団とTリンパ球の比率の測定")</f>
        <v>ナチュラルキラーTリンパ球部分集団とTリンパ球の比率の測定</v>
      </c>
    </row>
    <row r="3680" spans="1:9" ht="45">
      <c r="A3680" s="3" t="s">
        <v>103</v>
      </c>
      <c r="B3680" s="3" t="s">
        <v>15213</v>
      </c>
      <c r="C3680" s="3" t="s">
        <v>15214</v>
      </c>
      <c r="D3680" s="3" t="s">
        <v>15215</v>
      </c>
      <c r="E3680" s="3" t="s">
        <v>15216</v>
      </c>
      <c r="F3680" s="3" t="s">
        <v>15217</v>
      </c>
      <c r="G3680" s="3" t="str">
        <f ca="1">IFERROR(__xludf.DUMMYFUNCTION("googletranslate(D3680,""en"",""ja"")"),"ナチュラルキラーTリンパ球/Tリンパ球; NK TLym/TLym; NKT/Tリム")</f>
        <v>ナチュラルキラーTリンパ球/Tリンパ球; NK TLym/TLym; NKT/Tリム</v>
      </c>
      <c r="H3680" s="3" t="str">
        <f ca="1">IFERROR(__xludf.DUMMYFUNCTION("googletranslate(E3680,""en"",""ja"")"),"生物学的標本中の全 T リンパ球に対するナチュラルキラー T リンパ球の相対測定値 (比率またはパーセンテージ)。")</f>
        <v>生物学的標本中の全 T リンパ球に対するナチュラルキラー T リンパ球の相対測定値 (比率またはパーセンテージ)。</v>
      </c>
      <c r="I3680" s="3" t="str">
        <f ca="1">IFERROR(__xludf.DUMMYFUNCTION("googletranslate(F3680,""en"",""ja"")"),"ナチュラルキラーTリンパ球とTリンパ球の比率の測定")</f>
        <v>ナチュラルキラーTリンパ球とTリンパ球の比率の測定</v>
      </c>
    </row>
    <row r="3681" spans="1:9" ht="30">
      <c r="A3681" s="3" t="s">
        <v>67</v>
      </c>
      <c r="B3681" s="3" t="s">
        <v>15218</v>
      </c>
      <c r="C3681" s="3" t="s">
        <v>15219</v>
      </c>
      <c r="D3681" s="3" t="s">
        <v>15220</v>
      </c>
      <c r="E3681" s="3" t="s">
        <v>15221</v>
      </c>
      <c r="F3681" s="3" t="s">
        <v>15222</v>
      </c>
      <c r="G3681" s="3" t="str">
        <f ca="1">IFERROR(__xludf.DUMMYFUNCTION("googletranslate(D3681,""en"",""ja"")"),"HCoV-NL63 核酸;ヒトコロナウイルスNL63核酸")</f>
        <v>HCoV-NL63 核酸;ヒトコロナウイルスNL63核酸</v>
      </c>
      <c r="H3681" s="3" t="str">
        <f ca="1">IFERROR(__xludf.DUMMYFUNCTION("googletranslate(E3681,""en"",""ja"")"),"生物学的検体中のヒトコロナウイルス NL63 核酸の測定。")</f>
        <v>生物学的検体中のヒトコロナウイルス NL63 核酸の測定。</v>
      </c>
      <c r="I3681" s="3" t="str">
        <f ca="1">IFERROR(__xludf.DUMMYFUNCTION("googletranslate(F3681,""en"",""ja"")"),"ヒトコロナウイルスNL63核酸測定")</f>
        <v>ヒトコロナウイルスNL63核酸測定</v>
      </c>
    </row>
    <row r="3682" spans="1:9" ht="30">
      <c r="A3682" s="3" t="s">
        <v>67</v>
      </c>
      <c r="B3682" s="3" t="s">
        <v>15223</v>
      </c>
      <c r="C3682" s="3" t="s">
        <v>15224</v>
      </c>
      <c r="D3682" s="3" t="s">
        <v>15225</v>
      </c>
      <c r="E3682" s="3" t="s">
        <v>15226</v>
      </c>
      <c r="F3682" s="3" t="s">
        <v>15227</v>
      </c>
      <c r="G3682" s="3" t="str">
        <f ca="1">IFERROR(__xludf.DUMMYFUNCTION("googletranslate(D3682,""en"",""ja"")"),"HCoV-NL63 RNA;ヒトコロナウイルスNL63 RNA")</f>
        <v>HCoV-NL63 RNA;ヒトコロナウイルスNL63 RNA</v>
      </c>
      <c r="H3682" s="3" t="str">
        <f ca="1">IFERROR(__xludf.DUMMYFUNCTION("googletranslate(E3682,""en"",""ja"")"),"生物学的標本中のヒトコロナウイルス NL63 RNA の測定。")</f>
        <v>生物学的標本中のヒトコロナウイルス NL63 RNA の測定。</v>
      </c>
      <c r="I3682" s="3" t="str">
        <f ca="1">IFERROR(__xludf.DUMMYFUNCTION("googletranslate(F3682,""en"",""ja"")"),"HCoV-NL63 RNAの測定")</f>
        <v>HCoV-NL63 RNAの測定</v>
      </c>
    </row>
    <row r="3683" spans="1:9" ht="30">
      <c r="A3683" s="3" t="s">
        <v>51</v>
      </c>
      <c r="B3683" s="3" t="s">
        <v>15228</v>
      </c>
      <c r="C3683" s="3" t="s">
        <v>15229</v>
      </c>
      <c r="D3683" s="3" t="s">
        <v>15230</v>
      </c>
      <c r="E3683" s="3" t="s">
        <v>15231</v>
      </c>
      <c r="F3683" s="3" t="s">
        <v>15232</v>
      </c>
      <c r="G3683" s="3" t="str">
        <f ca="1">IFERROR(__xludf.DUMMYFUNCTION("googletranslate(D3683,""en"",""ja"")"),"N-ニトロソメチルエチルアミン; NEMA; NMEA")</f>
        <v>N-ニトロソメチルエチルアミン; NEMA; NMEA</v>
      </c>
      <c r="H3683" s="3" t="str">
        <f ca="1">IFERROR(__xludf.DUMMYFUNCTION("googletranslate(E3683,""en"",""ja"")"),"試料中の N-ニトロソメチルエチルアミンの測定。")</f>
        <v>試料中の N-ニトロソメチルエチルアミンの測定。</v>
      </c>
      <c r="I3683" s="3" t="str">
        <f ca="1">IFERROR(__xludf.DUMMYFUNCTION("googletranslate(F3683,""en"",""ja"")"),"N-ニトロソメチルエチルアミンの測定")</f>
        <v>N-ニトロソメチルエチルアミンの測定</v>
      </c>
    </row>
    <row r="3684" spans="1:9" ht="30">
      <c r="A3684" s="3" t="s">
        <v>67</v>
      </c>
      <c r="B3684" s="3" t="s">
        <v>15233</v>
      </c>
      <c r="C3684" s="3" t="s">
        <v>15234</v>
      </c>
      <c r="D3684" s="3" t="s">
        <v>15234</v>
      </c>
      <c r="E3684" s="3" t="s">
        <v>15235</v>
      </c>
      <c r="F3684" s="3" t="s">
        <v>15236</v>
      </c>
      <c r="G3684" s="3" t="str">
        <f ca="1">IFERROR(__xludf.DUMMYFUNCTION("googletranslate(D3684,""en"",""ja"")"),"髄膜炎菌A抗原")</f>
        <v>髄膜炎菌A抗原</v>
      </c>
      <c r="H3684" s="3" t="str">
        <f ca="1">IFERROR(__xludf.DUMMYFUNCTION("googletranslate(E3684,""en"",""ja"")"),"生物学的検体中の髄膜炎菌 A 抗原の測定。")</f>
        <v>生物学的検体中の髄膜炎菌 A 抗原の測定。</v>
      </c>
      <c r="I3684" s="3" t="str">
        <f ca="1">IFERROR(__xludf.DUMMYFUNCTION("googletranslate(F3684,""en"",""ja"")"),"髄膜炎菌A抗原測定")</f>
        <v>髄膜炎菌A抗原測定</v>
      </c>
    </row>
    <row r="3685" spans="1:9" ht="30">
      <c r="A3685" s="3" t="s">
        <v>67</v>
      </c>
      <c r="B3685" s="3" t="s">
        <v>15237</v>
      </c>
      <c r="C3685" s="3" t="s">
        <v>15238</v>
      </c>
      <c r="D3685" s="3" t="s">
        <v>15238</v>
      </c>
      <c r="E3685" s="3" t="s">
        <v>15239</v>
      </c>
      <c r="F3685" s="3" t="s">
        <v>15240</v>
      </c>
      <c r="G3685" s="3" t="str">
        <f ca="1">IFERROR(__xludf.DUMMYFUNCTION("googletranslate(D3685,""en"",""ja"")"),"髄膜炎菌 C 抗原")</f>
        <v>髄膜炎菌 C 抗原</v>
      </c>
      <c r="H3685" s="3" t="str">
        <f ca="1">IFERROR(__xludf.DUMMYFUNCTION("googletranslate(E3685,""en"",""ja"")"),"生物学的検体中の髄膜炎菌 C 抗原の測定。")</f>
        <v>生物学的検体中の髄膜炎菌 C 抗原の測定。</v>
      </c>
      <c r="I3685" s="3" t="str">
        <f ca="1">IFERROR(__xludf.DUMMYFUNCTION("googletranslate(F3685,""en"",""ja"")"),"髄膜炎菌C抗原測定")</f>
        <v>髄膜炎菌C抗原測定</v>
      </c>
    </row>
    <row r="3686" spans="1:9" ht="30">
      <c r="A3686" s="3" t="s">
        <v>67</v>
      </c>
      <c r="B3686" s="3" t="s">
        <v>15241</v>
      </c>
      <c r="C3686" s="3" t="s">
        <v>15242</v>
      </c>
      <c r="D3686" s="3" t="s">
        <v>15242</v>
      </c>
      <c r="E3686" s="3" t="s">
        <v>15243</v>
      </c>
      <c r="F3686" s="3" t="s">
        <v>15244</v>
      </c>
      <c r="G3686" s="3" t="str">
        <f ca="1">IFERROR(__xludf.DUMMYFUNCTION("googletranslate(D3686,""en"",""ja"")"),"髄膜炎菌のDNA")</f>
        <v>髄膜炎菌のDNA</v>
      </c>
      <c r="H3686" s="3" t="str">
        <f ca="1">IFERROR(__xludf.DUMMYFUNCTION("googletranslate(E3686,""en"",""ja"")"),"生物学的標本中の髄膜炎菌 DNA の測定。")</f>
        <v>生物学的標本中の髄膜炎菌 DNA の測定。</v>
      </c>
      <c r="I3686" s="3" t="str">
        <f ca="1">IFERROR(__xludf.DUMMYFUNCTION("googletranslate(F3686,""en"",""ja"")"),"髄膜炎菌DNA測定")</f>
        <v>髄膜炎菌DNA測定</v>
      </c>
    </row>
    <row r="3687" spans="1:9">
      <c r="A3687" s="3" t="s">
        <v>51</v>
      </c>
      <c r="B3687" s="3" t="s">
        <v>15245</v>
      </c>
      <c r="C3687" s="3" t="s">
        <v>15246</v>
      </c>
      <c r="D3687" s="3" t="s">
        <v>15246</v>
      </c>
      <c r="E3687" s="3" t="s">
        <v>15247</v>
      </c>
      <c r="F3687" s="3" t="s">
        <v>15248</v>
      </c>
      <c r="G3687" s="3" t="str">
        <f ca="1">IFERROR(__xludf.DUMMYFUNCTION("googletranslate(D3687,""en"",""ja"")"),"ニトロメタン")</f>
        <v>ニトロメタン</v>
      </c>
      <c r="H3687" s="3" t="str">
        <f ca="1">IFERROR(__xludf.DUMMYFUNCTION("googletranslate(E3687,""en"",""ja"")"),"試料中のニトロメタンの測定。")</f>
        <v>試料中のニトロメタンの測定。</v>
      </c>
      <c r="I3687" s="3" t="str">
        <f ca="1">IFERROR(__xludf.DUMMYFUNCTION("googletranslate(F3687,""en"",""ja"")"),"ニトロメタンの測定")</f>
        <v>ニトロメタンの測定</v>
      </c>
    </row>
    <row r="3688" spans="1:9" ht="30">
      <c r="A3688" s="3" t="s">
        <v>6</v>
      </c>
      <c r="B3688" s="3" t="s">
        <v>15249</v>
      </c>
      <c r="C3688" s="3" t="s">
        <v>15250</v>
      </c>
      <c r="D3688" s="3" t="s">
        <v>15250</v>
      </c>
      <c r="E3688" s="3" t="s">
        <v>15251</v>
      </c>
      <c r="F3688" s="3" t="s">
        <v>15252</v>
      </c>
      <c r="G3688" s="3" t="str">
        <f ca="1">IFERROR(__xludf.DUMMYFUNCTION("googletranslate(D3688,""en"",""ja"")"),"N-メチルヒスタミン")</f>
        <v>N-メチルヒスタミン</v>
      </c>
      <c r="H3688" s="3" t="str">
        <f ca="1">IFERROR(__xludf.DUMMYFUNCTION("googletranslate(E3688,""en"",""ja"")"),"生物学的標本中の N-メチルヒスタミンの測定。")</f>
        <v>生物学的標本中の N-メチルヒスタミンの測定。</v>
      </c>
      <c r="I3688" s="3" t="str">
        <f ca="1">IFERROR(__xludf.DUMMYFUNCTION("googletranslate(F3688,""en"",""ja"")"),"N-メチルヒスタミンの測定")</f>
        <v>N-メチルヒスタミンの測定</v>
      </c>
    </row>
    <row r="3689" spans="1:9" ht="30">
      <c r="A3689" s="3" t="s">
        <v>51</v>
      </c>
      <c r="B3689" s="3" t="s">
        <v>15253</v>
      </c>
      <c r="C3689" s="3" t="s">
        <v>15254</v>
      </c>
      <c r="D3689" s="3" t="s">
        <v>15255</v>
      </c>
      <c r="E3689" s="3" t="s">
        <v>15256</v>
      </c>
      <c r="F3689" s="3" t="s">
        <v>15257</v>
      </c>
      <c r="G3689" s="3" t="str">
        <f ca="1">IFERROR(__xludf.DUMMYFUNCTION("googletranslate(D3689,""en"",""ja"")"),"N-ニトロソモルホリン; NMOR")</f>
        <v>N-ニトロソモルホリン; NMOR</v>
      </c>
      <c r="H3689" s="3" t="str">
        <f ca="1">IFERROR(__xludf.DUMMYFUNCTION("googletranslate(E3689,""en"",""ja"")"),"標本中の N-ニトロソモルホリンの測定。")</f>
        <v>標本中の N-ニトロソモルホリンの測定。</v>
      </c>
      <c r="I3689" s="3" t="str">
        <f ca="1">IFERROR(__xludf.DUMMYFUNCTION("googletranslate(F3689,""en"",""ja"")"),"N-ニトロソモルホリンの測定")</f>
        <v>N-ニトロソモルホリンの測定</v>
      </c>
    </row>
    <row r="3690" spans="1:9" ht="45">
      <c r="A3690" s="3" t="s">
        <v>6</v>
      </c>
      <c r="B3690" s="3" t="s">
        <v>15258</v>
      </c>
      <c r="C3690" s="3" t="s">
        <v>15259</v>
      </c>
      <c r="D3690" s="3" t="s">
        <v>15260</v>
      </c>
      <c r="E3690" s="3" t="s">
        <v>15261</v>
      </c>
      <c r="F3690" s="3" t="s">
        <v>15262</v>
      </c>
      <c r="G3690" s="3" t="str">
        <f ca="1">IFERROR(__xludf.DUMMYFUNCTION("googletranslate(D3690,""en"",""ja"")"),"核マトリックスタンパク質 22;核分裂装置タンパク質 1; NUMA1")</f>
        <v>核マトリックスタンパク質 22;核分裂装置タンパク質 1; NUMA1</v>
      </c>
      <c r="H3690" s="3" t="str">
        <f ca="1">IFERROR(__xludf.DUMMYFUNCTION("googletranslate(E3690,""en"",""ja"")"),"生物学的標本中の核マトリックスタンパク質 22 の測定。")</f>
        <v>生物学的標本中の核マトリックスタンパク質 22 の測定。</v>
      </c>
      <c r="I3690" s="3" t="str">
        <f ca="1">IFERROR(__xludf.DUMMYFUNCTION("googletranslate(F3690,""en"",""ja"")"),"核マトリックスタンパク質22の測定")</f>
        <v>核マトリックスタンパク質22の測定</v>
      </c>
    </row>
    <row r="3691" spans="1:9" ht="30">
      <c r="A3691" s="3" t="s">
        <v>6</v>
      </c>
      <c r="B3691" s="3" t="s">
        <v>15263</v>
      </c>
      <c r="C3691" s="3" t="s">
        <v>15263</v>
      </c>
      <c r="D3691" s="3" t="s">
        <v>15264</v>
      </c>
      <c r="E3691" s="3" t="s">
        <v>15265</v>
      </c>
      <c r="F3691" s="3" t="s">
        <v>15266</v>
      </c>
      <c r="G3691" s="3" t="str">
        <f ca="1">IFERROR(__xludf.DUMMYFUNCTION("googletranslate(D3691,""en"",""ja"")"),"4-(メチルニトロサアミノ)-4-(3-ピリジル)-1-ブタノール; NNAL")</f>
        <v>4-(メチルニトロサアミノ)-4-(3-ピリジル)-1-ブタノール; NNAL</v>
      </c>
      <c r="H3691" s="3" t="str">
        <f ca="1">IFERROR(__xludf.DUMMYFUNCTION("googletranslate(E3691,""en"",""ja"")"),"検体中の総 4-(メチルニトロサミノ)-4-(3-ピリジル)-1-ブタノール (NNAL) の測定。")</f>
        <v>検体中の総 4-(メチルニトロサミノ)-4-(3-ピリジル)-1-ブタノール (NNAL) の測定。</v>
      </c>
      <c r="I3691" s="3" t="str">
        <f ca="1">IFERROR(__xludf.DUMMYFUNCTION("googletranslate(F3691,""en"",""ja"")"),"4-(メチルニトロサアミノ)-4-(3-ピリジル)-1-ブタノールの測定")</f>
        <v>4-(メチルニトロサアミノ)-4-(3-ピリジル)-1-ブタノールの測定</v>
      </c>
    </row>
    <row r="3692" spans="1:9" ht="30">
      <c r="A3692" s="3" t="s">
        <v>51</v>
      </c>
      <c r="B3692" s="3" t="s">
        <v>15263</v>
      </c>
      <c r="C3692" s="3" t="s">
        <v>15263</v>
      </c>
      <c r="D3692" s="3" t="s">
        <v>15264</v>
      </c>
      <c r="E3692" s="3" t="s">
        <v>15265</v>
      </c>
      <c r="F3692" s="3" t="s">
        <v>15267</v>
      </c>
      <c r="G3692" s="3" t="str">
        <f ca="1">IFERROR(__xludf.DUMMYFUNCTION("googletranslate(D3692,""en"",""ja"")"),"4-(メチルニトロサアミノ)-4-(3-ピリジル)-1-ブタノール; NNAL")</f>
        <v>4-(メチルニトロサアミノ)-4-(3-ピリジル)-1-ブタノール; NNAL</v>
      </c>
      <c r="H3692" s="3" t="str">
        <f ca="1">IFERROR(__xludf.DUMMYFUNCTION("googletranslate(E3692,""en"",""ja"")"),"検体中の総 4-(メチルニトロサミノ)-4-(3-ピリジル)-1-ブタノール (NNAL) の測定。")</f>
        <v>検体中の総 4-(メチルニトロサミノ)-4-(3-ピリジル)-1-ブタノール (NNAL) の測定。</v>
      </c>
      <c r="I3692" s="3" t="str">
        <f ca="1">IFERROR(__xludf.DUMMYFUNCTION("googletranslate(F3692,""en"",""ja"")"),"NNAL測定")</f>
        <v>NNAL測定</v>
      </c>
    </row>
    <row r="3693" spans="1:9" ht="45">
      <c r="A3693" s="3" t="s">
        <v>51</v>
      </c>
      <c r="B3693" s="3" t="s">
        <v>15268</v>
      </c>
      <c r="C3693" s="3" t="s">
        <v>15269</v>
      </c>
      <c r="D3693" s="3" t="s">
        <v>15270</v>
      </c>
      <c r="E3693" s="3" t="s">
        <v>15271</v>
      </c>
      <c r="F3693" s="3" t="s">
        <v>15272</v>
      </c>
      <c r="G3693" s="3" t="str">
        <f ca="1">IFERROR(__xludf.DUMMYFUNCTION("googletranslate(D3693,""en"",""ja"")"),"4-(メチルニトロサアミノ)-4-(3-ピリジル)-1-ブタノール、遊離; NNAL、無料")</f>
        <v>4-(メチルニトロサアミノ)-4-(3-ピリジル)-1-ブタノール、遊離; NNAL、無料</v>
      </c>
      <c r="H3693" s="3" t="str">
        <f ca="1">IFERROR(__xludf.DUMMYFUNCTION("googletranslate(E3693,""en"",""ja"")"),"標本中の遊離 4-(メチルニトロサミノ)-4-(3-ピリジル)-1-ブタノール (NNAL、遊離) の測定。")</f>
        <v>標本中の遊離 4-(メチルニトロサミノ)-4-(3-ピリジル)-1-ブタノール (NNAL、遊離) の測定。</v>
      </c>
      <c r="I3693" s="3" t="str">
        <f ca="1">IFERROR(__xludf.DUMMYFUNCTION("googletranslate(F3693,""en"",""ja"")"),"無料のNNAL測定")</f>
        <v>無料のNNAL測定</v>
      </c>
    </row>
    <row r="3694" spans="1:9" ht="30">
      <c r="A3694" s="3" t="s">
        <v>51</v>
      </c>
      <c r="B3694" s="3" t="s">
        <v>15273</v>
      </c>
      <c r="C3694" s="3" t="s">
        <v>15274</v>
      </c>
      <c r="D3694" s="3" t="s">
        <v>15275</v>
      </c>
      <c r="E3694" s="3" t="s">
        <v>15276</v>
      </c>
      <c r="F3694" s="3" t="s">
        <v>15277</v>
      </c>
      <c r="G3694" s="3" t="str">
        <f ca="1">IFERROR(__xludf.DUMMYFUNCTION("googletranslate(D3694,""en"",""ja"")"),"NNAL-N-グルック; NNAL-N-グルクロニド")</f>
        <v>NNAL-N-グルック; NNAL-N-グルクロニド</v>
      </c>
      <c r="H3694" s="3" t="str">
        <f ca="1">IFERROR(__xludf.DUMMYFUNCTION("googletranslate(E3694,""en"",""ja"")"),"検体中の NNAL-N-gluc の測定。")</f>
        <v>検体中の NNAL-N-gluc の測定。</v>
      </c>
      <c r="I3694" s="3" t="str">
        <f ca="1">IFERROR(__xludf.DUMMYFUNCTION("googletranslate(F3694,""en"",""ja"")"),"NNAL-N-Gluc の測定")</f>
        <v>NNAL-N-Gluc の測定</v>
      </c>
    </row>
    <row r="3695" spans="1:9" ht="30">
      <c r="A3695" s="3" t="s">
        <v>51</v>
      </c>
      <c r="B3695" s="3" t="s">
        <v>15278</v>
      </c>
      <c r="C3695" s="3" t="s">
        <v>15279</v>
      </c>
      <c r="D3695" s="3" t="s">
        <v>15280</v>
      </c>
      <c r="E3695" s="3" t="s">
        <v>15281</v>
      </c>
      <c r="F3695" s="3" t="s">
        <v>15282</v>
      </c>
      <c r="G3695" s="3" t="str">
        <f ca="1">IFERROR(__xludf.DUMMYFUNCTION("googletranslate(D3695,""en"",""ja"")"),"NNAL-O-グルク; NNAL-O-グルクロニド")</f>
        <v>NNAL-O-グルク; NNAL-O-グルクロニド</v>
      </c>
      <c r="H3695" s="3" t="str">
        <f ca="1">IFERROR(__xludf.DUMMYFUNCTION("googletranslate(E3695,""en"",""ja"")"),"検体中の NNAL-O-gluc の測定。")</f>
        <v>検体中の NNAL-O-gluc の測定。</v>
      </c>
      <c r="I3695" s="3" t="str">
        <f ca="1">IFERROR(__xludf.DUMMYFUNCTION("googletranslate(F3695,""en"",""ja"")"),"NNAL-O-Gluc の測定")</f>
        <v>NNAL-O-Gluc の測定</v>
      </c>
    </row>
    <row r="3696" spans="1:9" ht="30">
      <c r="A3696" s="3" t="s">
        <v>51</v>
      </c>
      <c r="B3696" s="3" t="s">
        <v>15283</v>
      </c>
      <c r="C3696" s="3" t="s">
        <v>15284</v>
      </c>
      <c r="D3696" s="3" t="s">
        <v>15285</v>
      </c>
      <c r="E3696" s="3" t="s">
        <v>15286</v>
      </c>
      <c r="F3696" s="3" t="s">
        <v>15287</v>
      </c>
      <c r="G3696" s="3" t="str">
        <f ca="1">IFERROR(__xludf.DUMMYFUNCTION("googletranslate(D3696,""en"",""ja"")"),"N'-ニトロソアナバシン; N-ニトロソアナバシン")</f>
        <v>N'-ニトロソアナバシン; N-ニトロソアナバシン</v>
      </c>
      <c r="H3696" s="3" t="str">
        <f ca="1">IFERROR(__xludf.DUMMYFUNCTION("googletranslate(E3696,""en"",""ja"")"),"検体中の N-ニトロソアナバシンの測定。")</f>
        <v>検体中の N-ニトロソアナバシンの測定。</v>
      </c>
      <c r="I3696" s="3" t="str">
        <f ca="1">IFERROR(__xludf.DUMMYFUNCTION("googletranslate(F3696,""en"",""ja"")"),"N-ニトロソアナバシンの測定")</f>
        <v>N-ニトロソアナバシンの測定</v>
      </c>
    </row>
    <row r="3697" spans="1:9" ht="30">
      <c r="A3697" s="3" t="s">
        <v>51</v>
      </c>
      <c r="B3697" s="3" t="s">
        <v>15288</v>
      </c>
      <c r="C3697" s="3" t="s">
        <v>15289</v>
      </c>
      <c r="D3697" s="3" t="s">
        <v>15290</v>
      </c>
      <c r="E3697" s="3" t="s">
        <v>15291</v>
      </c>
      <c r="F3697" s="3" t="s">
        <v>15292</v>
      </c>
      <c r="G3697" s="3" t="str">
        <f ca="1">IFERROR(__xludf.DUMMYFUNCTION("googletranslate(D3697,""en"",""ja"")"),"N'-ニトロソアナタビン; N-ニトロソアナタビン")</f>
        <v>N'-ニトロソアナタビン; N-ニトロソアナタビン</v>
      </c>
      <c r="H3697" s="3" t="str">
        <f ca="1">IFERROR(__xludf.DUMMYFUNCTION("googletranslate(E3697,""en"",""ja"")"),"検体中の N-ニトロソアナタビンの測定。")</f>
        <v>検体中の N-ニトロソアナタビンの測定。</v>
      </c>
      <c r="I3697" s="3" t="str">
        <f ca="1">IFERROR(__xludf.DUMMYFUNCTION("googletranslate(F3697,""en"",""ja"")"),"N-ニトロソアナタビンの測定")</f>
        <v>N-ニトロソアナタビンの測定</v>
      </c>
    </row>
    <row r="3698" spans="1:9" ht="60">
      <c r="A3698" s="3" t="s">
        <v>6</v>
      </c>
      <c r="B3698" s="3" t="s">
        <v>15293</v>
      </c>
      <c r="C3698" s="3" t="s">
        <v>15294</v>
      </c>
      <c r="D3698" s="3" t="s">
        <v>15295</v>
      </c>
      <c r="E3698" s="3" t="s">
        <v>15296</v>
      </c>
      <c r="F3698" s="3" t="s">
        <v>15297</v>
      </c>
      <c r="G3698" s="3" t="str">
        <f ca="1">IFERROR(__xludf.DUMMYFUNCTION("googletranslate(D3698,""en"",""ja"")"),"4-(メチルニトロサアミノ)-1-(3-ピリジル)-1-ブタノン;ニコチン由来ニトロソアミンケトン; NNK")</f>
        <v>4-(メチルニトロサアミノ)-1-(3-ピリジル)-1-ブタノン;ニコチン由来ニトロソアミンケトン; NNK</v>
      </c>
      <c r="H3698" s="3" t="str">
        <f ca="1">IFERROR(__xludf.DUMMYFUNCTION("googletranslate(E3698,""en"",""ja"")"),"検体中のニコチン由来のニトロソアミンケトンの測定。")</f>
        <v>検体中のニコチン由来のニトロソアミンケトンの測定。</v>
      </c>
      <c r="I3698" s="3" t="str">
        <f ca="1">IFERROR(__xludf.DUMMYFUNCTION("googletranslate(F3698,""en"",""ja"")"),"ニコチン由来ニトロソアミンケトン測定")</f>
        <v>ニコチン由来ニトロソアミンケトン測定</v>
      </c>
    </row>
    <row r="3699" spans="1:9" ht="60">
      <c r="A3699" s="3" t="s">
        <v>51</v>
      </c>
      <c r="B3699" s="3" t="s">
        <v>15293</v>
      </c>
      <c r="C3699" s="3" t="s">
        <v>15294</v>
      </c>
      <c r="D3699" s="3" t="s">
        <v>15295</v>
      </c>
      <c r="E3699" s="3" t="s">
        <v>15296</v>
      </c>
      <c r="F3699" s="3" t="s">
        <v>15297</v>
      </c>
      <c r="G3699" s="3" t="str">
        <f ca="1">IFERROR(__xludf.DUMMYFUNCTION("googletranslate(D3699,""en"",""ja"")"),"4-(メチルニトロサアミノ)-1-(3-ピリジル)-1-ブタノン;ニコチン由来ニトロソアミンケトン; NNK")</f>
        <v>4-(メチルニトロサアミノ)-1-(3-ピリジル)-1-ブタノン;ニコチン由来ニトロソアミンケトン; NNK</v>
      </c>
      <c r="H3699" s="3" t="str">
        <f ca="1">IFERROR(__xludf.DUMMYFUNCTION("googletranslate(E3699,""en"",""ja"")"),"検体中のニコチン由来のニトロソアミンケトンの測定。")</f>
        <v>検体中のニコチン由来のニトロソアミンケトンの測定。</v>
      </c>
      <c r="I3699" s="3" t="str">
        <f ca="1">IFERROR(__xludf.DUMMYFUNCTION("googletranslate(F3699,""en"",""ja"")"),"ニコチン由来ニトロソアミンケトン測定")</f>
        <v>ニコチン由来ニトロソアミンケトン測定</v>
      </c>
    </row>
    <row r="3700" spans="1:9" ht="30">
      <c r="A3700" s="3" t="s">
        <v>6</v>
      </c>
      <c r="B3700" s="3" t="s">
        <v>15298</v>
      </c>
      <c r="C3700" s="3" t="s">
        <v>15299</v>
      </c>
      <c r="D3700" s="3" t="s">
        <v>15300</v>
      </c>
      <c r="E3700" s="3" t="s">
        <v>15301</v>
      </c>
      <c r="F3700" s="3" t="s">
        <v>15302</v>
      </c>
      <c r="G3700" s="3" t="str">
        <f ca="1">IFERROR(__xludf.DUMMYFUNCTION("googletranslate(D3700,""en"",""ja"")"),"N-ニトロソノルニコチン; NNN")</f>
        <v>N-ニトロソノルニコチン; NNN</v>
      </c>
      <c r="H3700" s="3" t="str">
        <f ca="1">IFERROR(__xludf.DUMMYFUNCTION("googletranslate(E3700,""en"",""ja"")"),"検体中の N-ニトロソノルニコチンの測定。")</f>
        <v>検体中の N-ニトロソノルニコチンの測定。</v>
      </c>
      <c r="I3700" s="3" t="str">
        <f ca="1">IFERROR(__xludf.DUMMYFUNCTION("googletranslate(F3700,""en"",""ja"")"),"N-ニトロソノルニコチンの測定")</f>
        <v>N-ニトロソノルニコチンの測定</v>
      </c>
    </row>
    <row r="3701" spans="1:9" ht="30">
      <c r="A3701" s="3" t="s">
        <v>51</v>
      </c>
      <c r="B3701" s="3" t="s">
        <v>15298</v>
      </c>
      <c r="C3701" s="3" t="s">
        <v>15299</v>
      </c>
      <c r="D3701" s="3" t="s">
        <v>15300</v>
      </c>
      <c r="E3701" s="3" t="s">
        <v>15301</v>
      </c>
      <c r="F3701" s="3" t="s">
        <v>15302</v>
      </c>
      <c r="G3701" s="3" t="str">
        <f ca="1">IFERROR(__xludf.DUMMYFUNCTION("googletranslate(D3701,""en"",""ja"")"),"N-ニトロソノルニコチン; NNN")</f>
        <v>N-ニトロソノルニコチン; NNN</v>
      </c>
      <c r="H3701" s="3" t="str">
        <f ca="1">IFERROR(__xludf.DUMMYFUNCTION("googletranslate(E3701,""en"",""ja"")"),"検体中の N-ニトロソノルニコチンの測定。")</f>
        <v>検体中の N-ニトロソノルニコチンの測定。</v>
      </c>
      <c r="I3701" s="3" t="str">
        <f ca="1">IFERROR(__xludf.DUMMYFUNCTION("googletranslate(F3701,""en"",""ja"")"),"N-ニトロソノルニコチンの測定")</f>
        <v>N-ニトロソノルニコチンの測定</v>
      </c>
    </row>
    <row r="3702" spans="1:9" ht="30">
      <c r="A3702" s="3" t="s">
        <v>51</v>
      </c>
      <c r="B3702" s="3" t="s">
        <v>15303</v>
      </c>
      <c r="C3702" s="3" t="s">
        <v>15304</v>
      </c>
      <c r="D3702" s="3" t="s">
        <v>15305</v>
      </c>
      <c r="E3702" s="3" t="s">
        <v>15306</v>
      </c>
      <c r="F3702" s="3" t="s">
        <v>15307</v>
      </c>
      <c r="G3702" s="3" t="str">
        <f ca="1">IFERROR(__xludf.DUMMYFUNCTION("googletranslate(D3702,""en"",""ja"")"),"NNN-グルクロニド; NNN-N-グルクロニド")</f>
        <v>NNN-グルクロニド; NNN-N-グルクロニド</v>
      </c>
      <c r="H3702" s="3" t="str">
        <f ca="1">IFERROR(__xludf.DUMMYFUNCTION("googletranslate(E3702,""en"",""ja"")"),"検体中の NNN-グルクロニドの測定。")</f>
        <v>検体中の NNN-グルクロニドの測定。</v>
      </c>
      <c r="I3702" s="3" t="str">
        <f ca="1">IFERROR(__xludf.DUMMYFUNCTION("googletranslate(F3702,""en"",""ja"")"),"NNN-グルクロニド測定")</f>
        <v>NNN-グルクロニド測定</v>
      </c>
    </row>
    <row r="3703" spans="1:9" ht="60">
      <c r="A3703" s="3" t="s">
        <v>6</v>
      </c>
      <c r="B3703" s="3" t="s">
        <v>15308</v>
      </c>
      <c r="C3703" s="3" t="s">
        <v>15309</v>
      </c>
      <c r="D3703" s="3" t="s">
        <v>15309</v>
      </c>
      <c r="E3703" s="3" t="s">
        <v>15310</v>
      </c>
      <c r="F3703" s="3" t="s">
        <v>15311</v>
      </c>
      <c r="G3703" s="3" t="str">
        <f ca="1">IFERROR(__xludf.DUMMYFUNCTION("googletranslate(D3703,""en"",""ja"")"),"非HDLコレステロール/HDLコレステロール")</f>
        <v>非HDLコレステロール/HDLコレステロール</v>
      </c>
      <c r="H3703" s="3" t="str">
        <f ca="1">IFERROR(__xludf.DUMMYFUNCTION("googletranslate(E3703,""en"",""ja"")"),"生物学的標本中の高密度リポタンパク質コレステロールに対する非高密度リポタンパク質コレステロールの相対測定値 (比率またはパーセンテージ)。")</f>
        <v>生物学的標本中の高密度リポタンパク質コレステロールに対する非高密度リポタンパク質コレステロールの相対測定値 (比率またはパーセンテージ)。</v>
      </c>
      <c r="I3703" s="3" t="str">
        <f ca="1">IFERROR(__xludf.DUMMYFUNCTION("googletranslate(F3703,""en"",""ja"")"),"Non-HDL コレステロールと HDL コレステロールの比率の測定")</f>
        <v>Non-HDL コレステロールと HDL コレステロールの比率の測定</v>
      </c>
    </row>
    <row r="3704" spans="1:9" ht="30">
      <c r="A3704" s="3" t="s">
        <v>6</v>
      </c>
      <c r="B3704" s="3" t="s">
        <v>15312</v>
      </c>
      <c r="C3704" s="3" t="s">
        <v>15313</v>
      </c>
      <c r="D3704" s="3" t="s">
        <v>15314</v>
      </c>
      <c r="E3704" s="3" t="s">
        <v>15315</v>
      </c>
      <c r="F3704" s="3" t="s">
        <v>15316</v>
      </c>
      <c r="G3704" s="3" t="str">
        <f ca="1">IFERROR(__xludf.DUMMYFUNCTION("googletranslate(D3704,""en"",""ja"")"),"非HDLコレステロール。非高密度リポタンパク質")</f>
        <v>非HDLコレステロール。非高密度リポタンパク質</v>
      </c>
      <c r="H3704" s="3" t="str">
        <f ca="1">IFERROR(__xludf.DUMMYFUNCTION("googletranslate(E3704,""en"",""ja"")"),"生体標本中の非高密度リポタンパク質コレステロールの測定。")</f>
        <v>生体標本中の非高密度リポタンパク質コレステロールの測定。</v>
      </c>
      <c r="I3704" s="3" t="str">
        <f ca="1">IFERROR(__xludf.DUMMYFUNCTION("googletranslate(F3704,""en"",""ja"")"),"非高密度リポタンパク質コレステロール測定")</f>
        <v>非高密度リポタンパク質コレステロール測定</v>
      </c>
    </row>
    <row r="3705" spans="1:9" ht="30">
      <c r="A3705" s="3" t="s">
        <v>6</v>
      </c>
      <c r="B3705" s="3" t="s">
        <v>15317</v>
      </c>
      <c r="C3705" s="3" t="s">
        <v>15318</v>
      </c>
      <c r="D3705" s="3" t="s">
        <v>15318</v>
      </c>
      <c r="E3705" s="3" t="s">
        <v>15319</v>
      </c>
      <c r="F3705" s="3" t="s">
        <v>15320</v>
      </c>
      <c r="G3705" s="3" t="str">
        <f ca="1">IFERROR(__xludf.DUMMYFUNCTION("googletranslate(D3705,""en"",""ja"")"),"ノルドキセピン")</f>
        <v>ノルドキセピン</v>
      </c>
      <c r="H3705" s="3" t="str">
        <f ca="1">IFERROR(__xludf.DUMMYFUNCTION("googletranslate(E3705,""en"",""ja"")"),"生物学的標本中に存在するノルドキセピンの測定。")</f>
        <v>生物学的標本中に存在するノルドキセピンの測定。</v>
      </c>
      <c r="I3705" s="3" t="str">
        <f ca="1">IFERROR(__xludf.DUMMYFUNCTION("googletranslate(F3705,""en"",""ja"")"),"ノルドキセピンの測定")</f>
        <v>ノルドキセピンの測定</v>
      </c>
    </row>
    <row r="3706" spans="1:9" ht="45">
      <c r="A3706" s="3" t="s">
        <v>6</v>
      </c>
      <c r="B3706" s="3" t="s">
        <v>15321</v>
      </c>
      <c r="C3706" s="3" t="s">
        <v>15322</v>
      </c>
      <c r="D3706" s="3" t="s">
        <v>15322</v>
      </c>
      <c r="E3706" s="3" t="s">
        <v>15323</v>
      </c>
      <c r="F3706" s="3" t="s">
        <v>15322</v>
      </c>
      <c r="G3706" s="3" t="str">
        <f ca="1">IFERROR(__xludf.DUMMYFUNCTION("googletranslate(D3706,""en"",""ja"")"),"ノルアドレナリン排泄率")</f>
        <v>ノルアドレナリン排泄率</v>
      </c>
      <c r="H3706" s="3" t="str">
        <f ca="1">IFERROR(__xludf.DUMMYFUNCTION("googletranslate(E3706,""en"",""ja"")"),"規定の時間 (例: 1 時間) にわたって生物学的標本中に排泄されるノルエピネフリンの量の測定。")</f>
        <v>規定の時間 (例: 1 時間) にわたって生物学的標本中に排泄されるノルエピネフリンの量の測定。</v>
      </c>
      <c r="I3706" s="3" t="str">
        <f ca="1">IFERROR(__xludf.DUMMYFUNCTION("googletranslate(F3706,""en"",""ja"")"),"ノルアドレナリン排泄率")</f>
        <v>ノルアドレナリン排泄率</v>
      </c>
    </row>
    <row r="3707" spans="1:9" ht="30">
      <c r="A3707" s="3" t="s">
        <v>6</v>
      </c>
      <c r="B3707" s="3" t="s">
        <v>15324</v>
      </c>
      <c r="C3707" s="3" t="s">
        <v>15325</v>
      </c>
      <c r="D3707" s="3" t="s">
        <v>15326</v>
      </c>
      <c r="E3707" s="3" t="s">
        <v>15327</v>
      </c>
      <c r="F3707" s="3" t="s">
        <v>15328</v>
      </c>
      <c r="G3707" s="3" t="str">
        <f ca="1">IFERROR(__xludf.DUMMYFUNCTION("googletranslate(D3707,""en"",""ja"")"),"ノルアドレナリン;ノルアドレナリン")</f>
        <v>ノルアドレナリン;ノルアドレナリン</v>
      </c>
      <c r="H3707" s="3" t="str">
        <f ca="1">IFERROR(__xludf.DUMMYFUNCTION("googletranslate(E3707,""en"",""ja"")"),"生物学的標本中のノルエピネフリン ホルモンの測定。")</f>
        <v>生物学的標本中のノルエピネフリン ホルモンの測定。</v>
      </c>
      <c r="I3707" s="3" t="str">
        <f ca="1">IFERROR(__xludf.DUMMYFUNCTION("googletranslate(F3707,""en"",""ja"")"),"ノルアドレナリン測定")</f>
        <v>ノルアドレナリン測定</v>
      </c>
    </row>
    <row r="3708" spans="1:9" ht="30">
      <c r="A3708" s="3" t="s">
        <v>6</v>
      </c>
      <c r="B3708" s="3" t="s">
        <v>15329</v>
      </c>
      <c r="C3708" s="3" t="s">
        <v>15330</v>
      </c>
      <c r="D3708" s="3" t="s">
        <v>15330</v>
      </c>
      <c r="E3708" s="3" t="s">
        <v>15331</v>
      </c>
      <c r="F3708" s="3" t="s">
        <v>15332</v>
      </c>
      <c r="G3708" s="3" t="str">
        <f ca="1">IFERROR(__xludf.DUMMYFUNCTION("googletranslate(D3708,""en"",""ja"")"),"好塩基性正常芽細胞")</f>
        <v>好塩基性正常芽細胞</v>
      </c>
      <c r="H3708" s="3" t="str">
        <f ca="1">IFERROR(__xludf.DUMMYFUNCTION("googletranslate(E3708,""en"",""ja"")"),"ヒト以外の生物から採取した生体標本中の好塩基性正常芽細胞の測定。")</f>
        <v>ヒト以外の生物から採取した生体標本中の好塩基性正常芽細胞の測定。</v>
      </c>
      <c r="I3708" s="3" t="str">
        <f ca="1">IFERROR(__xludf.DUMMYFUNCTION("googletranslate(F3708,""en"",""ja"")"),"好塩基性正常芽球数")</f>
        <v>好塩基性正常芽球数</v>
      </c>
    </row>
    <row r="3709" spans="1:9" ht="45">
      <c r="A3709" s="3" t="s">
        <v>6</v>
      </c>
      <c r="B3709" s="3" t="s">
        <v>15333</v>
      </c>
      <c r="C3709" s="3" t="s">
        <v>15334</v>
      </c>
      <c r="D3709" s="3" t="s">
        <v>15334</v>
      </c>
      <c r="E3709" s="3" t="s">
        <v>15335</v>
      </c>
      <c r="F3709" s="3" t="s">
        <v>15334</v>
      </c>
      <c r="G3709" s="3" t="str">
        <f ca="1">IFERROR(__xludf.DUMMYFUNCTION("googletranslate(D3709,""en"",""ja"")"),"ノルメタネフリン排泄率")</f>
        <v>ノルメタネフリン排泄率</v>
      </c>
      <c r="H3709" s="3" t="str">
        <f ca="1">IFERROR(__xludf.DUMMYFUNCTION("googletranslate(E3709,""en"",""ja"")"),"規定の時間 (例: 1 時間) にわたって生物学的標本中に排泄されるノルメタネフリンの量の測定。")</f>
        <v>規定の時間 (例: 1 時間) にわたって生物学的標本中に排泄されるノルメタネフリンの量の測定。</v>
      </c>
      <c r="I3709" s="3" t="str">
        <f ca="1">IFERROR(__xludf.DUMMYFUNCTION("googletranslate(F3709,""en"",""ja"")"),"ノルメタネフリン排泄率")</f>
        <v>ノルメタネフリン排泄率</v>
      </c>
    </row>
    <row r="3710" spans="1:9" ht="30">
      <c r="A3710" s="3" t="s">
        <v>6</v>
      </c>
      <c r="B3710" s="3" t="s">
        <v>15336</v>
      </c>
      <c r="C3710" s="3" t="s">
        <v>15337</v>
      </c>
      <c r="D3710" s="3" t="s">
        <v>15337</v>
      </c>
      <c r="E3710" s="3" t="s">
        <v>15338</v>
      </c>
      <c r="F3710" s="3" t="s">
        <v>15339</v>
      </c>
      <c r="G3710" s="3" t="str">
        <f ca="1">IFERROR(__xludf.DUMMYFUNCTION("googletranslate(D3710,""en"",""ja"")"),"ノルメタネフリン")</f>
        <v>ノルメタネフリン</v>
      </c>
      <c r="H3710" s="3" t="str">
        <f ca="1">IFERROR(__xludf.DUMMYFUNCTION("googletranslate(E3710,""en"",""ja"")"),"生物学的標本中のノルメタネフリンの測定。")</f>
        <v>生物学的標本中のノルメタネフリンの測定。</v>
      </c>
      <c r="I3710" s="3" t="str">
        <f ca="1">IFERROR(__xludf.DUMMYFUNCTION("googletranslate(F3710,""en"",""ja"")"),"ノルメタネフリンの測定")</f>
        <v>ノルメタネフリンの測定</v>
      </c>
    </row>
    <row r="3711" spans="1:9" ht="30">
      <c r="A3711" s="3" t="s">
        <v>6</v>
      </c>
      <c r="B3711" s="3" t="s">
        <v>15340</v>
      </c>
      <c r="C3711" s="3" t="s">
        <v>15341</v>
      </c>
      <c r="D3711" s="3" t="s">
        <v>15341</v>
      </c>
      <c r="E3711" s="3" t="s">
        <v>15342</v>
      </c>
      <c r="F3711" s="3" t="s">
        <v>15343</v>
      </c>
      <c r="G3711" s="3" t="str">
        <f ca="1">IFERROR(__xludf.DUMMYFUNCTION("googletranslate(D3711,""en"",""ja"")"),"ノルメタネフリン、無料")</f>
        <v>ノルメタネフリン、無料</v>
      </c>
      <c r="H3711" s="3" t="str">
        <f ca="1">IFERROR(__xludf.DUMMYFUNCTION("googletranslate(E3711,""en"",""ja"")"),"生物学的標本中の遊離ノルメタネフリンの測定。")</f>
        <v>生物学的標本中の遊離ノルメタネフリンの測定。</v>
      </c>
      <c r="I3711" s="3" t="str">
        <f ca="1">IFERROR(__xludf.DUMMYFUNCTION("googletranslate(F3711,""en"",""ja"")"),"無料のノルメタネフリン測定")</f>
        <v>無料のノルメタネフリン測定</v>
      </c>
    </row>
    <row r="3712" spans="1:9">
      <c r="A3712" s="3" t="s">
        <v>6</v>
      </c>
      <c r="B3712" s="3" t="s">
        <v>15344</v>
      </c>
      <c r="C3712" s="3" t="s">
        <v>15345</v>
      </c>
      <c r="D3712" s="3" t="s">
        <v>15345</v>
      </c>
      <c r="E3712" s="3" t="s">
        <v>15346</v>
      </c>
      <c r="F3712" s="3" t="s">
        <v>15347</v>
      </c>
      <c r="G3712" s="3" t="str">
        <f ca="1">IFERROR(__xludf.DUMMYFUNCTION("googletranslate(D3712,""en"",""ja"")"),"ノルニコチン")</f>
        <v>ノルニコチン</v>
      </c>
      <c r="H3712" s="3" t="str">
        <f ca="1">IFERROR(__xludf.DUMMYFUNCTION("googletranslate(E3712,""en"",""ja"")"),"生物学的標本中のノルニコチンの測定。")</f>
        <v>生物学的標本中のノルニコチンの測定。</v>
      </c>
      <c r="I3712" s="3" t="str">
        <f ca="1">IFERROR(__xludf.DUMMYFUNCTION("googletranslate(F3712,""en"",""ja"")"),"ノルニコチン測定")</f>
        <v>ノルニコチン測定</v>
      </c>
    </row>
    <row r="3713" spans="1:9">
      <c r="A3713" s="3" t="s">
        <v>51</v>
      </c>
      <c r="B3713" s="3" t="s">
        <v>15344</v>
      </c>
      <c r="C3713" s="3" t="s">
        <v>15345</v>
      </c>
      <c r="D3713" s="3" t="s">
        <v>15345</v>
      </c>
      <c r="E3713" s="3" t="s">
        <v>15346</v>
      </c>
      <c r="F3713" s="3" t="s">
        <v>15347</v>
      </c>
      <c r="G3713" s="3" t="str">
        <f ca="1">IFERROR(__xludf.DUMMYFUNCTION("googletranslate(D3713,""en"",""ja"")"),"ノルニコチン")</f>
        <v>ノルニコチン</v>
      </c>
      <c r="H3713" s="3" t="str">
        <f ca="1">IFERROR(__xludf.DUMMYFUNCTION("googletranslate(E3713,""en"",""ja"")"),"生物学的標本中のノルニコチンの測定。")</f>
        <v>生物学的標本中のノルニコチンの測定。</v>
      </c>
      <c r="I3713" s="3" t="str">
        <f ca="1">IFERROR(__xludf.DUMMYFUNCTION("googletranslate(F3713,""en"",""ja"")"),"ノルニコチン測定")</f>
        <v>ノルニコチン測定</v>
      </c>
    </row>
    <row r="3714" spans="1:9" ht="45">
      <c r="A3714" s="3" t="s">
        <v>67</v>
      </c>
      <c r="B3714" s="3" t="s">
        <v>15348</v>
      </c>
      <c r="C3714" s="3" t="s">
        <v>15349</v>
      </c>
      <c r="D3714" s="3" t="s">
        <v>15349</v>
      </c>
      <c r="E3714" s="3" t="s">
        <v>15350</v>
      </c>
      <c r="F3714" s="3" t="s">
        <v>15351</v>
      </c>
      <c r="G3714" s="3" t="str">
        <f ca="1">IFERROR(__xludf.DUMMYFUNCTION("googletranslate(D3714,""en"",""ja"")"),"ノロウイルス")</f>
        <v>ノロウイルス</v>
      </c>
      <c r="H3714" s="3" t="str">
        <f ca="1">IFERROR(__xludf.DUMMYFUNCTION("googletranslate(E3714,""en"",""ja"")"),"生物学的標本において、種レベルには割り当てられていないが、ノロウイルス属レベルに割り当てられている生物の測定値。")</f>
        <v>生物学的標本において、種レベルには割り当てられていないが、ノロウイルス属レベルに割り当てられている生物の測定値。</v>
      </c>
      <c r="I3714" s="3" t="str">
        <f ca="1">IFERROR(__xludf.DUMMYFUNCTION("googletranslate(F3714,""en"",""ja"")"),"ノロウイルス測定")</f>
        <v>ノロウイルス測定</v>
      </c>
    </row>
    <row r="3715" spans="1:9">
      <c r="A3715" s="3" t="s">
        <v>6</v>
      </c>
      <c r="B3715" s="3" t="s">
        <v>15352</v>
      </c>
      <c r="C3715" s="3" t="s">
        <v>15353</v>
      </c>
      <c r="D3715" s="3" t="s">
        <v>15353</v>
      </c>
      <c r="E3715" s="3" t="s">
        <v>15354</v>
      </c>
      <c r="F3715" s="3" t="s">
        <v>15355</v>
      </c>
      <c r="G3715" s="3" t="str">
        <f ca="1">IFERROR(__xludf.DUMMYFUNCTION("googletranslate(D3715,""en"",""ja"")"),"ノルトリプチリン")</f>
        <v>ノルトリプチリン</v>
      </c>
      <c r="H3715" s="3" t="str">
        <f ca="1">IFERROR(__xludf.DUMMYFUNCTION("googletranslate(E3715,""en"",""ja"")"),"生物学的標本中のノルトリプチリンの測定。")</f>
        <v>生物学的標本中のノルトリプチリンの測定。</v>
      </c>
      <c r="I3715" s="3" t="str">
        <f ca="1">IFERROR(__xludf.DUMMYFUNCTION("googletranslate(F3715,""en"",""ja"")"),"ノルトリプチリンの測定")</f>
        <v>ノルトリプチリンの測定</v>
      </c>
    </row>
    <row r="3716" spans="1:9" ht="30">
      <c r="A3716" s="3" t="s">
        <v>67</v>
      </c>
      <c r="B3716" s="3" t="s">
        <v>15356</v>
      </c>
      <c r="C3716" s="3" t="s">
        <v>15357</v>
      </c>
      <c r="D3716" s="3" t="s">
        <v>15358</v>
      </c>
      <c r="E3716" s="3" t="s">
        <v>15359</v>
      </c>
      <c r="F3716" s="3" t="s">
        <v>15360</v>
      </c>
      <c r="G3716" s="3" t="str">
        <f ca="1">IFERROR(__xludf.DUMMYFUNCTION("googletranslate(D3716,""en"",""ja"")"),"ノーウォークカリシウイルスRNA;ノーウォークウイルスRNA")</f>
        <v>ノーウォークカリシウイルスRNA;ノーウォークウイルスRNA</v>
      </c>
      <c r="H3716" s="3" t="str">
        <f ca="1">IFERROR(__xludf.DUMMYFUNCTION("googletranslate(E3716,""en"",""ja"")"),"生物学的標本中のノーウォーク ウイルス RNA の測定。")</f>
        <v>生物学的標本中のノーウォーク ウイルス RNA の測定。</v>
      </c>
      <c r="I3716" s="3" t="str">
        <f ca="1">IFERROR(__xludf.DUMMYFUNCTION("googletranslate(F3716,""en"",""ja"")"),"ノーウォークウイルスRNA測定")</f>
        <v>ノーウォークウイルスRNA測定</v>
      </c>
    </row>
    <row r="3717" spans="1:9">
      <c r="A3717" s="3" t="s">
        <v>6</v>
      </c>
      <c r="B3717" s="3" t="s">
        <v>15361</v>
      </c>
      <c r="C3717" s="3" t="s">
        <v>15362</v>
      </c>
      <c r="D3717" s="3" t="s">
        <v>15362</v>
      </c>
      <c r="E3717" s="3" t="s">
        <v>15363</v>
      </c>
      <c r="F3717" s="3" t="s">
        <v>15364</v>
      </c>
      <c r="G3717" s="3" t="str">
        <f ca="1">IFERROR(__xludf.DUMMYFUNCTION("googletranslate(D3717,""en"",""ja"")"),"ノルオキシコドン")</f>
        <v>ノルオキシコドン</v>
      </c>
      <c r="H3717" s="3" t="str">
        <f ca="1">IFERROR(__xludf.DUMMYFUNCTION("googletranslate(E3717,""en"",""ja"")"),"生物学的標本中のノルオキシコドンの測定。")</f>
        <v>生物学的標本中のノルオキシコドンの測定。</v>
      </c>
      <c r="I3717" s="3" t="str">
        <f ca="1">IFERROR(__xludf.DUMMYFUNCTION("googletranslate(F3717,""en"",""ja"")"),"ノルオキシコドンの測定")</f>
        <v>ノルオキシコドンの測定</v>
      </c>
    </row>
    <row r="3718" spans="1:9" ht="30">
      <c r="A3718" s="3" t="s">
        <v>6</v>
      </c>
      <c r="B3718" s="3" t="s">
        <v>15365</v>
      </c>
      <c r="C3718" s="3" t="s">
        <v>15366</v>
      </c>
      <c r="D3718" s="3" t="s">
        <v>15366</v>
      </c>
      <c r="E3718" s="3" t="s">
        <v>15367</v>
      </c>
      <c r="F3718" s="3" t="s">
        <v>15368</v>
      </c>
      <c r="G3718" s="3" t="str">
        <f ca="1">IFERROR(__xludf.DUMMYFUNCTION("googletranslate(D3718,""en"",""ja"")"),"非前立腺酸性ホスファターゼ")</f>
        <v>非前立腺酸性ホスファターゼ</v>
      </c>
      <c r="H3718" s="3" t="str">
        <f ca="1">IFERROR(__xludf.DUMMYFUNCTION("googletranslate(E3718,""en"",""ja"")"),"生体試料中の非前立腺酸性ホスファターゼの測定。")</f>
        <v>生体試料中の非前立腺酸性ホスファターゼの測定。</v>
      </c>
      <c r="I3718" s="3" t="str">
        <f ca="1">IFERROR(__xludf.DUMMYFUNCTION("googletranslate(F3718,""en"",""ja"")"),"非前立腺酸性ホスファターゼの測定")</f>
        <v>非前立腺酸性ホスファターゼの測定</v>
      </c>
    </row>
    <row r="3719" spans="1:9" ht="45">
      <c r="A3719" s="3" t="s">
        <v>6</v>
      </c>
      <c r="B3719" s="3" t="s">
        <v>15369</v>
      </c>
      <c r="C3719" s="3" t="s">
        <v>15370</v>
      </c>
      <c r="D3719" s="3" t="s">
        <v>15371</v>
      </c>
      <c r="E3719" s="3" t="s">
        <v>15372</v>
      </c>
      <c r="F3719" s="3" t="s">
        <v>15370</v>
      </c>
      <c r="G3719" s="3" t="str">
        <f ca="1">IFERROR(__xludf.DUMMYFUNCTION("googletranslate(D3719,""en"",""ja"")"),"正規化されたタンパク質の異化率。正規化されたタンパク質異化速度。 NPCR; nPCR")</f>
        <v>正規化されたタンパク質の異化率。正規化されたタンパク質異化速度。 NPCR; nPCR</v>
      </c>
      <c r="H3719" s="3" t="str">
        <f ca="1">IFERROR(__xludf.DUMMYFUNCTION("googletranslate(E3719,""en"",""ja"")"),"透析患者の食事によるタンパク質摂取量を評価するために使用される、生物学的検体における正規化されたタンパク質異化率の計算された測定値。")</f>
        <v>透析患者の食事によるタンパク質摂取量を評価するために使用される、生物学的検体における正規化されたタンパク質異化率の計算された測定値。</v>
      </c>
      <c r="I3719" s="3" t="str">
        <f ca="1">IFERROR(__xludf.DUMMYFUNCTION("googletranslate(F3719,""en"",""ja"")"),"正規化されたタンパク質異化速度")</f>
        <v>正規化されたタンパク質異化速度</v>
      </c>
    </row>
    <row r="3720" spans="1:9">
      <c r="A3720" s="3" t="s">
        <v>51</v>
      </c>
      <c r="B3720" s="3" t="s">
        <v>15373</v>
      </c>
      <c r="C3720" s="3" t="s">
        <v>15374</v>
      </c>
      <c r="D3720" s="3" t="s">
        <v>15374</v>
      </c>
      <c r="E3720" s="3" t="s">
        <v>15375</v>
      </c>
      <c r="F3720" s="3" t="s">
        <v>15376</v>
      </c>
      <c r="G3720" s="3" t="str">
        <f ca="1">IFERROR(__xludf.DUMMYFUNCTION("googletranslate(D3720,""en"",""ja"")"),"ナフタレン")</f>
        <v>ナフタレン</v>
      </c>
      <c r="H3720" s="3" t="str">
        <f ca="1">IFERROR(__xludf.DUMMYFUNCTION("googletranslate(E3720,""en"",""ja"")"),"試料中のナフタレンの測定。")</f>
        <v>試料中のナフタレンの測定。</v>
      </c>
      <c r="I3720" s="3" t="str">
        <f ca="1">IFERROR(__xludf.DUMMYFUNCTION("googletranslate(F3720,""en"",""ja"")"),"ナフタレンの測定")</f>
        <v>ナフタレンの測定</v>
      </c>
    </row>
    <row r="3721" spans="1:9">
      <c r="A3721" s="3" t="s">
        <v>51</v>
      </c>
      <c r="B3721" s="3" t="s">
        <v>15377</v>
      </c>
      <c r="C3721" s="3" t="s">
        <v>15378</v>
      </c>
      <c r="D3721" s="3" t="s">
        <v>15379</v>
      </c>
      <c r="E3721" s="3" t="s">
        <v>15380</v>
      </c>
      <c r="F3721" s="3" t="s">
        <v>15381</v>
      </c>
      <c r="G3721" s="3" t="str">
        <f ca="1">IFERROR(__xludf.DUMMYFUNCTION("googletranslate(D3721,""en"",""ja"")"),"N-ニトロソピペリジン; NPIP")</f>
        <v>N-ニトロソピペリジン; NPIP</v>
      </c>
      <c r="H3721" s="3" t="str">
        <f ca="1">IFERROR(__xludf.DUMMYFUNCTION("googletranslate(E3721,""en"",""ja"")"),"検体中の N-ニトロソピペリジンの測定。")</f>
        <v>検体中の N-ニトロソピペリジンの測定。</v>
      </c>
      <c r="I3721" s="3" t="str">
        <f ca="1">IFERROR(__xludf.DUMMYFUNCTION("googletranslate(F3721,""en"",""ja"")"),"N-ニトロソピペリジンの測定")</f>
        <v>N-ニトロソピペリジンの測定</v>
      </c>
    </row>
    <row r="3722" spans="1:9">
      <c r="A3722" s="3" t="s">
        <v>51</v>
      </c>
      <c r="B3722" s="3" t="s">
        <v>15382</v>
      </c>
      <c r="C3722" s="3" t="s">
        <v>15383</v>
      </c>
      <c r="D3722" s="3" t="s">
        <v>15384</v>
      </c>
      <c r="E3722" s="3" t="s">
        <v>15385</v>
      </c>
      <c r="F3722" s="3" t="s">
        <v>15386</v>
      </c>
      <c r="G3722" s="3" t="str">
        <f ca="1">IFERROR(__xludf.DUMMYFUNCTION("googletranslate(D3722,""en"",""ja"")"),"2-ニトロプロパン; 2-NP")</f>
        <v>2-ニトロプロパン; 2-NP</v>
      </c>
      <c r="H3722" s="3" t="str">
        <f ca="1">IFERROR(__xludf.DUMMYFUNCTION("googletranslate(E3722,""en"",""ja"")"),"試料中の 2-ニトロプロパンの測定。")</f>
        <v>試料中の 2-ニトロプロパンの測定。</v>
      </c>
      <c r="I3722" s="3" t="str">
        <f ca="1">IFERROR(__xludf.DUMMYFUNCTION("googletranslate(F3722,""en"",""ja"")"),"2-ニトロプロパンの測定")</f>
        <v>2-ニトロプロパンの測定</v>
      </c>
    </row>
    <row r="3723" spans="1:9" ht="30">
      <c r="A3723" s="3" t="s">
        <v>6</v>
      </c>
      <c r="B3723" s="3" t="s">
        <v>15387</v>
      </c>
      <c r="C3723" s="3" t="s">
        <v>15388</v>
      </c>
      <c r="D3723" s="3" t="s">
        <v>15388</v>
      </c>
      <c r="E3723" s="3" t="s">
        <v>15389</v>
      </c>
      <c r="F3723" s="3" t="s">
        <v>15390</v>
      </c>
      <c r="G3723" s="3" t="str">
        <f ca="1">IFERROR(__xludf.DUMMYFUNCTION("googletranslate(D3723,""en"",""ja"")"),"神経ペプチドY")</f>
        <v>神経ペプチドY</v>
      </c>
      <c r="H3723" s="3" t="str">
        <f ca="1">IFERROR(__xludf.DUMMYFUNCTION("googletranslate(E3723,""en"",""ja"")"),"生物学的標本中の神経ペプチド Y の測定。")</f>
        <v>生物学的標本中の神経ペプチド Y の測定。</v>
      </c>
      <c r="I3723" s="3" t="str">
        <f ca="1">IFERROR(__xludf.DUMMYFUNCTION("googletranslate(F3723,""en"",""ja"")"),"神経ペプチドYの測定")</f>
        <v>神経ペプチドYの測定</v>
      </c>
    </row>
    <row r="3724" spans="1:9">
      <c r="A3724" s="3" t="s">
        <v>51</v>
      </c>
      <c r="B3724" s="3" t="s">
        <v>15391</v>
      </c>
      <c r="C3724" s="3" t="s">
        <v>15392</v>
      </c>
      <c r="D3724" s="3" t="s">
        <v>15393</v>
      </c>
      <c r="E3724" s="3" t="s">
        <v>15394</v>
      </c>
      <c r="F3724" s="3" t="s">
        <v>15395</v>
      </c>
      <c r="G3724" s="3" t="str">
        <f ca="1">IFERROR(__xludf.DUMMYFUNCTION("googletranslate(D3724,""en"",""ja"")"),"N-ニトロソピロリジン; NPYR")</f>
        <v>N-ニトロソピロリジン; NPYR</v>
      </c>
      <c r="H3724" s="3" t="str">
        <f ca="1">IFERROR(__xludf.DUMMYFUNCTION("googletranslate(E3724,""en"",""ja"")"),"検体中の N-ニトロソピロリジンの測定。")</f>
        <v>検体中の N-ニトロソピロリジンの測定。</v>
      </c>
      <c r="I3724" s="3" t="str">
        <f ca="1">IFERROR(__xludf.DUMMYFUNCTION("googletranslate(F3724,""en"",""ja"")"),"N-ニトロソピロリジンの測定")</f>
        <v>N-ニトロソピロリジンの測定</v>
      </c>
    </row>
    <row r="3725" spans="1:9" ht="45">
      <c r="A3725" s="3" t="s">
        <v>6</v>
      </c>
      <c r="B3725" s="3" t="s">
        <v>15396</v>
      </c>
      <c r="C3725" s="3" t="s">
        <v>15397</v>
      </c>
      <c r="D3725" s="3" t="s">
        <v>15398</v>
      </c>
      <c r="E3725" s="3" t="s">
        <v>15399</v>
      </c>
      <c r="F3725" s="3" t="s">
        <v>15400</v>
      </c>
      <c r="G3725" s="3" t="str">
        <f ca="1">IFERROR(__xludf.DUMMYFUNCTION("googletranslate(D3725,""en"",""ja"")"),"デスメチルジアゼパム; N-デスメチルジアゼパム;ノルダゼパム;ノルジアゼパム")</f>
        <v>デスメチルジアゼパム; N-デスメチルジアゼパム;ノルダゼパム;ノルジアゼパム</v>
      </c>
      <c r="H3725" s="3" t="str">
        <f ca="1">IFERROR(__xludf.DUMMYFUNCTION("googletranslate(E3725,""en"",""ja"")"),"生物学的標本中に存在するノルダゼパムの測定。")</f>
        <v>生物学的標本中に存在するノルダゼパムの測定。</v>
      </c>
      <c r="I3725" s="3" t="str">
        <f ca="1">IFERROR(__xludf.DUMMYFUNCTION("googletranslate(F3725,""en"",""ja"")"),"ノルダゼパムの測定")</f>
        <v>ノルダゼパムの測定</v>
      </c>
    </row>
    <row r="3726" spans="1:9" ht="30">
      <c r="A3726" s="3" t="s">
        <v>6</v>
      </c>
      <c r="B3726" s="3" t="s">
        <v>15401</v>
      </c>
      <c r="C3726" s="3" t="s">
        <v>15402</v>
      </c>
      <c r="D3726" s="3" t="s">
        <v>15402</v>
      </c>
      <c r="E3726" s="3" t="s">
        <v>15403</v>
      </c>
      <c r="F3726" s="3" t="s">
        <v>15404</v>
      </c>
      <c r="G3726" s="3" t="str">
        <f ca="1">IFERROR(__xludf.DUMMYFUNCTION("googletranslate(D3726,""en"",""ja"")"),"ノルエタンドロロン")</f>
        <v>ノルエタンドロロン</v>
      </c>
      <c r="H3726" s="3" t="str">
        <f ca="1">IFERROR(__xludf.DUMMYFUNCTION("googletranslate(E3726,""en"",""ja"")"),"生物学的標本中のノルエタンドロロンの測定。")</f>
        <v>生物学的標本中のノルエタンドロロンの測定。</v>
      </c>
      <c r="I3726" s="3" t="str">
        <f ca="1">IFERROR(__xludf.DUMMYFUNCTION("googletranslate(F3726,""en"",""ja"")"),"ノルエタンドロロンの測定")</f>
        <v>ノルエタンドロロンの測定</v>
      </c>
    </row>
    <row r="3727" spans="1:9" ht="30">
      <c r="A3727" s="3" t="s">
        <v>6</v>
      </c>
      <c r="B3727" s="3" t="s">
        <v>15405</v>
      </c>
      <c r="C3727" s="3" t="s">
        <v>15406</v>
      </c>
      <c r="D3727" s="3" t="s">
        <v>15407</v>
      </c>
      <c r="E3727" s="3" t="s">
        <v>15408</v>
      </c>
      <c r="F3727" s="3" t="s">
        <v>15409</v>
      </c>
      <c r="G3727" s="3" t="str">
        <f ca="1">IFERROR(__xludf.DUMMYFUNCTION("googletranslate(D3727,""en"",""ja"")"),"BDCA4;ニューロピリン-1; NP1; NRP;可溶性CD304; VEGF165R")</f>
        <v>BDCA4;ニューロピリン-1; NP1; NRP;可溶性CD304; VEGF165R</v>
      </c>
      <c r="H3727" s="3" t="str">
        <f ca="1">IFERROR(__xludf.DUMMYFUNCTION("googletranslate(E3727,""en"",""ja"")"),"生物学的標本中のニューロピリン-1の測定。")</f>
        <v>生物学的標本中のニューロピリン-1の測定。</v>
      </c>
      <c r="I3727" s="3" t="str">
        <f ca="1">IFERROR(__xludf.DUMMYFUNCTION("googletranslate(F3727,""en"",""ja"")"),"ニューロピリン-1の測定")</f>
        <v>ニューロピリン-1の測定</v>
      </c>
    </row>
    <row r="3728" spans="1:9" ht="30">
      <c r="A3728" s="3" t="s">
        <v>1557</v>
      </c>
      <c r="B3728" s="3" t="s">
        <v>15410</v>
      </c>
      <c r="C3728" s="3" t="s">
        <v>15411</v>
      </c>
      <c r="D3728" s="3" t="s">
        <v>15411</v>
      </c>
      <c r="E3728" s="3" t="s">
        <v>15412</v>
      </c>
      <c r="F3728" s="3" t="s">
        <v>15411</v>
      </c>
      <c r="G3728" s="3" t="str">
        <f ca="1">IFERROR(__xludf.DUMMYFUNCTION("googletranslate(D3728,""en"",""ja"")"),"ニアポイントの宿泊施設")</f>
        <v>ニアポイントの宿泊施設</v>
      </c>
      <c r="H3728" s="3" t="str">
        <f ca="1">IFERROR(__xludf.DUMMYFUNCTION("googletranslate(E3728,""en"",""ja"")"),"物体が明確な焦点を維持できる網膜からの最小距離。")</f>
        <v>物体が明確な焦点を維持できる網膜からの最小距離。</v>
      </c>
      <c r="I3728" s="3" t="str">
        <f ca="1">IFERROR(__xludf.DUMMYFUNCTION("googletranslate(F3728,""en"",""ja"")"),"ニアポイントの宿泊施設")</f>
        <v>ニアポイントの宿泊施設</v>
      </c>
    </row>
    <row r="3729" spans="1:9" ht="30">
      <c r="A3729" s="3" t="s">
        <v>6</v>
      </c>
      <c r="B3729" s="3" t="s">
        <v>15413</v>
      </c>
      <c r="C3729" s="3" t="s">
        <v>15414</v>
      </c>
      <c r="D3729" s="3" t="s">
        <v>15414</v>
      </c>
      <c r="E3729" s="3" t="s">
        <v>15415</v>
      </c>
      <c r="F3729" s="3" t="s">
        <v>15416</v>
      </c>
      <c r="G3729" s="3" t="str">
        <f ca="1">IFERROR(__xludf.DUMMYFUNCTION("googletranslate(D3729,""en"",""ja"")"),"ノルプロポキシフェン")</f>
        <v>ノルプロポキシフェン</v>
      </c>
      <c r="H3729" s="3" t="str">
        <f ca="1">IFERROR(__xludf.DUMMYFUNCTION("googletranslate(E3729,""en"",""ja"")"),"生物学的標本中のノルプロポキシフェンの測定。")</f>
        <v>生物学的標本中のノルプロポキシフェンの測定。</v>
      </c>
      <c r="I3729" s="3" t="str">
        <f ca="1">IFERROR(__xludf.DUMMYFUNCTION("googletranslate(F3729,""en"",""ja"")"),"ノルプロポキシフェンの測定")</f>
        <v>ノルプロポキシフェンの測定</v>
      </c>
    </row>
    <row r="3730" spans="1:9">
      <c r="A3730" s="3" t="s">
        <v>51</v>
      </c>
      <c r="B3730" s="3" t="s">
        <v>15417</v>
      </c>
      <c r="C3730" s="3" t="s">
        <v>15418</v>
      </c>
      <c r="D3730" s="3" t="s">
        <v>15419</v>
      </c>
      <c r="E3730" s="3" t="s">
        <v>15420</v>
      </c>
      <c r="F3730" s="3" t="s">
        <v>15421</v>
      </c>
      <c r="G3730" s="3" t="str">
        <f ca="1">IFERROR(__xludf.DUMMYFUNCTION("googletranslate(D3730,""en"",""ja"")"),"N-ニトロソサルコシン; NSAR")</f>
        <v>N-ニトロソサルコシン; NSAR</v>
      </c>
      <c r="H3730" s="3" t="str">
        <f ca="1">IFERROR(__xludf.DUMMYFUNCTION("googletranslate(E3730,""en"",""ja"")"),"標本中の N-ニトロソサルコシンの測定。")</f>
        <v>標本中の N-ニトロソサルコシンの測定。</v>
      </c>
      <c r="I3730" s="3" t="str">
        <f ca="1">IFERROR(__xludf.DUMMYFUNCTION("googletranslate(F3730,""en"",""ja"")"),"N-ニトロソサルコシンの測定")</f>
        <v>N-ニトロソサルコシンの測定</v>
      </c>
    </row>
    <row r="3731" spans="1:9" ht="45">
      <c r="A3731" s="3" t="s">
        <v>6</v>
      </c>
      <c r="B3731" s="3" t="s">
        <v>15422</v>
      </c>
      <c r="C3731" s="3" t="s">
        <v>15423</v>
      </c>
      <c r="D3731" s="3" t="s">
        <v>15424</v>
      </c>
      <c r="E3731" s="3" t="s">
        <v>15425</v>
      </c>
      <c r="F3731" s="3" t="s">
        <v>15426</v>
      </c>
      <c r="G3731" s="3" t="str">
        <f ca="1">IFERROR(__xludf.DUMMYFUNCTION("googletranslate(D3731,""en"",""ja"")"),"エノラーゼ 2;ガンマエノラーゼ;ニューロン特異的エノラーゼ")</f>
        <v>エノラーゼ 2;ガンマエノラーゼ;ニューロン特異的エノラーゼ</v>
      </c>
      <c r="H3731" s="3" t="str">
        <f ca="1">IFERROR(__xludf.DUMMYFUNCTION("googletranslate(E3731,""en"",""ja"")"),"生物学的標本中のニューロン特異的エノラーゼの測定。")</f>
        <v>生物学的標本中のニューロン特異的エノラーゼの測定。</v>
      </c>
      <c r="I3731" s="3" t="str">
        <f ca="1">IFERROR(__xludf.DUMMYFUNCTION("googletranslate(F3731,""en"",""ja"")"),"ニューロン特異的エノラーゼの測定")</f>
        <v>ニューロン特異的エノラーゼの測定</v>
      </c>
    </row>
    <row r="3732" spans="1:9" ht="30">
      <c r="A3732" s="3" t="s">
        <v>6</v>
      </c>
      <c r="B3732" s="3" t="s">
        <v>15427</v>
      </c>
      <c r="C3732" s="3" t="s">
        <v>15428</v>
      </c>
      <c r="D3732" s="3" t="s">
        <v>15429</v>
      </c>
      <c r="E3732" s="3" t="s">
        <v>15430</v>
      </c>
      <c r="F3732" s="3" t="s">
        <v>15431</v>
      </c>
      <c r="G3732" s="3" t="str">
        <f ca="1">IFERROR(__xludf.DUMMYFUNCTION("googletranslate(D3732,""en"",""ja"")"),"正常精子/総精子;精子の形態")</f>
        <v>正常精子/総精子;精子の形態</v>
      </c>
      <c r="H3732" s="3" t="str">
        <f ca="1">IFERROR(__xludf.DUMMYFUNCTION("googletranslate(E3732,""en"",""ja"")"),"生物学的標本中の総精子に対する正常な精子の測定値（比率またはパーセンテージ）。")</f>
        <v>生物学的標本中の総精子に対する正常な精子の測定値（比率またはパーセンテージ）。</v>
      </c>
      <c r="I3732" s="3" t="str">
        <f ca="1">IFERROR(__xludf.DUMMYFUNCTION("googletranslate(F3732,""en"",""ja"")"),"正常精子と総精子の比率の測定")</f>
        <v>正常精子と総精子の比率の測定</v>
      </c>
    </row>
    <row r="3733" spans="1:9" ht="45">
      <c r="A3733" s="3" t="s">
        <v>67</v>
      </c>
      <c r="B3733" s="3" t="s">
        <v>15432</v>
      </c>
      <c r="C3733" s="3" t="s">
        <v>15433</v>
      </c>
      <c r="D3733" s="3" t="s">
        <v>15434</v>
      </c>
      <c r="E3733" s="3" t="s">
        <v>15435</v>
      </c>
      <c r="F3733" s="3" t="s">
        <v>15436</v>
      </c>
      <c r="G3733" s="3" t="str">
        <f ca="1">IFERROR(__xludf.DUMMYFUNCTION("googletranslate(D3733,""en"",""ja"")"),"非結核性抗酸菌症。非結核性抗酸菌症。 NTM")</f>
        <v>非結核性抗酸菌症。非結核性抗酸菌症。 NTM</v>
      </c>
      <c r="H3733" s="3" t="str">
        <f ca="1">IFERROR(__xludf.DUMMYFUNCTION("googletranslate(E3733,""en"",""ja"")"),"生物学的標本において、マイコバクテリウム属に割り当てられているが、結核やハンセン病の原因ではない微生物の測定値。")</f>
        <v>生物学的標本において、マイコバクテリウム属に割り当てられているが、結核やハンセン病の原因ではない微生物の測定値。</v>
      </c>
      <c r="I3733" s="3" t="str">
        <f ca="1">IFERROR(__xludf.DUMMYFUNCTION("googletranslate(F3733,""en"",""ja"")"),"非結核性抗酸菌の測定")</f>
        <v>非結核性抗酸菌の測定</v>
      </c>
    </row>
    <row r="3734" spans="1:9" ht="30">
      <c r="A3734" s="3" t="s">
        <v>103</v>
      </c>
      <c r="B3734" s="3" t="s">
        <v>15437</v>
      </c>
      <c r="C3734" s="3" t="s">
        <v>15438</v>
      </c>
      <c r="D3734" s="3" t="s">
        <v>15439</v>
      </c>
      <c r="E3734" s="3" t="s">
        <v>15440</v>
      </c>
      <c r="F3734" s="3" t="s">
        <v>15441</v>
      </c>
      <c r="G3734" s="3" t="str">
        <f ca="1">IFERROR(__xludf.DUMMYFUNCTION("googletranslate(D3734,""en"",""ja"")"),"非TBNKロイク。非TBNK白血球")</f>
        <v>非TBNKロイク。非TBNK白血球</v>
      </c>
      <c r="H3734" s="3" t="str">
        <f ca="1">IFERROR(__xludf.DUMMYFUNCTION("googletranslate(E3734,""en"",""ja"")"),"生物学的標本中の T 細胞、B 細胞、またはナチュラル キラー細胞ではない白血球の測定。")</f>
        <v>生物学的標本中の T 細胞、B 細胞、またはナチュラル キラー細胞ではない白血球の測定。</v>
      </c>
      <c r="I3734" s="3" t="str">
        <f ca="1">IFERROR(__xludf.DUMMYFUNCTION("googletranslate(F3734,""en"",""ja"")"),"非TBNK白血球数")</f>
        <v>非TBNK白血球数</v>
      </c>
    </row>
    <row r="3735" spans="1:9" ht="45">
      <c r="A3735" s="3" t="s">
        <v>103</v>
      </c>
      <c r="B3735" s="3" t="s">
        <v>15442</v>
      </c>
      <c r="C3735" s="3" t="s">
        <v>15443</v>
      </c>
      <c r="D3735" s="3" t="s">
        <v>15444</v>
      </c>
      <c r="E3735" s="3" t="s">
        <v>15445</v>
      </c>
      <c r="F3735" s="3" t="s">
        <v>15446</v>
      </c>
      <c r="G3735" s="3" t="str">
        <f ca="1">IFERROR(__xludf.DUMMYFUNCTION("googletranslate(D3735,""en"",""ja"")"),"非TBNKロイク/ロイク;非TBNK白血球/白血球")</f>
        <v>非TBNKロイク/ロイク;非TBNK白血球/白血球</v>
      </c>
      <c r="H3735" s="3" t="str">
        <f ca="1">IFERROR(__xludf.DUMMYFUNCTION("googletranslate(E3735,""en"",""ja"")"),"生物学的標本の全白血球に対する、T 細胞、B 細胞、またはナチュラル キラー細胞ではない白血球の相対的な測定値 (比率またはパーセンテージ)。")</f>
        <v>生物学的標本の全白血球に対する、T 細胞、B 細胞、またはナチュラル キラー細胞ではない白血球の相対的な測定値 (比率またはパーセンテージ)。</v>
      </c>
      <c r="I3735" s="3" t="str">
        <f ca="1">IFERROR(__xludf.DUMMYFUNCTION("googletranslate(F3735,""en"",""ja"")"),"非TBNK白血球対白血球比の測定")</f>
        <v>非TBNK白血球対白血球比の測定</v>
      </c>
    </row>
    <row r="3736" spans="1:9" ht="45">
      <c r="A3736" s="3" t="s">
        <v>6</v>
      </c>
      <c r="B3736" s="3" t="s">
        <v>15447</v>
      </c>
      <c r="C3736" s="3" t="s">
        <v>15448</v>
      </c>
      <c r="D3736" s="3" t="s">
        <v>15448</v>
      </c>
      <c r="E3736" s="3" t="s">
        <v>15449</v>
      </c>
      <c r="F3736" s="3" t="s">
        <v>15450</v>
      </c>
      <c r="G3736" s="3" t="str">
        <f ca="1">IFERROR(__xludf.DUMMYFUNCTION("googletranslate(D3736,""en"",""ja"")"),"N-テロペプチド/クレアチニン")</f>
        <v>N-テロペプチド/クレアチニン</v>
      </c>
      <c r="H3736" s="3" t="str">
        <f ca="1">IFERROR(__xludf.DUMMYFUNCTION("googletranslate(E3736,""en"",""ja"")"),"生物学的標本中のクレアチニンに対する N-テロペプチドの相対測定値 (比率またはパーセンテージ)。")</f>
        <v>生物学的標本中のクレアチニンに対する N-テロペプチドの相対測定値 (比率またはパーセンテージ)。</v>
      </c>
      <c r="I3736" s="3" t="str">
        <f ca="1">IFERROR(__xludf.DUMMYFUNCTION("googletranslate(F3736,""en"",""ja"")"),"N-テロペプチドとクレアチニンの比率の測定")</f>
        <v>N-テロペプチドとクレアチニンの比率の測定</v>
      </c>
    </row>
    <row r="3737" spans="1:9">
      <c r="A3737" s="3" t="s">
        <v>6</v>
      </c>
      <c r="B3737" s="3" t="s">
        <v>15451</v>
      </c>
      <c r="C3737" s="3" t="s">
        <v>15452</v>
      </c>
      <c r="D3737" s="3" t="s">
        <v>15452</v>
      </c>
      <c r="E3737" s="3" t="s">
        <v>15453</v>
      </c>
      <c r="F3737" s="3" t="s">
        <v>15454</v>
      </c>
      <c r="G3737" s="3" t="str">
        <f ca="1">IFERROR(__xludf.DUMMYFUNCTION("googletranslate(D3737,""en"",""ja"")"),"N-テロペプチド")</f>
        <v>N-テロペプチド</v>
      </c>
      <c r="H3737" s="3" t="str">
        <f ca="1">IFERROR(__xludf.DUMMYFUNCTION("googletranslate(E3737,""en"",""ja"")"),"生物学的標本中の N-テロペプチドの測定。")</f>
        <v>生物学的標本中の N-テロペプチドの測定。</v>
      </c>
      <c r="I3737" s="3" t="str">
        <f ca="1">IFERROR(__xludf.DUMMYFUNCTION("googletranslate(F3737,""en"",""ja"")"),"N-テロペプチドの測定")</f>
        <v>N-テロペプチドの測定</v>
      </c>
    </row>
    <row r="3738" spans="1:9">
      <c r="A3738" s="3" t="s">
        <v>6</v>
      </c>
      <c r="B3738" s="3" t="s">
        <v>15455</v>
      </c>
      <c r="C3738" s="3" t="s">
        <v>15456</v>
      </c>
      <c r="D3738" s="3" t="s">
        <v>15457</v>
      </c>
      <c r="E3738" s="3" t="s">
        <v>15458</v>
      </c>
      <c r="F3738" s="3" t="s">
        <v>15459</v>
      </c>
      <c r="G3738" s="3" t="str">
        <f ca="1">IFERROR(__xludf.DUMMYFUNCTION("googletranslate(D3738,""en"",""ja"")"),"ニューロテンシン; NTS")</f>
        <v>ニューロテンシン; NTS</v>
      </c>
      <c r="H3738" s="3" t="str">
        <f ca="1">IFERROR(__xludf.DUMMYFUNCTION("googletranslate(E3738,""en"",""ja"")"),"生物学的標本中のニューロテンシンの測定。")</f>
        <v>生物学的標本中のニューロテンシンの測定。</v>
      </c>
      <c r="I3738" s="3" t="str">
        <f ca="1">IFERROR(__xludf.DUMMYFUNCTION("googletranslate(F3738,""en"",""ja"")"),"ニューロテンシンの測定")</f>
        <v>ニューロテンシンの測定</v>
      </c>
    </row>
    <row r="3739" spans="1:9" ht="30">
      <c r="A3739" s="3" t="s">
        <v>5519</v>
      </c>
      <c r="B3739" s="3" t="s">
        <v>15460</v>
      </c>
      <c r="C3739" s="3" t="s">
        <v>15461</v>
      </c>
      <c r="D3739" s="3" t="s">
        <v>15461</v>
      </c>
      <c r="E3739" s="3" t="s">
        <v>15462</v>
      </c>
      <c r="F3739" s="3" t="s">
        <v>15461</v>
      </c>
      <c r="G3739" s="3" t="str">
        <f ca="1">IFERROR(__xludf.DUMMYFUNCTION("googletranslate(D3739,""en"",""ja"")"),"非ターゲット指標")</f>
        <v>非ターゲット指標</v>
      </c>
      <c r="H3739" s="3" t="str">
        <f ca="1">IFERROR(__xludf.DUMMYFUNCTION("googletranslate(E3739,""en"",""ja"")"),"非標的腫瘍、病変、または疾患部位が存在するかどうかに関する指標。")</f>
        <v>非標的腫瘍、病変、または疾患部位が存在するかどうかに関する指標。</v>
      </c>
      <c r="I3739" s="3" t="str">
        <f ca="1">IFERROR(__xludf.DUMMYFUNCTION("googletranslate(F3739,""en"",""ja"")"),"非ターゲット指標")</f>
        <v>非ターゲット指標</v>
      </c>
    </row>
    <row r="3740" spans="1:9" ht="45">
      <c r="A3740" s="3" t="s">
        <v>67</v>
      </c>
      <c r="B3740" s="3" t="s">
        <v>15463</v>
      </c>
      <c r="C3740" s="3" t="s">
        <v>15464</v>
      </c>
      <c r="D3740" s="3" t="s">
        <v>15464</v>
      </c>
      <c r="E3740" s="3" t="s">
        <v>15465</v>
      </c>
      <c r="F3740" s="3" t="s">
        <v>15466</v>
      </c>
      <c r="G3740" s="3" t="str">
        <f ca="1">IFERROR(__xludf.DUMMYFUNCTION("googletranslate(D3740,""en"",""ja"")"),"非結核性抗酸菌核酸")</f>
        <v>非結核性抗酸菌核酸</v>
      </c>
      <c r="H3740" s="3" t="str">
        <f ca="1">IFERROR(__xludf.DUMMYFUNCTION("googletranslate(E3740,""en"",""ja"")"),"生物学的標本中のマイコバクテリウム属の非結核性メンバーからの核酸の測定。")</f>
        <v>生物学的標本中のマイコバクテリウム属の非結核性メンバーからの核酸の測定。</v>
      </c>
      <c r="I3740" s="3" t="str">
        <f ca="1">IFERROR(__xludf.DUMMYFUNCTION("googletranslate(F3740,""en"",""ja"")"),"非結核性抗酸菌の核酸測定")</f>
        <v>非結核性抗酸菌の核酸測定</v>
      </c>
    </row>
    <row r="3741" spans="1:9" ht="30">
      <c r="A3741" s="3" t="s">
        <v>6</v>
      </c>
      <c r="B3741" s="3" t="s">
        <v>15467</v>
      </c>
      <c r="C3741" s="3" t="s">
        <v>15468</v>
      </c>
      <c r="D3741" s="3" t="s">
        <v>15468</v>
      </c>
      <c r="E3741" s="3" t="s">
        <v>15469</v>
      </c>
      <c r="F3741" s="3" t="s">
        <v>15470</v>
      </c>
      <c r="G3741" s="3" t="str">
        <f ca="1">IFERROR(__xludf.DUMMYFUNCTION("googletranslate(D3741,""en"",""ja"")"),"中性脂肪")</f>
        <v>中性脂肪</v>
      </c>
      <c r="H3741" s="3" t="str">
        <f ca="1">IFERROR(__xludf.DUMMYFUNCTION("googletranslate(E3741,""en"",""ja"")"),"生体試料中の総中性脂肪の測定。")</f>
        <v>生体試料中の総中性脂肪の測定。</v>
      </c>
      <c r="I3741" s="3" t="str">
        <f ca="1">IFERROR(__xludf.DUMMYFUNCTION("googletranslate(F3741,""en"",""ja"")"),"中性脂肪測定")</f>
        <v>中性脂肪測定</v>
      </c>
    </row>
    <row r="3742" spans="1:9">
      <c r="A3742" s="3" t="s">
        <v>6</v>
      </c>
      <c r="B3742" s="3" t="s">
        <v>15471</v>
      </c>
      <c r="C3742" s="3" t="s">
        <v>15472</v>
      </c>
      <c r="D3742" s="3" t="s">
        <v>15472</v>
      </c>
      <c r="E3742" s="3" t="s">
        <v>15473</v>
      </c>
      <c r="F3742" s="3" t="s">
        <v>15474</v>
      </c>
      <c r="G3742" s="3" t="str">
        <f ca="1">IFERROR(__xludf.DUMMYFUNCTION("googletranslate(D3742,""en"",""ja"")"),"ニトラゼパム")</f>
        <v>ニトラゼパム</v>
      </c>
      <c r="H3742" s="3" t="str">
        <f ca="1">IFERROR(__xludf.DUMMYFUNCTION("googletranslate(E3742,""en"",""ja"")"),"生物学的標本中のニトラゼパムの測定。")</f>
        <v>生物学的標本中のニトラゼパムの測定。</v>
      </c>
      <c r="I3742" s="3" t="str">
        <f ca="1">IFERROR(__xludf.DUMMYFUNCTION("googletranslate(F3742,""en"",""ja"")"),"ニトラゼパムの測定")</f>
        <v>ニトラゼパムの測定</v>
      </c>
    </row>
    <row r="3743" spans="1:9" ht="45">
      <c r="A3743" s="3" t="s">
        <v>6</v>
      </c>
      <c r="B3743" s="3" t="s">
        <v>15475</v>
      </c>
      <c r="C3743" s="3" t="s">
        <v>15476</v>
      </c>
      <c r="D3743" s="3" t="s">
        <v>15477</v>
      </c>
      <c r="E3743" s="3" t="s">
        <v>15478</v>
      </c>
      <c r="F3743" s="3" t="s">
        <v>15479</v>
      </c>
      <c r="G3743" s="3" t="str">
        <f ca="1">IFERROR(__xludf.DUMMYFUNCTION("googletranslate(D3743,""en"",""ja"")"),"I型コラーゲンN-テロペプチド; I型コラーゲンX結合N-テロペプチド")</f>
        <v>I型コラーゲンN-テロペプチド; I型コラーゲンX結合N-テロペプチド</v>
      </c>
      <c r="H3743" s="3" t="str">
        <f ca="1">IFERROR(__xludf.DUMMYFUNCTION("googletranslate(E3743,""en"",""ja"")"),"生物学的標本中の I 型コラーゲン架橋 N-テロペプチドの測定。")</f>
        <v>生物学的標本中の I 型コラーゲン架橋 N-テロペプチドの測定。</v>
      </c>
      <c r="I3743" s="3" t="str">
        <f ca="1">IFERROR(__xludf.DUMMYFUNCTION("googletranslate(F3743,""en"",""ja"")"),"I型コラーゲンN-テロペプチドの測定")</f>
        <v>I型コラーゲンN-テロペプチドの測定</v>
      </c>
    </row>
    <row r="3744" spans="1:9" ht="60">
      <c r="A3744" s="3" t="s">
        <v>6</v>
      </c>
      <c r="B3744" s="3" t="s">
        <v>15480</v>
      </c>
      <c r="C3744" s="3" t="s">
        <v>15481</v>
      </c>
      <c r="D3744" s="3" t="s">
        <v>15482</v>
      </c>
      <c r="E3744" s="3" t="s">
        <v>15483</v>
      </c>
      <c r="F3744" s="3" t="s">
        <v>15484</v>
      </c>
      <c r="G3744" s="3" t="str">
        <f ca="1">IFERROR(__xludf.DUMMYFUNCTION("googletranslate(D3744,""en"",""ja"")"),"T1 コラーゲン X リンク N-テロペプチド/クリート; I型コラーゲンX結合N-テロペプチド/クレアチニン")</f>
        <v>T1 コラーゲン X リンク N-テロペプチド/クリート; I型コラーゲンX結合N-テロペプチド/クレアチニン</v>
      </c>
      <c r="H3744" s="3" t="str">
        <f ca="1">IFERROR(__xludf.DUMMYFUNCTION("googletranslate(E3744,""en"",""ja"")"),"生物学的標本中のクレアチニンに対する 1 型コラーゲン架橋 N-テロペプチドの相対測定値 (比率またはパーセンテージ)。")</f>
        <v>生物学的標本中のクレアチニンに対する 1 型コラーゲン架橋 N-テロペプチドの相対測定値 (比率またはパーセンテージ)。</v>
      </c>
      <c r="I3744" s="3" t="str">
        <f ca="1">IFERROR(__xludf.DUMMYFUNCTION("googletranslate(F3744,""en"",""ja"")"),"1 型コラーゲン X リンク N-テロペプチドとクレアチニンの比率の測定")</f>
        <v>1 型コラーゲン X リンク N-テロペプチドとクレアチニンの比率の測定</v>
      </c>
    </row>
    <row r="3745" spans="1:9" ht="45">
      <c r="A3745" s="3" t="s">
        <v>6</v>
      </c>
      <c r="B3745" s="3" t="s">
        <v>15485</v>
      </c>
      <c r="C3745" s="3" t="s">
        <v>15486</v>
      </c>
      <c r="D3745" s="3" t="s">
        <v>15487</v>
      </c>
      <c r="E3745" s="3" t="s">
        <v>15488</v>
      </c>
      <c r="F3745" s="3" t="s">
        <v>15489</v>
      </c>
      <c r="G3745" s="3" t="str">
        <f ca="1">IFERROR(__xludf.DUMMYFUNCTION("googletranslate(D3745,""en"",""ja"")"),"II型コラーゲンN-テロペプチド; II型コラーゲンX結合N-テロペプチド")</f>
        <v>II型コラーゲンN-テロペプチド; II型コラーゲンX結合N-テロペプチド</v>
      </c>
      <c r="H3745" s="3" t="str">
        <f ca="1">IFERROR(__xludf.DUMMYFUNCTION("googletranslate(E3745,""en"",""ja"")"),"生物学的標本中の II 型コラーゲン架橋 N-テロペプチドの測定。")</f>
        <v>生物学的標本中の II 型コラーゲン架橋 N-テロペプチドの測定。</v>
      </c>
      <c r="I3745" s="3" t="str">
        <f ca="1">IFERROR(__xludf.DUMMYFUNCTION("googletranslate(F3745,""en"",""ja"")"),"II型コラーゲンN-テロペプチドの測定")</f>
        <v>II型コラーゲンN-テロペプチドの測定</v>
      </c>
    </row>
    <row r="3746" spans="1:9" ht="30">
      <c r="A3746" s="3" t="s">
        <v>6</v>
      </c>
      <c r="B3746" s="3" t="s">
        <v>15490</v>
      </c>
      <c r="C3746" s="3" t="s">
        <v>15491</v>
      </c>
      <c r="D3746" s="3" t="s">
        <v>15491</v>
      </c>
      <c r="E3746" s="3" t="s">
        <v>15492</v>
      </c>
      <c r="F3746" s="3" t="s">
        <v>15493</v>
      </c>
      <c r="G3746" s="3" t="str">
        <f ca="1">IFERROR(__xludf.DUMMYFUNCTION("googletranslate(D3746,""en"",""ja"")"),"3-ニトロチロシン")</f>
        <v>3-ニトロチロシン</v>
      </c>
      <c r="H3746" s="3" t="str">
        <f ca="1">IFERROR(__xludf.DUMMYFUNCTION("googletranslate(E3746,""en"",""ja"")"),"生物学的標本中の総 3-ニトロチロシンの測定。")</f>
        <v>生物学的標本中の総 3-ニトロチロシンの測定。</v>
      </c>
      <c r="I3746" s="3" t="str">
        <f ca="1">IFERROR(__xludf.DUMMYFUNCTION("googletranslate(F3746,""en"",""ja"")"),"3-ニトロチロシンの測定")</f>
        <v>3-ニトロチロシンの測定</v>
      </c>
    </row>
    <row r="3747" spans="1:9" ht="45">
      <c r="A3747" s="3" t="s">
        <v>6</v>
      </c>
      <c r="B3747" s="3" t="s">
        <v>15494</v>
      </c>
      <c r="C3747" s="3" t="s">
        <v>15495</v>
      </c>
      <c r="D3747" s="3" t="s">
        <v>15495</v>
      </c>
      <c r="E3747" s="3" t="s">
        <v>15496</v>
      </c>
      <c r="F3747" s="3" t="s">
        <v>15497</v>
      </c>
      <c r="G3747" s="3" t="str">
        <f ca="1">IFERROR(__xludf.DUMMYFUNCTION("googletranslate(D3747,""en"",""ja"")"),"ニトラゼパムおよび/または代謝物")</f>
        <v>ニトラゼパムおよび/または代謝物</v>
      </c>
      <c r="H3747" s="3" t="str">
        <f ca="1">IFERROR(__xludf.DUMMYFUNCTION("googletranslate(E3747,""en"",""ja"")"),"ニトラゼパムとその代謝物の両方を測定できるアッセイのための、生物学的標本中に存在するニトラゼパムおよび/またはその代謝物の測定。")</f>
        <v>ニトラゼパムとその代謝物の両方を測定できるアッセイのための、生物学的標本中に存在するニトラゼパムおよび/またはその代謝物の測定。</v>
      </c>
      <c r="I3747" s="3" t="str">
        <f ca="1">IFERROR(__xludf.DUMMYFUNCTION("googletranslate(F3747,""en"",""ja"")"),"ニトラゼパムおよび/または代謝物の測定")</f>
        <v>ニトラゼパムおよび/または代謝物の測定</v>
      </c>
    </row>
    <row r="3748" spans="1:9" ht="30">
      <c r="A3748" s="3" t="s">
        <v>103</v>
      </c>
      <c r="B3748" s="3" t="s">
        <v>15498</v>
      </c>
      <c r="C3748" s="3" t="s">
        <v>15499</v>
      </c>
      <c r="D3748" s="3" t="s">
        <v>15500</v>
      </c>
      <c r="E3748" s="3" t="s">
        <v>15501</v>
      </c>
      <c r="F3748" s="3" t="s">
        <v>15502</v>
      </c>
      <c r="G3748" s="3" t="str">
        <f ca="1">IFERROR(__xludf.DUMMYFUNCTION("googletranslate(D3748,""en"",""ja"")"),"有核細胞")</f>
        <v>有核細胞</v>
      </c>
      <c r="H3748" s="3" t="str">
        <f ca="1">IFERROR(__xludf.DUMMYFUNCTION("googletranslate(E3748,""en"",""ja"")"),"生物学的標本中の有核細胞の測定。")</f>
        <v>生物学的標本中の有核細胞の測定。</v>
      </c>
      <c r="I3748" s="3" t="str">
        <f ca="1">IFERROR(__xludf.DUMMYFUNCTION("googletranslate(F3748,""en"",""ja"")"),"有核細胞数")</f>
        <v>有核細胞数</v>
      </c>
    </row>
    <row r="3749" spans="1:9" ht="30">
      <c r="A3749" s="3" t="s">
        <v>6</v>
      </c>
      <c r="B3749" s="3" t="s">
        <v>15498</v>
      </c>
      <c r="C3749" s="3" t="s">
        <v>15500</v>
      </c>
      <c r="D3749" s="3" t="s">
        <v>15500</v>
      </c>
      <c r="E3749" s="3" t="s">
        <v>15501</v>
      </c>
      <c r="F3749" s="3" t="s">
        <v>15502</v>
      </c>
      <c r="G3749" s="3" t="str">
        <f ca="1">IFERROR(__xludf.DUMMYFUNCTION("googletranslate(D3749,""en"",""ja"")"),"有核細胞")</f>
        <v>有核細胞</v>
      </c>
      <c r="H3749" s="3" t="str">
        <f ca="1">IFERROR(__xludf.DUMMYFUNCTION("googletranslate(E3749,""en"",""ja"")"),"生物学的標本中の有核細胞の測定。")</f>
        <v>生物学的標本中の有核細胞の測定。</v>
      </c>
      <c r="I3749" s="3" t="str">
        <f ca="1">IFERROR(__xludf.DUMMYFUNCTION("googletranslate(F3749,""en"",""ja"")"),"有核細胞数")</f>
        <v>有核細胞数</v>
      </c>
    </row>
    <row r="3750" spans="1:9" ht="30">
      <c r="A3750" s="3" t="s">
        <v>6</v>
      </c>
      <c r="B3750" s="3" t="s">
        <v>15503</v>
      </c>
      <c r="C3750" s="3" t="s">
        <v>15504</v>
      </c>
      <c r="D3750" s="3" t="s">
        <v>15504</v>
      </c>
      <c r="E3750" s="3" t="s">
        <v>15505</v>
      </c>
      <c r="F3750" s="3" t="s">
        <v>15506</v>
      </c>
      <c r="G3750" s="3" t="str">
        <f ca="1">IFERROR(__xludf.DUMMYFUNCTION("googletranslate(D3750,""en"",""ja"")"),"核膨張")</f>
        <v>核膨張</v>
      </c>
      <c r="H3750" s="3" t="str">
        <f ca="1">IFERROR(__xludf.DUMMYFUNCTION("googletranslate(E3750,""en"",""ja"")"),"生物学的標本における細胞の核の拡大の測定。")</f>
        <v>生物学的標本における細胞の核の拡大の測定。</v>
      </c>
      <c r="I3750" s="3" t="str">
        <f ca="1">IFERROR(__xludf.DUMMYFUNCTION("googletranslate(F3750,""en"",""ja"")"),"核膨張測定")</f>
        <v>核膨張測定</v>
      </c>
    </row>
    <row r="3751" spans="1:9" ht="30">
      <c r="A3751" s="3" t="s">
        <v>1557</v>
      </c>
      <c r="B3751" s="3" t="s">
        <v>15507</v>
      </c>
      <c r="C3751" s="3" t="s">
        <v>15508</v>
      </c>
      <c r="D3751" s="3" t="s">
        <v>15508</v>
      </c>
      <c r="E3751" s="3" t="s">
        <v>15509</v>
      </c>
      <c r="F3751" s="3" t="s">
        <v>15508</v>
      </c>
      <c r="G3751" s="3" t="str">
        <f ca="1">IFERROR(__xludf.DUMMYFUNCTION("googletranslate(D3751,""en"",""ja"")"),"読み取った文字数")</f>
        <v>読み取った文字数</v>
      </c>
      <c r="H3751" s="3" t="str">
        <f ca="1">IFERROR(__xludf.DUMMYFUNCTION("googletranslate(E3751,""en"",""ja"")"),"視力検査表の評価中に被験者が読んだ文字数を表す整数。")</f>
        <v>視力検査表の評価中に被験者が読んだ文字数を表す整数。</v>
      </c>
      <c r="I3751" s="3" t="str">
        <f ca="1">IFERROR(__xludf.DUMMYFUNCTION("googletranslate(F3751,""en"",""ja"")"),"読み取った文字数")</f>
        <v>読み取った文字数</v>
      </c>
    </row>
    <row r="3752" spans="1:9" ht="30">
      <c r="A3752" s="3" t="s">
        <v>1557</v>
      </c>
      <c r="B3752" s="3" t="s">
        <v>15510</v>
      </c>
      <c r="C3752" s="3" t="s">
        <v>15511</v>
      </c>
      <c r="D3752" s="3" t="s">
        <v>15511</v>
      </c>
      <c r="E3752" s="3" t="s">
        <v>15512</v>
      </c>
      <c r="F3752" s="3" t="s">
        <v>15511</v>
      </c>
      <c r="G3752" s="3" t="str">
        <f ca="1">IFERROR(__xludf.DUMMYFUNCTION("googletranslate(D3752,""en"",""ja"")"),"未読の文字数")</f>
        <v>未読の文字数</v>
      </c>
      <c r="H3752" s="3" t="str">
        <f ca="1">IFERROR(__xludf.DUMMYFUNCTION("googletranslate(E3752,""en"",""ja"")"),"視力検査表の評価中に被験者が読み取ることができない文字の数を表す整数。")</f>
        <v>視力検査表の評価中に被験者が読み取ることができない文字の数を表す整数。</v>
      </c>
      <c r="I3752" s="3" t="str">
        <f ca="1">IFERROR(__xludf.DUMMYFUNCTION("googletranslate(F3752,""en"",""ja"")"),"未読の文字数")</f>
        <v>未読の文字数</v>
      </c>
    </row>
    <row r="3753" spans="1:9" ht="30">
      <c r="A3753" s="3" t="s">
        <v>81</v>
      </c>
      <c r="B3753" s="3" t="s">
        <v>15513</v>
      </c>
      <c r="C3753" s="3" t="s">
        <v>15514</v>
      </c>
      <c r="D3753" s="3" t="s">
        <v>15514</v>
      </c>
      <c r="E3753" s="3" t="s">
        <v>15515</v>
      </c>
      <c r="F3753" s="3" t="s">
        <v>15516</v>
      </c>
      <c r="G3753" s="3" t="str">
        <f ca="1">IFERROR(__xludf.DUMMYFUNCTION("googletranslate(D3753,""en"",""ja"")"),"カスプの数")</f>
        <v>カスプの数</v>
      </c>
      <c r="H3753" s="3" t="str">
        <f ca="1">IFERROR(__xludf.DUMMYFUNCTION("googletranslate(E3753,""en"",""ja"")"),"特定の心臓弁を構成する弁尖の数を定量的に決定します。")</f>
        <v>特定の心臓弁を構成する弁尖の数を定量的に決定します。</v>
      </c>
      <c r="I3753" s="3" t="str">
        <f ca="1">IFERROR(__xludf.DUMMYFUNCTION("googletranslate(F3753,""en"",""ja"")"),"心臓弁尖の数")</f>
        <v>心臓弁尖の数</v>
      </c>
    </row>
    <row r="3754" spans="1:9" ht="45">
      <c r="A3754" s="3" t="s">
        <v>81</v>
      </c>
      <c r="B3754" s="3" t="s">
        <v>15517</v>
      </c>
      <c r="C3754" s="3" t="s">
        <v>15518</v>
      </c>
      <c r="D3754" s="3" t="s">
        <v>15518</v>
      </c>
      <c r="E3754" s="3" t="s">
        <v>15519</v>
      </c>
      <c r="F3754" s="3" t="s">
        <v>15520</v>
      </c>
      <c r="G3754" s="3" t="str">
        <f ca="1">IFERROR(__xludf.DUMMYFUNCTION("googletranslate(D3754,""en"",""ja"")"),"罹患した冠血管の数")</f>
        <v>罹患した冠血管の数</v>
      </c>
      <c r="H3754" s="3" t="str">
        <f ca="1">IFERROR(__xludf.DUMMYFUNCTION("googletranslate(E3754,""en"",""ja"")"),"直径が70%以上減少、または断面積が50%以上減少した主要な心外膜血管の数。")</f>
        <v>直径が70%以上減少、または断面積が50%以上減少した主要な心外膜血管の数。</v>
      </c>
      <c r="I3754" s="3" t="str">
        <f ca="1">IFERROR(__xludf.DUMMYFUNCTION("googletranslate(F3754,""en"",""ja"")"),"罹患した冠動脈血管の数")</f>
        <v>罹患した冠動脈血管の数</v>
      </c>
    </row>
    <row r="3755" spans="1:9" ht="30">
      <c r="A3755" s="3" t="s">
        <v>1557</v>
      </c>
      <c r="B3755" s="3" t="s">
        <v>15521</v>
      </c>
      <c r="C3755" s="3" t="s">
        <v>15522</v>
      </c>
      <c r="D3755" s="3" t="s">
        <v>15522</v>
      </c>
      <c r="E3755" s="3" t="s">
        <v>15523</v>
      </c>
      <c r="F3755" s="3" t="s">
        <v>15524</v>
      </c>
      <c r="G3755" s="3" t="str">
        <f ca="1">IFERROR(__xludf.DUMMYFUNCTION("googletranslate(D3755,""en"",""ja"")"),"正しい文字数")</f>
        <v>正しい文字数</v>
      </c>
      <c r="H3755" s="3" t="str">
        <f ca="1">IFERROR(__xludf.DUMMYFUNCTION("googletranslate(E3755,""en"",""ja"")"),"視力検査表の評価中に被験者が正しく識別した文字の数を表す整数。")</f>
        <v>視力検査表の評価中に被験者が正しく識別した文字の数を表す整数。</v>
      </c>
      <c r="I3755" s="3" t="str">
        <f ca="1">IFERROR(__xludf.DUMMYFUNCTION("googletranslate(F3755,""en"",""ja"")"),"正しい視力検査表の文字の数")</f>
        <v>正しい視力検査表の文字の数</v>
      </c>
    </row>
    <row r="3756" spans="1:9" ht="30">
      <c r="A3756" s="3" t="s">
        <v>1557</v>
      </c>
      <c r="B3756" s="3" t="s">
        <v>15525</v>
      </c>
      <c r="C3756" s="3" t="s">
        <v>15526</v>
      </c>
      <c r="D3756" s="3" t="s">
        <v>15526</v>
      </c>
      <c r="E3756" s="3" t="s">
        <v>15527</v>
      </c>
      <c r="F3756" s="3" t="s">
        <v>15528</v>
      </c>
      <c r="G3756" s="3" t="str">
        <f ca="1">IFERROR(__xludf.DUMMYFUNCTION("googletranslate(D3756,""en"",""ja"")"),"読み取られた行数")</f>
        <v>読み取られた行数</v>
      </c>
      <c r="H3756" s="3" t="str">
        <f ca="1">IFERROR(__xludf.DUMMYFUNCTION("googletranslate(E3756,""en"",""ja"")"),"視力検査表の評価中に被験者が読んだ行数を表す整数。")</f>
        <v>視力検査表の評価中に被験者が読んだ行数を表す整数。</v>
      </c>
      <c r="I3756" s="3" t="str">
        <f ca="1">IFERROR(__xludf.DUMMYFUNCTION("googletranslate(F3756,""en"",""ja"")"),"読み取った視力検査表の線数")</f>
        <v>読み取った視力検査表の線数</v>
      </c>
    </row>
    <row r="3757" spans="1:9" ht="30">
      <c r="A3757" s="3" t="s">
        <v>1557</v>
      </c>
      <c r="B3757" s="3" t="s">
        <v>15529</v>
      </c>
      <c r="C3757" s="3" t="s">
        <v>15530</v>
      </c>
      <c r="D3757" s="3" t="s">
        <v>15530</v>
      </c>
      <c r="E3757" s="3" t="s">
        <v>15531</v>
      </c>
      <c r="F3757" s="3" t="s">
        <v>15530</v>
      </c>
      <c r="G3757" s="3" t="str">
        <f ca="1">IFERROR(__xludf.DUMMYFUNCTION("googletranslate(D3757,""en"",""ja"")"),"未読の行数")</f>
        <v>未読の行数</v>
      </c>
      <c r="H3757" s="3" t="str">
        <f ca="1">IFERROR(__xludf.DUMMYFUNCTION("googletranslate(E3757,""en"",""ja"")"),"視力検査表の評価中に被験者が読み取ることができない線の数を表す整数。")</f>
        <v>視力検査表の評価中に被験者が読み取ることができない線の数を表す整数。</v>
      </c>
      <c r="I3757" s="3" t="str">
        <f ca="1">IFERROR(__xludf.DUMMYFUNCTION("googletranslate(F3757,""en"",""ja"")"),"未読の行数")</f>
        <v>未読の行数</v>
      </c>
    </row>
    <row r="3758" spans="1:9" ht="30">
      <c r="A3758" s="3" t="s">
        <v>1255</v>
      </c>
      <c r="B3758" s="3" t="s">
        <v>15532</v>
      </c>
      <c r="C3758" s="3" t="s">
        <v>15533</v>
      </c>
      <c r="D3758" s="3" t="s">
        <v>15533</v>
      </c>
      <c r="E3758" s="3" t="s">
        <v>15534</v>
      </c>
      <c r="F3758" s="3" t="s">
        <v>15533</v>
      </c>
      <c r="G3758" s="3" t="str">
        <f ca="1">IFERROR(__xludf.DUMMYFUNCTION("googletranslate(D3758,""en"",""ja"")"),"スライスの数")</f>
        <v>スライスの数</v>
      </c>
      <c r="H3758" s="3" t="str">
        <f ca="1">IFERROR(__xludf.DUMMYFUNCTION("googletranslate(E3758,""en"",""ja"")"),"イメージング シーケンス内の平面断面の数。各スライスは単一の画像に対応します。")</f>
        <v>イメージング シーケンス内の平面断面の数。各スライスは単一の画像に対応します。</v>
      </c>
      <c r="I3758" s="3" t="str">
        <f ca="1">IFERROR(__xludf.DUMMYFUNCTION("googletranslate(F3758,""en"",""ja"")"),"スライスの数")</f>
        <v>スライスの数</v>
      </c>
    </row>
    <row r="3759" spans="1:9" ht="30">
      <c r="A3759" s="3" t="s">
        <v>159</v>
      </c>
      <c r="B3759" s="3" t="s">
        <v>15535</v>
      </c>
      <c r="C3759" s="3" t="s">
        <v>15536</v>
      </c>
      <c r="D3759" s="3" t="s">
        <v>15536</v>
      </c>
      <c r="E3759" s="3" t="s">
        <v>15537</v>
      </c>
      <c r="F3759" s="3" t="s">
        <v>15538</v>
      </c>
      <c r="G3759" s="3" t="str">
        <f ca="1">IFERROR(__xludf.DUMMYFUNCTION("googletranslate(D3759,""en"",""ja"")"),"神経系検査")</f>
        <v>神経系検査</v>
      </c>
      <c r="H3759" s="3" t="str">
        <f ca="1">IFERROR(__xludf.DUMMYFUNCTION("googletranslate(E3759,""en"",""ja"")"),"神経系の観察、評価、検査。")</f>
        <v>神経系の観察、評価、検査。</v>
      </c>
      <c r="I3759" s="3" t="str">
        <f ca="1">IFERROR(__xludf.DUMMYFUNCTION("googletranslate(F3759,""en"",""ja"")"),"神経学的検査")</f>
        <v>神経学的検査</v>
      </c>
    </row>
    <row r="3760" spans="1:9" ht="60">
      <c r="A3760" s="3" t="s">
        <v>67</v>
      </c>
      <c r="B3760" s="3" t="s">
        <v>15539</v>
      </c>
      <c r="C3760" s="3" t="s">
        <v>15540</v>
      </c>
      <c r="D3760" s="3" t="s">
        <v>15541</v>
      </c>
      <c r="E3760" s="3" t="s">
        <v>15542</v>
      </c>
      <c r="F3760" s="3" t="s">
        <v>15543</v>
      </c>
      <c r="G3760" s="3" t="str">
        <f ca="1">IFERROR(__xludf.DUMMYFUNCTION("googletranslate(D3760,""en"",""ja"")"),"ヒトカリシウイルス ジェノグループ 2 RNA;ノロウイルス ジェノグループ II RNA;ノロウイルスGII RNA")</f>
        <v>ヒトカリシウイルス ジェノグループ 2 RNA;ノロウイルス ジェノグループ II RNA;ノロウイルスGII RNA</v>
      </c>
      <c r="H3760" s="3" t="str">
        <f ca="1">IFERROR(__xludf.DUMMYFUNCTION("googletranslate(E3760,""en"",""ja"")"),"生物学的標本中のノロウイルス ジェノグループ II RNA の測定。")</f>
        <v>生物学的標本中のノロウイルス ジェノグループ II RNA の測定。</v>
      </c>
      <c r="I3760" s="3" t="str">
        <f ca="1">IFERROR(__xludf.DUMMYFUNCTION("googletranslate(F3760,""en"",""ja"")"),"ノロウイルス ジェノグループ II RNA 測定")</f>
        <v>ノロウイルス ジェノグループ II RNA 測定</v>
      </c>
    </row>
    <row r="3761" spans="1:9" ht="60">
      <c r="A3761" s="3" t="s">
        <v>67</v>
      </c>
      <c r="B3761" s="3" t="s">
        <v>15544</v>
      </c>
      <c r="C3761" s="3" t="s">
        <v>15545</v>
      </c>
      <c r="D3761" s="3" t="s">
        <v>15546</v>
      </c>
      <c r="E3761" s="3" t="s">
        <v>15547</v>
      </c>
      <c r="F3761" s="3" t="s">
        <v>15548</v>
      </c>
      <c r="G3761" s="3" t="str">
        <f ca="1">IFERROR(__xludf.DUMMYFUNCTION("googletranslate(D3761,""en"",""ja"")"),"ヒトカリシウイルス ジェノグループ 1 RNA;ノロウイルス ジェノグループ 1 RNA;ノロウイルス GI RNA")</f>
        <v>ヒトカリシウイルス ジェノグループ 1 RNA;ノロウイルス ジェノグループ 1 RNA;ノロウイルス GI RNA</v>
      </c>
      <c r="H3761" s="3" t="str">
        <f ca="1">IFERROR(__xludf.DUMMYFUNCTION("googletranslate(E3761,""en"",""ja"")"),"生物学的標本中のノロウイルス ジェノグループ I RNA の測定。")</f>
        <v>生物学的標本中のノロウイルス ジェノグループ I RNA の測定。</v>
      </c>
      <c r="I3761" s="3" t="str">
        <f ca="1">IFERROR(__xludf.DUMMYFUNCTION("googletranslate(F3761,""en"",""ja"")"),"ノロウイルス ジェノグループ I RNA 測定")</f>
        <v>ノロウイルス ジェノグループ I RNA 測定</v>
      </c>
    </row>
    <row r="3762" spans="1:9" ht="30">
      <c r="A3762" s="3" t="s">
        <v>67</v>
      </c>
      <c r="B3762" s="3" t="s">
        <v>15549</v>
      </c>
      <c r="C3762" s="3" t="s">
        <v>15550</v>
      </c>
      <c r="D3762" s="3" t="s">
        <v>15550</v>
      </c>
      <c r="E3762" s="3" t="s">
        <v>15551</v>
      </c>
      <c r="F3762" s="3" t="s">
        <v>15552</v>
      </c>
      <c r="G3762" s="3" t="str">
        <f ca="1">IFERROR(__xludf.DUMMYFUNCTION("googletranslate(D3762,""en"",""ja"")"),"ノロウイルスRNA")</f>
        <v>ノロウイルスRNA</v>
      </c>
      <c r="H3762" s="3" t="str">
        <f ca="1">IFERROR(__xludf.DUMMYFUNCTION("googletranslate(E3762,""en"",""ja"")"),"生物学的標本中のノロウイルス属の任意のメンバーからの RNA の測定。")</f>
        <v>生物学的標本中のノロウイルス属の任意のメンバーからの RNA の測定。</v>
      </c>
      <c r="I3762" s="3" t="str">
        <f ca="1">IFERROR(__xludf.DUMMYFUNCTION("googletranslate(F3762,""en"",""ja"")"),"ノロウイルスRNA測定")</f>
        <v>ノロウイルスRNA測定</v>
      </c>
    </row>
    <row r="3763" spans="1:9" ht="30">
      <c r="A3763" s="3" t="s">
        <v>185</v>
      </c>
      <c r="B3763" s="3" t="s">
        <v>15553</v>
      </c>
      <c r="C3763" s="3" t="s">
        <v>15554</v>
      </c>
      <c r="D3763" s="3" t="s">
        <v>15554</v>
      </c>
      <c r="E3763" s="3" t="s">
        <v>15555</v>
      </c>
      <c r="F3763" s="3" t="s">
        <v>15556</v>
      </c>
      <c r="G3763" s="3" t="str">
        <f ca="1">IFERROR(__xludf.DUMMYFUNCTION("googletranslate(D3763,""en"",""ja"")"),"新たな症状または悪化した症状")</f>
        <v>新たな症状または悪化した症状</v>
      </c>
      <c r="H3763" s="3" t="str">
        <f ca="1">IFERROR(__xludf.DUMMYFUNCTION("googletranslate(E3763,""en"",""ja"")"),"臨床事象に関連した新たな症状または悪化した症状の説明。")</f>
        <v>臨床事象に関連した新たな症状または悪化した症状の説明。</v>
      </c>
      <c r="I3763" s="3" t="str">
        <f ca="1">IFERROR(__xludf.DUMMYFUNCTION("googletranslate(F3763,""en"",""ja"")"),"新たな症状または悪化した症状")</f>
        <v>新たな症状または悪化した症状</v>
      </c>
    </row>
    <row r="3764" spans="1:9" ht="30">
      <c r="A3764" s="3" t="s">
        <v>6</v>
      </c>
      <c r="B3764" s="3" t="s">
        <v>15557</v>
      </c>
      <c r="C3764" s="3" t="s">
        <v>15558</v>
      </c>
      <c r="D3764" s="3" t="s">
        <v>15558</v>
      </c>
      <c r="E3764" s="3" t="s">
        <v>15559</v>
      </c>
      <c r="F3764" s="3" t="s">
        <v>15560</v>
      </c>
      <c r="G3764" s="3" t="str">
        <f ca="1">IFERROR(__xludf.DUMMYFUNCTION("googletranslate(D3764,""en"",""ja"")"),"酸素含有量")</f>
        <v>酸素含有量</v>
      </c>
      <c r="H3764" s="3" t="str">
        <f ca="1">IFERROR(__xludf.DUMMYFUNCTION("googletranslate(E3764,""en"",""ja"")"),"生体試料中の酸素含有量の測定。")</f>
        <v>生体試料中の酸素含有量の測定。</v>
      </c>
      <c r="I3764" s="3" t="str">
        <f ca="1">IFERROR(__xludf.DUMMYFUNCTION("googletranslate(F3764,""en"",""ja"")"),"酸素測定")</f>
        <v>酸素測定</v>
      </c>
    </row>
    <row r="3765" spans="1:9" ht="45">
      <c r="A3765" s="3" t="s">
        <v>155</v>
      </c>
      <c r="B3765" s="3" t="s">
        <v>15561</v>
      </c>
      <c r="C3765" s="3" t="s">
        <v>15562</v>
      </c>
      <c r="D3765" s="3" t="s">
        <v>15562</v>
      </c>
      <c r="E3765" s="3" t="s">
        <v>15563</v>
      </c>
      <c r="F3765" s="3" t="s">
        <v>15562</v>
      </c>
      <c r="G3765" s="3" t="str">
        <f ca="1">IFERROR(__xludf.DUMMYFUNCTION("googletranslate(D3765,""en"",""ja"")"),"耳音響放射")</f>
        <v>耳音響放射</v>
      </c>
      <c r="H3765" s="3" t="str">
        <f ca="1">IFERROR(__xludf.DUMMYFUNCTION("googletranslate(E3765,""en"",""ja"")"),"外耳道に導入された柔らかいクリック音によって刺激されたときの蝸牛からの耳音響音放射の評価。")</f>
        <v>外耳道に導入された柔らかいクリック音によって刺激されたときの蝸牛からの耳音響音放射の評価。</v>
      </c>
      <c r="I3765" s="3" t="str">
        <f ca="1">IFERROR(__xludf.DUMMYFUNCTION("googletranslate(F3765,""en"",""ja"")"),"耳音響放射")</f>
        <v>耳音響放射</v>
      </c>
    </row>
    <row r="3766" spans="1:9" ht="45">
      <c r="A3766" s="3" t="s">
        <v>51</v>
      </c>
      <c r="B3766" s="3" t="s">
        <v>15564</v>
      </c>
      <c r="C3766" s="3" t="s">
        <v>15565</v>
      </c>
      <c r="D3766" s="3" t="s">
        <v>15566</v>
      </c>
      <c r="E3766" s="3" t="s">
        <v>15567</v>
      </c>
      <c r="F3766" s="3" t="s">
        <v>15568</v>
      </c>
      <c r="G3766" s="3" t="str">
        <f ca="1">IFERROR(__xludf.DUMMYFUNCTION("googletranslate(D3766,""en"",""ja"")"),"2-アニシジン; 2-メトキシアニリン; o-アニシジン;オルト-アニシジン")</f>
        <v>2-アニシジン; 2-メトキシアニリン; o-アニシジン;オルト-アニシジン</v>
      </c>
      <c r="H3766" s="3" t="str">
        <f ca="1">IFERROR(__xludf.DUMMYFUNCTION("googletranslate(E3766,""en"",""ja"")"),"検体中の o-アニシジンの測定。")</f>
        <v>検体中の o-アニシジンの測定。</v>
      </c>
      <c r="I3766" s="3" t="str">
        <f ca="1">IFERROR(__xludf.DUMMYFUNCTION("googletranslate(F3766,""en"",""ja"")"),"o-アニシジンの測定")</f>
        <v>o-アニシジンの測定</v>
      </c>
    </row>
    <row r="3767" spans="1:9" ht="30">
      <c r="A3767" s="3" t="s">
        <v>6</v>
      </c>
      <c r="B3767" s="3" t="s">
        <v>15569</v>
      </c>
      <c r="C3767" s="3" t="s">
        <v>15570</v>
      </c>
      <c r="D3767" s="3" t="s">
        <v>15570</v>
      </c>
      <c r="E3767" s="3" t="s">
        <v>15571</v>
      </c>
      <c r="F3767" s="3" t="s">
        <v>15572</v>
      </c>
      <c r="G3767" s="3" t="str">
        <f ca="1">IFERROR(__xludf.DUMMYFUNCTION("googletranslate(D3767,""en"",""ja"")"),"2-5-オリゴアデニレートシンターゼ 1")</f>
        <v>2-5-オリゴアデニレートシンターゼ 1</v>
      </c>
      <c r="H3767" s="3" t="str">
        <f ca="1">IFERROR(__xludf.DUMMYFUNCTION("googletranslate(E3767,""en"",""ja"")"),"生物学的標本中の 2-5-オリゴアデニレート シンターゼ 1 の測定。")</f>
        <v>生物学的標本中の 2-5-オリゴアデニレート シンターゼ 1 の測定。</v>
      </c>
      <c r="I3767" s="3" t="str">
        <f ca="1">IFERROR(__xludf.DUMMYFUNCTION("googletranslate(F3767,""en"",""ja"")"),"2-5-オリゴアデニレートシンターゼ1の測定")</f>
        <v>2-5-オリゴアデニレートシンターゼ1の測定</v>
      </c>
    </row>
    <row r="3768" spans="1:9" ht="30">
      <c r="A3768" s="3" t="s">
        <v>6</v>
      </c>
      <c r="B3768" s="3" t="s">
        <v>15573</v>
      </c>
      <c r="C3768" s="3" t="s">
        <v>15574</v>
      </c>
      <c r="D3768" s="3" t="s">
        <v>15574</v>
      </c>
      <c r="E3768" s="3" t="s">
        <v>15575</v>
      </c>
      <c r="F3768" s="3" t="s">
        <v>15576</v>
      </c>
      <c r="G3768" s="3" t="str">
        <f ca="1">IFERROR(__xludf.DUMMYFUNCTION("googletranslate(D3768,""en"",""ja"")"),"2-5-オリゴアデニレートシンターゼ 2")</f>
        <v>2-5-オリゴアデニレートシンターゼ 2</v>
      </c>
      <c r="H3768" s="3" t="str">
        <f ca="1">IFERROR(__xludf.DUMMYFUNCTION("googletranslate(E3768,""en"",""ja"")"),"生体試料中の 2-5-オリゴアデニレートシンターゼ 2 の測定。")</f>
        <v>生体試料中の 2-5-オリゴアデニレートシンターゼ 2 の測定。</v>
      </c>
      <c r="I3768" s="3" t="str">
        <f ca="1">IFERROR(__xludf.DUMMYFUNCTION("googletranslate(F3768,""en"",""ja"")"),"2-5-オリゴアデニレートシンターゼ2の測定")</f>
        <v>2-5-オリゴアデニレートシンターゼ2の測定</v>
      </c>
    </row>
    <row r="3769" spans="1:9" ht="30">
      <c r="A3769" s="3" t="s">
        <v>6</v>
      </c>
      <c r="B3769" s="3" t="s">
        <v>15577</v>
      </c>
      <c r="C3769" s="3" t="s">
        <v>15578</v>
      </c>
      <c r="D3769" s="3" t="s">
        <v>15578</v>
      </c>
      <c r="E3769" s="3" t="s">
        <v>15579</v>
      </c>
      <c r="F3769" s="3" t="s">
        <v>15580</v>
      </c>
      <c r="G3769" s="3" t="str">
        <f ca="1">IFERROR(__xludf.DUMMYFUNCTION("googletranslate(D3769,""en"",""ja"")"),"2-5-オリゴアデニレートシンターゼ 3")</f>
        <v>2-5-オリゴアデニレートシンターゼ 3</v>
      </c>
      <c r="H3769" s="3" t="str">
        <f ca="1">IFERROR(__xludf.DUMMYFUNCTION("googletranslate(E3769,""en"",""ja"")"),"生物学的標本中の 2-5-オリゴアデニレートシンターゼ 3 の測定。")</f>
        <v>生物学的標本中の 2-5-オリゴアデニレートシンターゼ 3 の測定。</v>
      </c>
      <c r="I3769" s="3" t="str">
        <f ca="1">IFERROR(__xludf.DUMMYFUNCTION("googletranslate(F3769,""en"",""ja"")"),"2-5-オリゴアデニレートシンターゼ3の測定")</f>
        <v>2-5-オリゴアデニレートシンターゼ3の測定</v>
      </c>
    </row>
    <row r="3770" spans="1:9">
      <c r="A3770" s="3" t="s">
        <v>185</v>
      </c>
      <c r="B3770" s="3" t="s">
        <v>15581</v>
      </c>
      <c r="C3770" s="3" t="s">
        <v>15582</v>
      </c>
      <c r="D3770" s="3" t="s">
        <v>15582</v>
      </c>
      <c r="E3770" s="3" t="s">
        <v>15583</v>
      </c>
      <c r="F3770" s="3" t="s">
        <v>15582</v>
      </c>
      <c r="G3770" s="3" t="str">
        <f ca="1">IFERROR(__xludf.DUMMYFUNCTION("googletranslate(D3770,""en"",""ja"")"),"オブジェクトの数")</f>
        <v>オブジェクトの数</v>
      </c>
      <c r="H3770" s="3" t="str">
        <f ca="1">IFERROR(__xludf.DUMMYFUNCTION("googletranslate(E3770,""en"",""ja"")"),"観測されたオブジェクトの数。")</f>
        <v>観測されたオブジェクトの数。</v>
      </c>
      <c r="I3770" s="3" t="str">
        <f ca="1">IFERROR(__xludf.DUMMYFUNCTION("googletranslate(F3770,""en"",""ja"")"),"オブジェクトの数")</f>
        <v>オブジェクトの数</v>
      </c>
    </row>
    <row r="3771" spans="1:9">
      <c r="A3771" s="3" t="s">
        <v>185</v>
      </c>
      <c r="B3771" s="3" t="s">
        <v>15584</v>
      </c>
      <c r="C3771" s="3" t="s">
        <v>15585</v>
      </c>
      <c r="D3771" s="3" t="s">
        <v>15585</v>
      </c>
      <c r="E3771" s="3" t="s">
        <v>15586</v>
      </c>
      <c r="F3771" s="3" t="s">
        <v>15585</v>
      </c>
      <c r="G3771" s="3" t="str">
        <f ca="1">IFERROR(__xludf.DUMMYFUNCTION("googletranslate(D3771,""en"",""ja"")"),"オブジェクトの種類")</f>
        <v>オブジェクトの種類</v>
      </c>
      <c r="H3771" s="3" t="str">
        <f ca="1">IFERROR(__xludf.DUMMYFUNCTION("googletranslate(E3771,""en"",""ja"")"),"観察されたオブジェクトのタイプ。")</f>
        <v>観察されたオブジェクトのタイプ。</v>
      </c>
      <c r="I3771" s="3" t="str">
        <f ca="1">IFERROR(__xludf.DUMMYFUNCTION("googletranslate(F3771,""en"",""ja"")"),"オブジェクトの種類")</f>
        <v>オブジェクトの種類</v>
      </c>
    </row>
    <row r="3772" spans="1:9" ht="45">
      <c r="A3772" s="3" t="s">
        <v>81</v>
      </c>
      <c r="B3772" s="3" t="s">
        <v>15587</v>
      </c>
      <c r="C3772" s="3" t="s">
        <v>15588</v>
      </c>
      <c r="D3772" s="3" t="s">
        <v>15589</v>
      </c>
      <c r="E3772" s="3" t="s">
        <v>15590</v>
      </c>
      <c r="F3772" s="3" t="s">
        <v>15591</v>
      </c>
      <c r="G3772" s="3" t="str">
        <f ca="1">IFERROR(__xludf.DUMMYFUNCTION("googletranslate(D3772,""en"",""ja"")"),"意図された場所の Obs Med デバイス タイプ。意図された場所で観察された医療機器")</f>
        <v>意図された場所の Obs Med デバイス タイプ。意図された場所で観察された医療機器</v>
      </c>
      <c r="H3772" s="3" t="str">
        <f ca="1">IFERROR(__xludf.DUMMYFUNCTION("googletranslate(E3772,""en"",""ja"")"),"被験者の体内で発見され、意図された場所に設置されている医療機器の種類の説明。")</f>
        <v>被験者の体内で発見され、意図された場所に設置されている医療機器の種類の説明。</v>
      </c>
      <c r="I3772" s="3" t="str">
        <f ca="1">IFERROR(__xludf.DUMMYFUNCTION("googletranslate(F3772,""en"",""ja"")"),"対象となる場所で観察される医療機器の種類")</f>
        <v>対象となる場所で観察される医療機器の種類</v>
      </c>
    </row>
    <row r="3773" spans="1:9" ht="45">
      <c r="A3773" s="3" t="s">
        <v>81</v>
      </c>
      <c r="B3773" s="3" t="s">
        <v>15592</v>
      </c>
      <c r="C3773" s="3" t="s">
        <v>15593</v>
      </c>
      <c r="D3773" s="3" t="s">
        <v>15593</v>
      </c>
      <c r="E3773" s="3" t="s">
        <v>15594</v>
      </c>
      <c r="F3773" s="3" t="s">
        <v>15595</v>
      </c>
      <c r="G3773" s="3" t="str">
        <f ca="1">IFERROR(__xludf.DUMMYFUNCTION("googletranslate(D3773,""en"",""ja"")"),"Obs Med デバイス タイプが意図した場所にありません")</f>
        <v>Obs Med デバイス タイプが意図した場所にありません</v>
      </c>
      <c r="H3773" s="3" t="str">
        <f ca="1">IFERROR(__xludf.DUMMYFUNCTION("googletranslate(E3773,""en"",""ja"")"),"被験者の体内で見つかったが、意図された場所に設置されていない医療機器の種類の説明。")</f>
        <v>被験者の体内で見つかったが、意図された場所に設置されていない医療機器の種類の説明。</v>
      </c>
      <c r="I3773" s="3" t="str">
        <f ca="1">IFERROR(__xludf.DUMMYFUNCTION("googletranslate(F3773,""en"",""ja"")"),"観察された医療機器タイプが意図された場所に存在しないタイプ")</f>
        <v>観察された医療機器タイプが意図された場所に存在しないタイプ</v>
      </c>
    </row>
    <row r="3774" spans="1:9" ht="30">
      <c r="A3774" s="3" t="s">
        <v>81</v>
      </c>
      <c r="B3774" s="3" t="s">
        <v>15596</v>
      </c>
      <c r="C3774" s="3" t="s">
        <v>15597</v>
      </c>
      <c r="D3774" s="3" t="s">
        <v>15597</v>
      </c>
      <c r="E3774" s="3" t="s">
        <v>15598</v>
      </c>
      <c r="F3774" s="3" t="s">
        <v>15597</v>
      </c>
      <c r="G3774" s="3" t="str">
        <f ca="1">IFERROR(__xludf.DUMMYFUNCTION("googletranslate(D3774,""en"",""ja"")"),"観察された非医療用異物の種類")</f>
        <v>観察された非医療用異物の種類</v>
      </c>
      <c r="H3774" s="3" t="str">
        <f ca="1">IFERROR(__xludf.DUMMYFUNCTION("googletranslate(E3774,""en"",""ja"")"),"被験者内で見つかった非医療用異物の種類の説明。")</f>
        <v>被験者内で見つかった非医療用異物の種類の説明。</v>
      </c>
      <c r="I3774" s="3" t="str">
        <f ca="1">IFERROR(__xludf.DUMMYFUNCTION("googletranslate(F3774,""en"",""ja"")"),"観察された非医療用異物の種類")</f>
        <v>観察された非医療用異物の種類</v>
      </c>
    </row>
    <row r="3775" spans="1:9" ht="30">
      <c r="A3775" s="3" t="s">
        <v>67</v>
      </c>
      <c r="B3775" s="3" t="s">
        <v>15599</v>
      </c>
      <c r="C3775" s="3" t="s">
        <v>15600</v>
      </c>
      <c r="D3775" s="3" t="s">
        <v>15601</v>
      </c>
      <c r="E3775" s="3" t="s">
        <v>15602</v>
      </c>
      <c r="F3775" s="3" t="s">
        <v>15603</v>
      </c>
      <c r="G3775" s="3" t="str">
        <f ca="1">IFERROR(__xludf.DUMMYFUNCTION("googletranslate(D3775,""en"",""ja"")"),"HCoV-OC43 核酸;ヒトコロナウイルスOC43核酸")</f>
        <v>HCoV-OC43 核酸;ヒトコロナウイルスOC43核酸</v>
      </c>
      <c r="H3775" s="3" t="str">
        <f ca="1">IFERROR(__xludf.DUMMYFUNCTION("googletranslate(E3775,""en"",""ja"")"),"生物学的検体中のヒトコロナウイルス OC43 核酸の測定。")</f>
        <v>生物学的検体中のヒトコロナウイルス OC43 核酸の測定。</v>
      </c>
      <c r="I3775" s="3" t="str">
        <f ca="1">IFERROR(__xludf.DUMMYFUNCTION("googletranslate(F3775,""en"",""ja"")"),"ヒトコロナウイルスOC43核酸測定")</f>
        <v>ヒトコロナウイルスOC43核酸測定</v>
      </c>
    </row>
    <row r="3776" spans="1:9" ht="30">
      <c r="A3776" s="3" t="s">
        <v>67</v>
      </c>
      <c r="B3776" s="3" t="s">
        <v>15604</v>
      </c>
      <c r="C3776" s="3" t="s">
        <v>15605</v>
      </c>
      <c r="D3776" s="3" t="s">
        <v>15606</v>
      </c>
      <c r="E3776" s="3" t="s">
        <v>15607</v>
      </c>
      <c r="F3776" s="3" t="s">
        <v>15608</v>
      </c>
      <c r="G3776" s="3" t="str">
        <f ca="1">IFERROR(__xludf.DUMMYFUNCTION("googletranslate(D3776,""en"",""ja"")"),"HCoV-OC43 RNA;ヒトコロナウイルスOC43 RNA")</f>
        <v>HCoV-OC43 RNA;ヒトコロナウイルスOC43 RNA</v>
      </c>
      <c r="H3776" s="3" t="str">
        <f ca="1">IFERROR(__xludf.DUMMYFUNCTION("googletranslate(E3776,""en"",""ja"")"),"生物学的検体中のヒトコロナウイルス OC43 RNA の測定。")</f>
        <v>生物学的検体中のヒトコロナウイルス OC43 RNA の測定。</v>
      </c>
      <c r="I3776" s="3" t="str">
        <f ca="1">IFERROR(__xludf.DUMMYFUNCTION("googletranslate(F3776,""en"",""ja"")"),"HCoV-OC43 RNAの測定")</f>
        <v>HCoV-OC43 RNAの測定</v>
      </c>
    </row>
    <row r="3777" spans="1:9" ht="30">
      <c r="A3777" s="3" t="s">
        <v>6</v>
      </c>
      <c r="B3777" s="3" t="s">
        <v>15609</v>
      </c>
      <c r="C3777" s="3" t="s">
        <v>15610</v>
      </c>
      <c r="D3777" s="3" t="s">
        <v>15610</v>
      </c>
      <c r="E3777" s="3" t="s">
        <v>15611</v>
      </c>
      <c r="F3777" s="3" t="s">
        <v>15612</v>
      </c>
      <c r="G3777" s="3" t="str">
        <f ca="1">IFERROR(__xludf.DUMMYFUNCTION("googletranslate(D3777,""en"",""ja"")"),"潜血")</f>
        <v>潜血</v>
      </c>
      <c r="H3777" s="3" t="str">
        <f ca="1">IFERROR(__xludf.DUMMYFUNCTION("googletranslate(E3777,""en"",""ja"")"),"尿や便のサンプルなどの体内の血液の測定値。肉眼的検査では検出できません。")</f>
        <v>尿や便のサンプルなどの体内の血液の測定値。肉眼的検査では検出できません。</v>
      </c>
      <c r="I3777" s="3" t="str">
        <f ca="1">IFERROR(__xludf.DUMMYFUNCTION("googletranslate(F3777,""en"",""ja"")"),"潜血測定")</f>
        <v>潜血測定</v>
      </c>
    </row>
    <row r="3778" spans="1:9" ht="30">
      <c r="A3778" s="3" t="s">
        <v>185</v>
      </c>
      <c r="B3778" s="3" t="s">
        <v>15613</v>
      </c>
      <c r="C3778" s="3" t="s">
        <v>15614</v>
      </c>
      <c r="D3778" s="3" t="s">
        <v>15614</v>
      </c>
      <c r="E3778" s="3" t="s">
        <v>15615</v>
      </c>
      <c r="F3778" s="3" t="s">
        <v>15614</v>
      </c>
      <c r="G3778" s="3" t="str">
        <f ca="1">IFERROR(__xludf.DUMMYFUNCTION("googletranslate(D3778,""en"",""ja"")"),"発生インジケーター")</f>
        <v>発生インジケーター</v>
      </c>
      <c r="H3778" s="3" t="str">
        <f ca="1">IFERROR(__xludf.DUMMYFUNCTION("googletranslate(E3778,""en"",""ja"")"),"出来事や事件など、何かが起こったかどうかを示すもの。")</f>
        <v>出来事や事件など、何かが起こったかどうかを示すもの。</v>
      </c>
      <c r="I3778" s="3" t="str">
        <f ca="1">IFERROR(__xludf.DUMMYFUNCTION("googletranslate(F3778,""en"",""ja"")"),"発生インジケーター")</f>
        <v>発生インジケーター</v>
      </c>
    </row>
    <row r="3779" spans="1:9" ht="45">
      <c r="A3779" s="3" t="s">
        <v>503</v>
      </c>
      <c r="B3779" s="3" t="s">
        <v>15616</v>
      </c>
      <c r="C3779" s="3" t="s">
        <v>15617</v>
      </c>
      <c r="D3779" s="3" t="s">
        <v>15618</v>
      </c>
      <c r="E3779" s="3" t="s">
        <v>15619</v>
      </c>
      <c r="F3779" s="3" t="s">
        <v>15617</v>
      </c>
      <c r="G3779" s="3" t="str">
        <f ca="1">IFERROR(__xludf.DUMMYFUNCTION("googletranslate(D3779,""en"",""ja"")"),"業種;職業タイプ;職業産業;労働産業")</f>
        <v>業種;職業タイプ;職業産業;労働産業</v>
      </c>
      <c r="H3779" s="3" t="str">
        <f ca="1">IFERROR(__xludf.DUMMYFUNCTION("googletranslate(E3779,""en"",""ja"")"),"仕事の補償をしたり、無給の労働者やボランティアに仕事を割り当てたりするビジネスの種類。 (USCDI)")</f>
        <v>仕事の補償をしたり、無給の労働者やボランティアに仕事を割り当てたりするビジネスの種類。 (USCDI)</v>
      </c>
      <c r="I3779" s="3" t="str">
        <f ca="1">IFERROR(__xludf.DUMMYFUNCTION("googletranslate(F3779,""en"",""ja"")"),"職業産業")</f>
        <v>職業産業</v>
      </c>
    </row>
    <row r="3780" spans="1:9" ht="30">
      <c r="A3780" s="3" t="s">
        <v>6</v>
      </c>
      <c r="B3780" s="3" t="s">
        <v>15620</v>
      </c>
      <c r="C3780" s="3" t="s">
        <v>15621</v>
      </c>
      <c r="D3780" s="3" t="s">
        <v>15621</v>
      </c>
      <c r="E3780" s="3" t="s">
        <v>15622</v>
      </c>
      <c r="F3780" s="3" t="s">
        <v>15623</v>
      </c>
      <c r="G3780" s="3" t="str">
        <f ca="1">IFERROR(__xludf.DUMMYFUNCTION("googletranslate(D3780,""en"",""ja"")"),"O-デメチラーゼ")</f>
        <v>O-デメチラーゼ</v>
      </c>
      <c r="H3780" s="3" t="str">
        <f ca="1">IFERROR(__xludf.DUMMYFUNCTION("googletranslate(E3780,""en"",""ja"")"),"生物学的標本中の O-デメチラーゼの測定。")</f>
        <v>生物学的標本中の O-デメチラーゼの測定。</v>
      </c>
      <c r="I3780" s="3" t="str">
        <f ca="1">IFERROR(__xludf.DUMMYFUNCTION("googletranslate(F3780,""en"",""ja"")"),"O-デメチラーゼの測定")</f>
        <v>O-デメチラーゼの測定</v>
      </c>
    </row>
    <row r="3781" spans="1:9" ht="30">
      <c r="A3781" s="3" t="s">
        <v>6</v>
      </c>
      <c r="B3781" s="3" t="s">
        <v>15624</v>
      </c>
      <c r="C3781" s="3" t="s">
        <v>15625</v>
      </c>
      <c r="D3781" s="3" t="s">
        <v>15626</v>
      </c>
      <c r="E3781" s="3" t="s">
        <v>15627</v>
      </c>
      <c r="F3781" s="3" t="s">
        <v>15628</v>
      </c>
      <c r="G3781" s="3" t="str">
        <f ca="1">IFERROR(__xludf.DUMMYFUNCTION("googletranslate(D3781,""en"",""ja"")"),"デスメトラマドール。 O-デスメチルトラマドール; O-DSMT")</f>
        <v>デスメトラマドール。 O-デスメチルトラマドール; O-DSMT</v>
      </c>
      <c r="H3781" s="3" t="str">
        <f ca="1">IFERROR(__xludf.DUMMYFUNCTION("googletranslate(E3781,""en"",""ja"")"),"生物学的標本中の O-デスメチルトラマドールの測定。")</f>
        <v>生物学的標本中の O-デスメチルトラマドールの測定。</v>
      </c>
      <c r="I3781" s="3" t="str">
        <f ca="1">IFERROR(__xludf.DUMMYFUNCTION("googletranslate(F3781,""en"",""ja"")"),"O-デスメチルトラマドールの測定")</f>
        <v>O-デスメチルトラマドールの測定</v>
      </c>
    </row>
    <row r="3782" spans="1:9">
      <c r="A3782" s="3" t="s">
        <v>1557</v>
      </c>
      <c r="B3782" s="3" t="s">
        <v>15629</v>
      </c>
      <c r="C3782" s="3" t="s">
        <v>15630</v>
      </c>
      <c r="D3782" s="3" t="s">
        <v>15630</v>
      </c>
      <c r="E3782" s="3" t="s">
        <v>15631</v>
      </c>
      <c r="F3782" s="3" t="s">
        <v>15632</v>
      </c>
      <c r="G3782" s="3" t="str">
        <f ca="1">IFERROR(__xludf.DUMMYFUNCTION("googletranslate(D3782,""en"",""ja"")"),"眼科検査")</f>
        <v>眼科検査</v>
      </c>
      <c r="H3782" s="3" t="str">
        <f ca="1">IFERROR(__xludf.DUMMYFUNCTION("googletranslate(E3782,""en"",""ja"")"),"目の観察、評価、または検査。")</f>
        <v>目の観察、評価、または検査。</v>
      </c>
      <c r="I3782" s="3" t="str">
        <f ca="1">IFERROR(__xludf.DUMMYFUNCTION("googletranslate(F3782,""en"",""ja"")"),"目の検査")</f>
        <v>目の検査</v>
      </c>
    </row>
    <row r="3783" spans="1:9" ht="30">
      <c r="A3783" s="3" t="s">
        <v>6</v>
      </c>
      <c r="B3783" s="3" t="s">
        <v>15633</v>
      </c>
      <c r="C3783" s="3" t="s">
        <v>15634</v>
      </c>
      <c r="D3783" s="3" t="s">
        <v>15635</v>
      </c>
      <c r="E3783" s="3" t="s">
        <v>15636</v>
      </c>
      <c r="F3783" s="3" t="s">
        <v>15637</v>
      </c>
      <c r="G3783" s="3" t="str">
        <f ca="1">IFERROR(__xludf.DUMMYFUNCTION("googletranslate(D3783,""en"",""ja"")"),"8-ヒドロキシ-2'-デオキシグアノシン; 8-オキソ-dG")</f>
        <v>8-ヒドロキシ-2'-デオキシグアノシン; 8-オキソ-dG</v>
      </c>
      <c r="H3783" s="3" t="str">
        <f ca="1">IFERROR(__xludf.DUMMYFUNCTION("googletranslate(E3783,""en"",""ja"")"),"生物学的標本中の 8-ヒドロキシ-2'-デオキシグアノシンの測定。")</f>
        <v>生物学的標本中の 8-ヒドロキシ-2'-デオキシグアノシンの測定。</v>
      </c>
      <c r="I3783" s="3" t="str">
        <f ca="1">IFERROR(__xludf.DUMMYFUNCTION("googletranslate(F3783,""en"",""ja"")"),"8-ヒドロキシ-2'-デオキシグアノシンの測定")</f>
        <v>8-ヒドロキシ-2'-デオキシグアノシンの測定</v>
      </c>
    </row>
    <row r="3784" spans="1:9" ht="30">
      <c r="A3784" s="3" t="s">
        <v>6</v>
      </c>
      <c r="B3784" s="3" t="s">
        <v>15638</v>
      </c>
      <c r="C3784" s="3" t="s">
        <v>15639</v>
      </c>
      <c r="D3784" s="3" t="s">
        <v>15640</v>
      </c>
      <c r="E3784" s="3" t="s">
        <v>15641</v>
      </c>
      <c r="F3784" s="3" t="s">
        <v>15642</v>
      </c>
      <c r="G3784" s="3" t="str">
        <f ca="1">IFERROR(__xludf.DUMMYFUNCTION("googletranslate(D3784,""en"",""ja"")"),"9-ヒドロキシリスペリドン;パリペリドン")</f>
        <v>9-ヒドロキシリスペリドン;パリペリドン</v>
      </c>
      <c r="H3784" s="3" t="str">
        <f ca="1">IFERROR(__xludf.DUMMYFUNCTION("googletranslate(E3784,""en"",""ja"")"),"生物学的標本中の 9-ヒドロキシリスペリドンの測定。")</f>
        <v>生物学的標本中の 9-ヒドロキシリスペリドンの測定。</v>
      </c>
      <c r="I3784" s="3" t="str">
        <f ca="1">IFERROR(__xludf.DUMMYFUNCTION("googletranslate(F3784,""en"",""ja"")"),"9-ヒドロキシリスペリドンの測定")</f>
        <v>9-ヒドロキシリスペリドンの測定</v>
      </c>
    </row>
    <row r="3785" spans="1:9" ht="60">
      <c r="A3785" s="3" t="s">
        <v>51</v>
      </c>
      <c r="B3785" s="3" t="s">
        <v>15643</v>
      </c>
      <c r="C3785" s="3" t="s">
        <v>15644</v>
      </c>
      <c r="D3785" s="3" t="s">
        <v>15645</v>
      </c>
      <c r="E3785" s="3" t="s">
        <v>15646</v>
      </c>
      <c r="F3785" s="3" t="s">
        <v>15647</v>
      </c>
      <c r="G3785" s="3" t="str">
        <f ca="1">IFERROR(__xludf.DUMMYFUNCTION("googletranslate(D3785,""en"",""ja"")"),"3-ヒドロキシベンズ(a)ピレン; 3-ヒドロキシベンズ[a]ピレン; 3-ヒドロキシベンゾ(a)ピレン; 3-ヒドロキシベンゾ[a]ピレン")</f>
        <v>3-ヒドロキシベンズ(a)ピレン; 3-ヒドロキシベンズ[a]ピレン; 3-ヒドロキシベンゾ(a)ピレン; 3-ヒドロキシベンゾ[a]ピレン</v>
      </c>
      <c r="H3785" s="3" t="str">
        <f ca="1">IFERROR(__xludf.DUMMYFUNCTION("googletranslate(E3785,""en"",""ja"")"),"試料中の 3-ヒドロキシベンゾ[a]ピレンの測定。")</f>
        <v>試料中の 3-ヒドロキシベンゾ[a]ピレンの測定。</v>
      </c>
      <c r="I3785" s="3" t="str">
        <f ca="1">IFERROR(__xludf.DUMMYFUNCTION("googletranslate(F3785,""en"",""ja"")"),"3-ヒドロキシベンゾ[a]ピレンの測定")</f>
        <v>3-ヒドロキシベンゾ[a]ピレンの測定</v>
      </c>
    </row>
    <row r="3786" spans="1:9" ht="30">
      <c r="A3786" s="3" t="s">
        <v>6</v>
      </c>
      <c r="B3786" s="3" t="s">
        <v>15648</v>
      </c>
      <c r="C3786" s="3" t="s">
        <v>15649</v>
      </c>
      <c r="D3786" s="3" t="s">
        <v>15650</v>
      </c>
      <c r="E3786" s="3" t="s">
        <v>15651</v>
      </c>
      <c r="F3786" s="3" t="s">
        <v>15652</v>
      </c>
      <c r="G3786" s="3" t="str">
        <f ca="1">IFERROR(__xludf.DUMMYFUNCTION("googletranslate(D3786,""en"",""ja"")"),"8-ヒドロキシデオキシグアノシン; 8-OHdG")</f>
        <v>8-ヒドロキシデオキシグアノシン; 8-OHdG</v>
      </c>
      <c r="H3786" s="3" t="str">
        <f ca="1">IFERROR(__xludf.DUMMYFUNCTION("googletranslate(E3786,""en"",""ja"")"),"生物学的標本中の 8-ヒドロキシデオキシグアノシンの測定。")</f>
        <v>生物学的標本中の 8-ヒドロキシデオキシグアノシンの測定。</v>
      </c>
      <c r="I3786" s="3" t="str">
        <f ca="1">IFERROR(__xludf.DUMMYFUNCTION("googletranslate(F3786,""en"",""ja"")"),"8-ヒドロキシデオキシグアノシンの測定")</f>
        <v>8-ヒドロキシデオキシグアノシンの測定</v>
      </c>
    </row>
    <row r="3787" spans="1:9" ht="30">
      <c r="A3787" s="3" t="s">
        <v>155</v>
      </c>
      <c r="B3787" s="3" t="s">
        <v>15653</v>
      </c>
      <c r="C3787" s="3" t="s">
        <v>15654</v>
      </c>
      <c r="D3787" s="3" t="s">
        <v>15654</v>
      </c>
      <c r="E3787" s="3" t="s">
        <v>15655</v>
      </c>
      <c r="F3787" s="3" t="s">
        <v>15654</v>
      </c>
      <c r="G3787" s="3" t="str">
        <f ca="1">IFERROR(__xludf.DUMMYFUNCTION("googletranslate(D3787,""en"",""ja"")"),"全体的な聴力評価")</f>
        <v>全体的な聴力評価</v>
      </c>
      <c r="H3787" s="3" t="str">
        <f ca="1">IFERROR(__xludf.DUMMYFUNCTION("googletranslate(E3787,""en"",""ja"")"),"個人の全体的な聴力を評価する評価。")</f>
        <v>個人の全体的な聴力を評価する評価。</v>
      </c>
      <c r="I3787" s="3" t="str">
        <f ca="1">IFERROR(__xludf.DUMMYFUNCTION("googletranslate(F3787,""en"",""ja"")"),"全体的な聴力評価")</f>
        <v>全体的な聴力評価</v>
      </c>
    </row>
    <row r="3788" spans="1:9" ht="45">
      <c r="A3788" s="3" t="s">
        <v>6</v>
      </c>
      <c r="B3788" s="3" t="s">
        <v>15656</v>
      </c>
      <c r="C3788" s="3" t="s">
        <v>15657</v>
      </c>
      <c r="D3788" s="3" t="s">
        <v>15658</v>
      </c>
      <c r="E3788" s="3" t="s">
        <v>15659</v>
      </c>
      <c r="F3788" s="3" t="s">
        <v>15660</v>
      </c>
      <c r="G3788" s="3" t="str">
        <f ca="1">IFERROR(__xludf.DUMMYFUNCTION("googletranslate(D3788,""en"",""ja"")"),"6 ベータヒドロコルチゾール; 6 ベータ-ヒドロキシコルチゾール; 6 ベータ-OHF")</f>
        <v>6 ベータヒドロコルチゾール; 6 ベータ-ヒドロキシコルチゾール; 6 ベータ-OHF</v>
      </c>
      <c r="H3788" s="3" t="str">
        <f ca="1">IFERROR(__xludf.DUMMYFUNCTION("googletranslate(E3788,""en"",""ja"")"),"生物学的標本中の 6 β-ヒドロキシコルチゾールの測定。")</f>
        <v>生物学的標本中の 6 β-ヒドロキシコルチゾールの測定。</v>
      </c>
      <c r="I3788" s="3" t="str">
        <f ca="1">IFERROR(__xludf.DUMMYFUNCTION("googletranslate(F3788,""en"",""ja"")"),"6 β-ヒドロキシコルチゾールの測定")</f>
        <v>6 β-ヒドロキシコルチゾールの測定</v>
      </c>
    </row>
    <row r="3789" spans="1:9">
      <c r="A3789" s="3" t="s">
        <v>51</v>
      </c>
      <c r="B3789" s="3" t="s">
        <v>15661</v>
      </c>
      <c r="C3789" s="3" t="s">
        <v>15662</v>
      </c>
      <c r="D3789" s="3" t="s">
        <v>15662</v>
      </c>
      <c r="E3789" s="3" t="s">
        <v>15663</v>
      </c>
      <c r="F3789" s="3" t="s">
        <v>15664</v>
      </c>
      <c r="G3789" s="3" t="str">
        <f ca="1">IFERROR(__xludf.DUMMYFUNCTION("googletranslate(D3789,""en"",""ja"")"),"2-ヒドロキシフルオレン")</f>
        <v>2-ヒドロキシフルオレン</v>
      </c>
      <c r="H3789" s="3" t="str">
        <f ca="1">IFERROR(__xludf.DUMMYFUNCTION("googletranslate(E3789,""en"",""ja"")"),"試料中の 2-ヒドロキシフルオレンの測定。")</f>
        <v>試料中の 2-ヒドロキシフルオレンの測定。</v>
      </c>
      <c r="I3789" s="3" t="str">
        <f ca="1">IFERROR(__xludf.DUMMYFUNCTION("googletranslate(F3789,""en"",""ja"")"),"2-ヒドロキシフルオレンの測定")</f>
        <v>2-ヒドロキシフルオレンの測定</v>
      </c>
    </row>
    <row r="3790" spans="1:9">
      <c r="A3790" s="3" t="s">
        <v>51</v>
      </c>
      <c r="B3790" s="3" t="s">
        <v>15665</v>
      </c>
      <c r="C3790" s="3" t="s">
        <v>15666</v>
      </c>
      <c r="D3790" s="3" t="s">
        <v>15666</v>
      </c>
      <c r="E3790" s="3" t="s">
        <v>15667</v>
      </c>
      <c r="F3790" s="3" t="s">
        <v>15668</v>
      </c>
      <c r="G3790" s="3" t="str">
        <f ca="1">IFERROR(__xludf.DUMMYFUNCTION("googletranslate(D3790,""en"",""ja"")"),"3-ヒドロキシフルオレン")</f>
        <v>3-ヒドロキシフルオレン</v>
      </c>
      <c r="H3790" s="3" t="str">
        <f ca="1">IFERROR(__xludf.DUMMYFUNCTION("googletranslate(E3790,""en"",""ja"")"),"試料中の 3-ヒドロキシフルオレンの測定。")</f>
        <v>試料中の 3-ヒドロキシフルオレンの測定。</v>
      </c>
      <c r="I3790" s="3" t="str">
        <f ca="1">IFERROR(__xludf.DUMMYFUNCTION("googletranslate(F3790,""en"",""ja"")"),"3-ヒドロキシフルオレンの測定")</f>
        <v>3-ヒドロキシフルオレンの測定</v>
      </c>
    </row>
    <row r="3791" spans="1:9" ht="30">
      <c r="A3791" s="3" t="s">
        <v>51</v>
      </c>
      <c r="B3791" s="3" t="s">
        <v>15669</v>
      </c>
      <c r="C3791" s="3" t="s">
        <v>15670</v>
      </c>
      <c r="D3791" s="3" t="s">
        <v>15671</v>
      </c>
      <c r="E3791" s="3" t="s">
        <v>15672</v>
      </c>
      <c r="F3791" s="3" t="s">
        <v>15673</v>
      </c>
      <c r="G3791" s="3" t="str">
        <f ca="1">IFERROR(__xludf.DUMMYFUNCTION("googletranslate(D3791,""en"",""ja"")"),"1-ヒドロキシナフタレン; 1-ナフトール")</f>
        <v>1-ヒドロキシナフタレン; 1-ナフトール</v>
      </c>
      <c r="H3791" s="3" t="str">
        <f ca="1">IFERROR(__xludf.DUMMYFUNCTION("googletranslate(E3791,""en"",""ja"")"),"試料中の 1-ヒドロキシナフタレンの測定。")</f>
        <v>試料中の 1-ヒドロキシナフタレンの測定。</v>
      </c>
      <c r="I3791" s="3" t="str">
        <f ca="1">IFERROR(__xludf.DUMMYFUNCTION("googletranslate(F3791,""en"",""ja"")"),"1-ヒドロキシナフタレンの測定")</f>
        <v>1-ヒドロキシナフタレンの測定</v>
      </c>
    </row>
    <row r="3792" spans="1:9" ht="30">
      <c r="A3792" s="3" t="s">
        <v>51</v>
      </c>
      <c r="B3792" s="3" t="s">
        <v>15674</v>
      </c>
      <c r="C3792" s="3" t="s">
        <v>15675</v>
      </c>
      <c r="D3792" s="3" t="s">
        <v>15676</v>
      </c>
      <c r="E3792" s="3" t="s">
        <v>15677</v>
      </c>
      <c r="F3792" s="3" t="s">
        <v>15678</v>
      </c>
      <c r="G3792" s="3" t="str">
        <f ca="1">IFERROR(__xludf.DUMMYFUNCTION("googletranslate(D3792,""en"",""ja"")"),"2-ヒドロキシナフタレン; 2回の昼寝。 2-ナフトール")</f>
        <v>2-ヒドロキシナフタレン; 2回の昼寝。 2-ナフトール</v>
      </c>
      <c r="H3792" s="3" t="str">
        <f ca="1">IFERROR(__xludf.DUMMYFUNCTION("googletranslate(E3792,""en"",""ja"")"),"試料中の 2-ヒドロキシナフタレンの測定。")</f>
        <v>試料中の 2-ヒドロキシナフタレンの測定。</v>
      </c>
      <c r="I3792" s="3" t="str">
        <f ca="1">IFERROR(__xludf.DUMMYFUNCTION("googletranslate(F3792,""en"",""ja"")"),"2-ヒドロキシナフタレンの測定")</f>
        <v>2-ヒドロキシナフタレンの測定</v>
      </c>
    </row>
    <row r="3793" spans="1:9" ht="30">
      <c r="A3793" s="3" t="s">
        <v>51</v>
      </c>
      <c r="B3793" s="3" t="s">
        <v>15679</v>
      </c>
      <c r="C3793" s="3" t="s">
        <v>15680</v>
      </c>
      <c r="D3793" s="3" t="s">
        <v>15680</v>
      </c>
      <c r="E3793" s="3" t="s">
        <v>15681</v>
      </c>
      <c r="F3793" s="3" t="s">
        <v>15682</v>
      </c>
      <c r="G3793" s="3" t="str">
        <f ca="1">IFERROR(__xludf.DUMMYFUNCTION("googletranslate(D3793,""en"",""ja"")"),"1-ヒドロキシフェナントレン")</f>
        <v>1-ヒドロキシフェナントレン</v>
      </c>
      <c r="H3793" s="3" t="str">
        <f ca="1">IFERROR(__xludf.DUMMYFUNCTION("googletranslate(E3793,""en"",""ja"")"),"試料中の 1-ヒドロキシフェナントレンの測定。")</f>
        <v>試料中の 1-ヒドロキシフェナントレンの測定。</v>
      </c>
      <c r="I3793" s="3" t="str">
        <f ca="1">IFERROR(__xludf.DUMMYFUNCTION("googletranslate(F3793,""en"",""ja"")"),"1-ヒドロキシフェナントレンの測定")</f>
        <v>1-ヒドロキシフェナントレンの測定</v>
      </c>
    </row>
    <row r="3794" spans="1:9" ht="30">
      <c r="A3794" s="3" t="s">
        <v>51</v>
      </c>
      <c r="B3794" s="3" t="s">
        <v>15683</v>
      </c>
      <c r="C3794" s="3" t="s">
        <v>15684</v>
      </c>
      <c r="D3794" s="3" t="s">
        <v>15685</v>
      </c>
      <c r="E3794" s="3" t="s">
        <v>15686</v>
      </c>
      <c r="F3794" s="3" t="s">
        <v>15687</v>
      </c>
      <c r="G3794" s="3" t="str">
        <f ca="1">IFERROR(__xludf.DUMMYFUNCTION("googletranslate(D3794,""en"",""ja"")"),"2-3PHE; 2-ヒドロキシフェナントレン")</f>
        <v>2-3PHE; 2-ヒドロキシフェナントレン</v>
      </c>
      <c r="H3794" s="3" t="str">
        <f ca="1">IFERROR(__xludf.DUMMYFUNCTION("googletranslate(E3794,""en"",""ja"")"),"試料中の 2-ヒドロキシフェナントレンの測定。")</f>
        <v>試料中の 2-ヒドロキシフェナントレンの測定。</v>
      </c>
      <c r="I3794" s="3" t="str">
        <f ca="1">IFERROR(__xludf.DUMMYFUNCTION("googletranslate(F3794,""en"",""ja"")"),"2-ヒドロキシフェナントレンの測定")</f>
        <v>2-ヒドロキシフェナントレンの測定</v>
      </c>
    </row>
    <row r="3795" spans="1:9" ht="30">
      <c r="A3795" s="3" t="s">
        <v>51</v>
      </c>
      <c r="B3795" s="3" t="s">
        <v>15688</v>
      </c>
      <c r="C3795" s="3" t="s">
        <v>15689</v>
      </c>
      <c r="D3795" s="3" t="s">
        <v>15689</v>
      </c>
      <c r="E3795" s="3" t="s">
        <v>15690</v>
      </c>
      <c r="F3795" s="3" t="s">
        <v>15691</v>
      </c>
      <c r="G3795" s="3" t="str">
        <f ca="1">IFERROR(__xludf.DUMMYFUNCTION("googletranslate(D3795,""en"",""ja"")"),"3-ヒドロキシフェナントレン")</f>
        <v>3-ヒドロキシフェナントレン</v>
      </c>
      <c r="H3795" s="3" t="str">
        <f ca="1">IFERROR(__xludf.DUMMYFUNCTION("googletranslate(E3795,""en"",""ja"")"),"試料中の 3-ヒドロキシフェナントレンの測定。")</f>
        <v>試料中の 3-ヒドロキシフェナントレンの測定。</v>
      </c>
      <c r="I3795" s="3" t="str">
        <f ca="1">IFERROR(__xludf.DUMMYFUNCTION("googletranslate(F3795,""en"",""ja"")"),"3-ヒドロキシフェナントレンの測定")</f>
        <v>3-ヒドロキシフェナントレンの測定</v>
      </c>
    </row>
    <row r="3796" spans="1:9">
      <c r="A3796" s="3" t="s">
        <v>51</v>
      </c>
      <c r="B3796" s="3" t="s">
        <v>15692</v>
      </c>
      <c r="C3796" s="3" t="s">
        <v>15693</v>
      </c>
      <c r="D3796" s="3" t="s">
        <v>15693</v>
      </c>
      <c r="E3796" s="3" t="s">
        <v>15694</v>
      </c>
      <c r="F3796" s="3" t="s">
        <v>15695</v>
      </c>
      <c r="G3796" s="3" t="str">
        <f ca="1">IFERROR(__xludf.DUMMYFUNCTION("googletranslate(D3796,""en"",""ja"")"),"1-ヒドロキシピレン")</f>
        <v>1-ヒドロキシピレン</v>
      </c>
      <c r="H3796" s="3" t="str">
        <f ca="1">IFERROR(__xludf.DUMMYFUNCTION("googletranslate(E3796,""en"",""ja"")"),"試料中の 1-ヒドロキシピレンの測定。")</f>
        <v>試料中の 1-ヒドロキシピレンの測定。</v>
      </c>
      <c r="I3796" s="3" t="str">
        <f ca="1">IFERROR(__xludf.DUMMYFUNCTION("googletranslate(F3796,""en"",""ja"")"),"1-ヒドロキシピレンの測定")</f>
        <v>1-ヒドロキシピレンの測定</v>
      </c>
    </row>
    <row r="3797" spans="1:9" ht="60">
      <c r="A3797" s="3" t="s">
        <v>490</v>
      </c>
      <c r="B3797" s="3" t="s">
        <v>15696</v>
      </c>
      <c r="C3797" s="3" t="s">
        <v>15697</v>
      </c>
      <c r="D3797" s="3" t="s">
        <v>15697</v>
      </c>
      <c r="E3797" s="3" t="s">
        <v>15698</v>
      </c>
      <c r="F3797" s="3" t="s">
        <v>15697</v>
      </c>
      <c r="G3797" s="3" t="str">
        <f ca="1">IFERROR(__xludf.DUMMYFUNCTION("googletranslate(D3797,""en"",""ja"")"),"酸素化指数")</f>
        <v>酸素化指数</v>
      </c>
      <c r="H3797" s="3" t="str">
        <f ca="1">IFERROR(__xludf.DUMMYFUNCTION("googletranslate(E3797,""en"",""ja"")"),"肺による酸素交換効率の測定値。吸気酸素の割合 (FiO2) (%) に平均気道内圧 (Mpaw) を掛け、動脈血酸素の圧力 (PaO2) で割ることによって計算されます。")</f>
        <v>肺による酸素交換効率の測定値。吸気酸素の割合 (FiO2) (%) に平均気道内圧 (Mpaw) を掛け、動脈血酸素の圧力 (PaO2) で割ることによって計算されます。</v>
      </c>
      <c r="I3797" s="3" t="str">
        <f ca="1">IFERROR(__xludf.DUMMYFUNCTION("googletranslate(F3797,""en"",""ja"")"),"酸素化指数")</f>
        <v>酸素化指数</v>
      </c>
    </row>
    <row r="3798" spans="1:9">
      <c r="A3798" s="3" t="s">
        <v>6</v>
      </c>
      <c r="B3798" s="3" t="s">
        <v>15699</v>
      </c>
      <c r="C3798" s="3" t="s">
        <v>15700</v>
      </c>
      <c r="D3798" s="3" t="s">
        <v>15700</v>
      </c>
      <c r="E3798" s="3" t="s">
        <v>15701</v>
      </c>
      <c r="F3798" s="3" t="s">
        <v>15702</v>
      </c>
      <c r="G3798" s="3" t="str">
        <f ca="1">IFERROR(__xludf.DUMMYFUNCTION("googletranslate(D3798,""en"",""ja"")"),"オランザピン")</f>
        <v>オランザピン</v>
      </c>
      <c r="H3798" s="3" t="str">
        <f ca="1">IFERROR(__xludf.DUMMYFUNCTION("googletranslate(E3798,""en"",""ja"")"),"生物学的標本中のオランザピンの測定。")</f>
        <v>生物学的標本中のオランザピンの測定。</v>
      </c>
      <c r="I3798" s="3" t="str">
        <f ca="1">IFERROR(__xludf.DUMMYFUNCTION("googletranslate(F3798,""en"",""ja"")"),"オランザピンの測定")</f>
        <v>オランザピンの測定</v>
      </c>
    </row>
    <row r="3799" spans="1:9" ht="30">
      <c r="A3799" s="3" t="s">
        <v>6</v>
      </c>
      <c r="B3799" s="3" t="s">
        <v>15703</v>
      </c>
      <c r="C3799" s="3" t="s">
        <v>15704</v>
      </c>
      <c r="D3799" s="3" t="s">
        <v>15704</v>
      </c>
      <c r="E3799" s="3" t="s">
        <v>15705</v>
      </c>
      <c r="F3799" s="3" t="s">
        <v>15706</v>
      </c>
      <c r="G3799" s="3" t="str">
        <f ca="1">IFERROR(__xludf.DUMMYFUNCTION("googletranslate(D3799,""en"",""ja"")"),"オリゴクローナルバンド")</f>
        <v>オリゴクローナルバンド</v>
      </c>
      <c r="H3799" s="3" t="str">
        <f ca="1">IFERROR(__xludf.DUMMYFUNCTION("googletranslate(E3799,""en"",""ja"")"),"生物学的標本のオリゴクローナルバンドの測定。")</f>
        <v>生物学的標本のオリゴクローナルバンドの測定。</v>
      </c>
      <c r="I3799" s="3" t="str">
        <f ca="1">IFERROR(__xludf.DUMMYFUNCTION("googletranslate(F3799,""en"",""ja"")"),"オリゴクローナルバンドの測定")</f>
        <v>オリゴクローナルバンドの測定</v>
      </c>
    </row>
    <row r="3800" spans="1:9" ht="30">
      <c r="A3800" s="3" t="s">
        <v>1557</v>
      </c>
      <c r="B3800" s="3" t="s">
        <v>15707</v>
      </c>
      <c r="C3800" s="3" t="s">
        <v>15708</v>
      </c>
      <c r="D3800" s="3" t="s">
        <v>15708</v>
      </c>
      <c r="E3800" s="3" t="s">
        <v>15709</v>
      </c>
      <c r="F3800" s="3" t="s">
        <v>15710</v>
      </c>
      <c r="G3800" s="3" t="str">
        <f ca="1">IFERROR(__xludf.DUMMYFUNCTION("googletranslate(D3800,""en"",""ja"")"),"不透明度")</f>
        <v>不透明度</v>
      </c>
      <c r="H3800" s="3" t="str">
        <f ca="1">IFERROR(__xludf.DUMMYFUNCTION("googletranslate(E3800,""en"",""ja"")"),"不透明度または透明度の欠如の評価。")</f>
        <v>不透明度または透明度の欠如の評価。</v>
      </c>
      <c r="I3800" s="3" t="str">
        <f ca="1">IFERROR(__xludf.DUMMYFUNCTION("googletranslate(F3800,""en"",""ja"")"),"不透明度測定")</f>
        <v>不透明度測定</v>
      </c>
    </row>
    <row r="3801" spans="1:9" ht="60">
      <c r="A3801" s="3" t="s">
        <v>6</v>
      </c>
      <c r="B3801" s="3" t="s">
        <v>15711</v>
      </c>
      <c r="C3801" s="3" t="s">
        <v>15712</v>
      </c>
      <c r="D3801" s="3" t="s">
        <v>15713</v>
      </c>
      <c r="E3801" s="3" t="s">
        <v>15714</v>
      </c>
      <c r="F3801" s="3" t="s">
        <v>15715</v>
      </c>
      <c r="G3801" s="3" t="str">
        <f ca="1">IFERROR(__xludf.DUMMYFUNCTION("googletranslate(D3801,""en"",""ja"")"),"OCIF;破骨細胞形成阻害因子;オステオプロテゲリン; TNFRS11B;腫瘍壊死因子受容体スーパーファミリーメンバー 11b")</f>
        <v>OCIF;破骨細胞形成阻害因子;オステオプロテゲリン; TNFRS11B;腫瘍壊死因子受容体スーパーファミリーメンバー 11b</v>
      </c>
      <c r="H3801" s="3" t="str">
        <f ca="1">IFERROR(__xludf.DUMMYFUNCTION("googletranslate(E3801,""en"",""ja"")"),"生物学的標本中のオステオプロテゲリンの測定。")</f>
        <v>生物学的標本中のオステオプロテゲリンの測定。</v>
      </c>
      <c r="I3801" s="3" t="str">
        <f ca="1">IFERROR(__xludf.DUMMYFUNCTION("googletranslate(F3801,""en"",""ja"")"),"オステオプロテジェリンの測定")</f>
        <v>オステオプロテジェリンの測定</v>
      </c>
    </row>
    <row r="3802" spans="1:9" ht="30">
      <c r="A3802" s="3" t="s">
        <v>6</v>
      </c>
      <c r="B3802" s="3" t="s">
        <v>15716</v>
      </c>
      <c r="C3802" s="3" t="s">
        <v>15717</v>
      </c>
      <c r="D3802" s="3" t="s">
        <v>15717</v>
      </c>
      <c r="E3802" s="3" t="s">
        <v>15718</v>
      </c>
      <c r="F3802" s="3" t="s">
        <v>15719</v>
      </c>
      <c r="G3802" s="3" t="str">
        <f ca="1">IFERROR(__xludf.DUMMYFUNCTION("googletranslate(D3802,""en"",""ja"")"),"アヘン剤")</f>
        <v>アヘン剤</v>
      </c>
      <c r="H3802" s="3" t="str">
        <f ca="1">IFERROR(__xludf.DUMMYFUNCTION("googletranslate(E3802,""en"",""ja"")"),"生物学的標本中に存在するアヘン剤クラスの薬物の測定。")</f>
        <v>生物学的標本中に存在するアヘン剤クラスの薬物の測定。</v>
      </c>
      <c r="I3802" s="3" t="str">
        <f ca="1">IFERROR(__xludf.DUMMYFUNCTION("googletranslate(F3802,""en"",""ja"")"),"アヘン剤の測定")</f>
        <v>アヘン剤の測定</v>
      </c>
    </row>
    <row r="3803" spans="1:9">
      <c r="A3803" s="3" t="s">
        <v>6</v>
      </c>
      <c r="B3803" s="3" t="s">
        <v>15720</v>
      </c>
      <c r="C3803" s="3" t="s">
        <v>15721</v>
      </c>
      <c r="D3803" s="3" t="s">
        <v>15721</v>
      </c>
      <c r="E3803" s="3" t="s">
        <v>15722</v>
      </c>
      <c r="F3803" s="3" t="s">
        <v>15723</v>
      </c>
      <c r="G3803" s="3" t="str">
        <f ca="1">IFERROR(__xludf.DUMMYFUNCTION("googletranslate(D3803,""en"",""ja"")"),"オステオポンチン")</f>
        <v>オステオポンチン</v>
      </c>
      <c r="H3803" s="3" t="str">
        <f ca="1">IFERROR(__xludf.DUMMYFUNCTION("googletranslate(E3803,""en"",""ja"")"),"生物学的標本中のオステオポンチンの測定。")</f>
        <v>生物学的標本中のオステオポンチンの測定。</v>
      </c>
      <c r="I3803" s="3" t="str">
        <f ca="1">IFERROR(__xludf.DUMMYFUNCTION("googletranslate(F3803,""en"",""ja"")"),"オステオポンチンの測定")</f>
        <v>オステオポンチンの測定</v>
      </c>
    </row>
    <row r="3804" spans="1:9" ht="45">
      <c r="A3804" s="3" t="s">
        <v>6</v>
      </c>
      <c r="B3804" s="3" t="s">
        <v>15724</v>
      </c>
      <c r="C3804" s="3" t="s">
        <v>15725</v>
      </c>
      <c r="D3804" s="3" t="s">
        <v>15725</v>
      </c>
      <c r="E3804" s="3" t="s">
        <v>15726</v>
      </c>
      <c r="F3804" s="3" t="s">
        <v>15727</v>
      </c>
      <c r="G3804" s="3" t="str">
        <f ca="1">IFERROR(__xludf.DUMMYFUNCTION("googletranslate(D3804,""en"",""ja"")"),"オステオポンチン/クレアチニン")</f>
        <v>オステオポンチン/クレアチニン</v>
      </c>
      <c r="H3804" s="3" t="str">
        <f ca="1">IFERROR(__xludf.DUMMYFUNCTION("googletranslate(E3804,""en"",""ja"")"),"生物学的標本におけるクレアチニンに対するオステオポンチンの相対測定値 (比率またはパーセンテージ)。")</f>
        <v>生物学的標本におけるクレアチニンに対するオステオポンチンの相対測定値 (比率またはパーセンテージ)。</v>
      </c>
      <c r="I3804" s="3" t="str">
        <f ca="1">IFERROR(__xludf.DUMMYFUNCTION("googletranslate(F3804,""en"",""ja"")"),"オステオポンチンとクレアチニンの比の測定")</f>
        <v>オステオポンチンとクレアチニンの比の測定</v>
      </c>
    </row>
    <row r="3805" spans="1:9" ht="30">
      <c r="A3805" s="3" t="s">
        <v>185</v>
      </c>
      <c r="B3805" s="3" t="s">
        <v>15728</v>
      </c>
      <c r="C3805" s="3" t="s">
        <v>15729</v>
      </c>
      <c r="D3805" s="3" t="s">
        <v>15730</v>
      </c>
      <c r="E3805" s="3" t="s">
        <v>15731</v>
      </c>
      <c r="F3805" s="3" t="s">
        <v>15732</v>
      </c>
      <c r="G3805" s="3" t="str">
        <f ca="1">IFERROR(__xludf.DUMMYFUNCTION("googletranslate(D3805,""en"",""ja"")"),"がんの起源は知られている。がんの起源の既知の指標")</f>
        <v>がんの起源は知られている。がんの起源の既知の指標</v>
      </c>
      <c r="H3805" s="3" t="str">
        <f ca="1">IFERROR(__xludf.DUMMYFUNCTION("googletranslate(E3805,""en"",""ja"")"),"がんの原発部位がわかっているかどうかを示す指標。")</f>
        <v>がんの原発部位がわかっているかどうかを示す指標。</v>
      </c>
      <c r="I3805" s="3" t="str">
        <f ca="1">IFERROR(__xludf.DUMMYFUNCTION("googletranslate(F3805,""en"",""ja"")"),"がん原発部位の既知の指標")</f>
        <v>がん原発部位の既知の指標</v>
      </c>
    </row>
    <row r="3806" spans="1:9" ht="30">
      <c r="A3806" s="3" t="s">
        <v>210</v>
      </c>
      <c r="B3806" s="3" t="s">
        <v>15733</v>
      </c>
      <c r="C3806" s="3" t="s">
        <v>15734</v>
      </c>
      <c r="D3806" s="3" t="s">
        <v>15734</v>
      </c>
      <c r="E3806" s="3" t="s">
        <v>15735</v>
      </c>
      <c r="F3806" s="3" t="s">
        <v>15736</v>
      </c>
      <c r="G3806" s="3" t="str">
        <f ca="1">IFERROR(__xludf.DUMMYFUNCTION("googletranslate(D3806,""en"",""ja"")"),"臓器拡大、定量的")</f>
        <v>臓器拡大、定量的</v>
      </c>
      <c r="H3806" s="3" t="str">
        <f ca="1">IFERROR(__xludf.DUMMYFUNCTION("googletranslate(E3806,""en"",""ja"")"),"定義された値と比較した、臓器のサイズまたは寸法の増加の定量的測定。")</f>
        <v>定義された値と比較した、臓器のサイズまたは寸法の増加の定量的測定。</v>
      </c>
      <c r="I3806" s="3" t="str">
        <f ca="1">IFERROR(__xludf.DUMMYFUNCTION("googletranslate(F3806,""en"",""ja"")"),"臓器拡大の定量的評価")</f>
        <v>臓器拡大の定量的評価</v>
      </c>
    </row>
    <row r="3807" spans="1:9">
      <c r="A3807" s="3" t="s">
        <v>6</v>
      </c>
      <c r="B3807" s="3" t="s">
        <v>15737</v>
      </c>
      <c r="C3807" s="3" t="s">
        <v>15738</v>
      </c>
      <c r="D3807" s="3" t="s">
        <v>15738</v>
      </c>
      <c r="E3807" s="3" t="s">
        <v>15739</v>
      </c>
      <c r="F3807" s="3" t="s">
        <v>15740</v>
      </c>
      <c r="G3807" s="3" t="str">
        <f ca="1">IFERROR(__xludf.DUMMYFUNCTION("googletranslate(D3807,""en"",""ja"")"),"オルニチン")</f>
        <v>オルニチン</v>
      </c>
      <c r="H3807" s="3" t="str">
        <f ca="1">IFERROR(__xludf.DUMMYFUNCTION("googletranslate(E3807,""en"",""ja"")"),"生物学的標本中のオルニチンの測定。")</f>
        <v>生物学的標本中のオルニチンの測定。</v>
      </c>
      <c r="I3807" s="3" t="str">
        <f ca="1">IFERROR(__xludf.DUMMYFUNCTION("googletranslate(F3807,""en"",""ja"")"),"オルニチン測定")</f>
        <v>オルニチン測定</v>
      </c>
    </row>
    <row r="3808" spans="1:9">
      <c r="A3808" s="3" t="s">
        <v>210</v>
      </c>
      <c r="B3808" s="3" t="s">
        <v>15741</v>
      </c>
      <c r="C3808" s="3" t="s">
        <v>15742</v>
      </c>
      <c r="D3808" s="3" t="s">
        <v>15742</v>
      </c>
      <c r="E3808" s="3" t="s">
        <v>15743</v>
      </c>
      <c r="F3808" s="3" t="s">
        <v>15742</v>
      </c>
      <c r="G3808" s="3" t="str">
        <f ca="1">IFERROR(__xludf.DUMMYFUNCTION("googletranslate(D3808,""en"",""ja"")"),"臓器の状態")</f>
        <v>臓器の状態</v>
      </c>
      <c r="H3808" s="3" t="str">
        <f ca="1">IFERROR(__xludf.DUMMYFUNCTION("googletranslate(E3808,""en"",""ja"")"),"特定の時点における臓器の状態または状態。")</f>
        <v>特定の時点における臓器の状態または状態。</v>
      </c>
      <c r="I3808" s="3" t="str">
        <f ca="1">IFERROR(__xludf.DUMMYFUNCTION("googletranslate(F3808,""en"",""ja"")"),"臓器の状態")</f>
        <v>臓器の状態</v>
      </c>
    </row>
    <row r="3809" spans="1:9" ht="30">
      <c r="A3809" s="3" t="s">
        <v>210</v>
      </c>
      <c r="B3809" s="3" t="s">
        <v>15744</v>
      </c>
      <c r="C3809" s="3" t="s">
        <v>15745</v>
      </c>
      <c r="D3809" s="3" t="s">
        <v>15745</v>
      </c>
      <c r="E3809" s="3" t="s">
        <v>15746</v>
      </c>
      <c r="F3809" s="3" t="s">
        <v>15747</v>
      </c>
      <c r="G3809" s="3" t="str">
        <f ca="1">IFERROR(__xludf.DUMMYFUNCTION("googletranslate(D3809,""en"",""ja"")"),"臓器の垂直方向の長さ")</f>
        <v>臓器の垂直方向の長さ</v>
      </c>
      <c r="H3809" s="3" t="str">
        <f ca="1">IFERROR(__xludf.DUMMYFUNCTION("googletranslate(E3809,""en"",""ja"")"),"臓器の一端から他端までの頭尾軸に沿った直線範囲。 (NCI)")</f>
        <v>臓器の一端から他端までの頭尾軸に沿った直線範囲。 (NCI)</v>
      </c>
      <c r="I3809" s="3" t="str">
        <f ca="1">IFERROR(__xludf.DUMMYFUNCTION("googletranslate(F3809,""en"",""ja"")"),"臓器頭尾長測定")</f>
        <v>臓器頭尾長測定</v>
      </c>
    </row>
    <row r="3810" spans="1:9">
      <c r="A3810" s="3" t="s">
        <v>6</v>
      </c>
      <c r="B3810" s="3" t="s">
        <v>15748</v>
      </c>
      <c r="C3810" s="3" t="s">
        <v>15749</v>
      </c>
      <c r="D3810" s="3" t="s">
        <v>15749</v>
      </c>
      <c r="E3810" s="3" t="s">
        <v>15750</v>
      </c>
      <c r="F3810" s="3" t="s">
        <v>15751</v>
      </c>
      <c r="G3810" s="3" t="str">
        <f ca="1">IFERROR(__xludf.DUMMYFUNCTION("googletranslate(D3810,""en"",""ja"")"),"オンコスタチンM")</f>
        <v>オンコスタチンM</v>
      </c>
      <c r="H3810" s="3" t="str">
        <f ca="1">IFERROR(__xludf.DUMMYFUNCTION("googletranslate(E3810,""en"",""ja"")"),"生物学的標本中のオンコスタチン M の測定。")</f>
        <v>生物学的標本中のオンコスタチン M の測定。</v>
      </c>
      <c r="I3810" s="3" t="str">
        <f ca="1">IFERROR(__xludf.DUMMYFUNCTION("googletranslate(F3810,""en"",""ja"")"),"オンコスタチンMの測定")</f>
        <v>オンコスタチンMの測定</v>
      </c>
    </row>
    <row r="3811" spans="1:9" ht="30">
      <c r="A3811" s="3" t="s">
        <v>6</v>
      </c>
      <c r="B3811" s="3" t="s">
        <v>15752</v>
      </c>
      <c r="C3811" s="3" t="s">
        <v>15753</v>
      </c>
      <c r="D3811" s="3" t="s">
        <v>15753</v>
      </c>
      <c r="E3811" s="3" t="s">
        <v>15754</v>
      </c>
      <c r="F3811" s="3" t="s">
        <v>15755</v>
      </c>
      <c r="G3811" s="3" t="str">
        <f ca="1">IFERROR(__xludf.DUMMYFUNCTION("googletranslate(D3811,""en"",""ja"")"),"浸透圧浸透圧")</f>
        <v>浸透圧浸透圧</v>
      </c>
      <c r="H3811" s="3" t="str">
        <f ca="1">IFERROR(__xludf.DUMMYFUNCTION("googletranslate(E3811,""en"",""ja"")"),"生物学的試料の単位あたりの溶質のオスモルの測定値。")</f>
        <v>生物学的試料の単位あたりの溶質のオスモルの測定値。</v>
      </c>
      <c r="I3811" s="3" t="str">
        <f ca="1">IFERROR(__xludf.DUMMYFUNCTION("googletranslate(F3811,""en"",""ja"")"),"浸透圧測定")</f>
        <v>浸透圧測定</v>
      </c>
    </row>
    <row r="3812" spans="1:9" ht="30">
      <c r="A3812" s="3" t="s">
        <v>6</v>
      </c>
      <c r="B3812" s="3" t="s">
        <v>15756</v>
      </c>
      <c r="C3812" s="3" t="s">
        <v>15757</v>
      </c>
      <c r="D3812" s="3" t="s">
        <v>15757</v>
      </c>
      <c r="E3812" s="3" t="s">
        <v>15758</v>
      </c>
      <c r="F3812" s="3" t="s">
        <v>15759</v>
      </c>
      <c r="G3812" s="3" t="str">
        <f ca="1">IFERROR(__xludf.DUMMYFUNCTION("googletranslate(D3812,""en"",""ja"")"),"浸透圧")</f>
        <v>浸透圧</v>
      </c>
      <c r="H3812" s="3" t="str">
        <f ca="1">IFERROR(__xludf.DUMMYFUNCTION("googletranslate(E3812,""en"",""ja"")"),"溶液 1 リットルあたりの溶質のオスモルの測定値。")</f>
        <v>溶液 1 リットルあたりの溶質のオスモルの測定値。</v>
      </c>
      <c r="I3812" s="3" t="str">
        <f ca="1">IFERROR(__xludf.DUMMYFUNCTION("googletranslate(F3812,""en"",""ja"")"),"浸透圧測定")</f>
        <v>浸透圧測定</v>
      </c>
    </row>
    <row r="3813" spans="1:9">
      <c r="A3813" s="3" t="s">
        <v>6</v>
      </c>
      <c r="B3813" s="3" t="s">
        <v>15760</v>
      </c>
      <c r="C3813" s="3" t="s">
        <v>15761</v>
      </c>
      <c r="D3813" s="3" t="s">
        <v>15761</v>
      </c>
      <c r="E3813" s="3" t="s">
        <v>15762</v>
      </c>
      <c r="F3813" s="3" t="s">
        <v>15763</v>
      </c>
      <c r="G3813" s="3" t="str">
        <f ca="1">IFERROR(__xludf.DUMMYFUNCTION("googletranslate(D3813,""en"",""ja"")"),"オステオカルシン")</f>
        <v>オステオカルシン</v>
      </c>
      <c r="H3813" s="3" t="str">
        <f ca="1">IFERROR(__xludf.DUMMYFUNCTION("googletranslate(E3813,""en"",""ja"")"),"生物学的標本中のオステオカルシンの測定。")</f>
        <v>生物学的標本中のオステオカルシンの測定。</v>
      </c>
      <c r="I3813" s="3" t="str">
        <f ca="1">IFERROR(__xludf.DUMMYFUNCTION("googletranslate(F3813,""en"",""ja"")"),"オステオカルシン測定")</f>
        <v>オステオカルシン測定</v>
      </c>
    </row>
    <row r="3814" spans="1:9" ht="45">
      <c r="A3814" s="3" t="s">
        <v>6</v>
      </c>
      <c r="B3814" s="3" t="s">
        <v>15764</v>
      </c>
      <c r="C3814" s="3" t="s">
        <v>15765</v>
      </c>
      <c r="D3814" s="3" t="s">
        <v>15766</v>
      </c>
      <c r="E3814" s="3" t="s">
        <v>15767</v>
      </c>
      <c r="F3814" s="3" t="s">
        <v>15768</v>
      </c>
      <c r="G3814" s="3" t="str">
        <f ca="1">IFERROR(__xludf.DUMMYFUNCTION("googletranslate(D3814,""en"",""ja"")"),"2-メチルアニリン; 2-トルイジン; o-トルイジン;オルト-トルイジン")</f>
        <v>2-メチルアニリン; 2-トルイジン; o-トルイジン;オルト-トルイジン</v>
      </c>
      <c r="H3814" s="3" t="str">
        <f ca="1">IFERROR(__xludf.DUMMYFUNCTION("googletranslate(E3814,""en"",""ja"")"),"検体中の o-トルイジンの測定。")</f>
        <v>検体中の o-トルイジンの測定。</v>
      </c>
      <c r="I3814" s="3" t="str">
        <f ca="1">IFERROR(__xludf.DUMMYFUNCTION("googletranslate(F3814,""en"",""ja"")"),"o-トルイジンの測定")</f>
        <v>o-トルイジンの測定</v>
      </c>
    </row>
    <row r="3815" spans="1:9" ht="45">
      <c r="A3815" s="3" t="s">
        <v>51</v>
      </c>
      <c r="B3815" s="3" t="s">
        <v>15764</v>
      </c>
      <c r="C3815" s="3" t="s">
        <v>15765</v>
      </c>
      <c r="D3815" s="3" t="s">
        <v>15766</v>
      </c>
      <c r="E3815" s="3" t="s">
        <v>15767</v>
      </c>
      <c r="F3815" s="3" t="s">
        <v>15768</v>
      </c>
      <c r="G3815" s="3" t="str">
        <f ca="1">IFERROR(__xludf.DUMMYFUNCTION("googletranslate(D3815,""en"",""ja"")"),"2-メチルアニリン; 2-トルイジン; o-トルイジン;オルト-トルイジン")</f>
        <v>2-メチルアニリン; 2-トルイジン; o-トルイジン;オルト-トルイジン</v>
      </c>
      <c r="H3815" s="3" t="str">
        <f ca="1">IFERROR(__xludf.DUMMYFUNCTION("googletranslate(E3815,""en"",""ja"")"),"検体中の o-トルイジンの測定。")</f>
        <v>検体中の o-トルイジンの測定。</v>
      </c>
      <c r="I3815" s="3" t="str">
        <f ca="1">IFERROR(__xludf.DUMMYFUNCTION("googletranslate(F3815,""en"",""ja"")"),"o-トルイジンの測定")</f>
        <v>o-トルイジンの測定</v>
      </c>
    </row>
    <row r="3816" spans="1:9" ht="60">
      <c r="A3816" s="3" t="s">
        <v>210</v>
      </c>
      <c r="B3816" s="3" t="s">
        <v>15769</v>
      </c>
      <c r="C3816" s="3" t="s">
        <v>15770</v>
      </c>
      <c r="D3816" s="3" t="s">
        <v>15771</v>
      </c>
      <c r="E3816" s="3" t="s">
        <v>15772</v>
      </c>
      <c r="F3816" s="3" t="s">
        <v>15773</v>
      </c>
      <c r="G3816" s="3" t="str">
        <f ca="1">IFERROR(__xludf.DUMMYFUNCTION("googletranslate(D3816,""en"",""ja"")"),"ベースラインと比較した全体的なトレーサー摂取量。 BL と比較した全体的なトレーサーの取り込み量")</f>
        <v>ベースラインと比較した全体的なトレーサー摂取量。 BL と比較した全体的なトレーサーの取り込み量</v>
      </c>
      <c r="H3816" s="3" t="str">
        <f ca="1">IFERROR(__xludf.DUMMYFUNCTION("googletranslate(E3816,""en"",""ja"")"),"ベースラインと比較した、トレーサー取り込みの程度と強度の組み合わせを視覚的に評価したもの。")</f>
        <v>ベースラインと比較した、トレーサー取り込みの程度と強度の組み合わせを視覚的に評価したもの。</v>
      </c>
      <c r="I3816" s="3" t="str">
        <f ca="1">IFERROR(__xludf.DUMMYFUNCTION("googletranslate(F3816,""en"",""ja"")"),"ベースラインと比較した全体的なトレーサー摂取量")</f>
        <v>ベースラインと比較した全体的なトレーサー摂取量</v>
      </c>
    </row>
    <row r="3817" spans="1:9" ht="30">
      <c r="A3817" s="3" t="s">
        <v>210</v>
      </c>
      <c r="B3817" s="3" t="s">
        <v>15774</v>
      </c>
      <c r="C3817" s="3" t="s">
        <v>15775</v>
      </c>
      <c r="D3817" s="3" t="s">
        <v>15775</v>
      </c>
      <c r="E3817" s="3" t="s">
        <v>15776</v>
      </c>
      <c r="F3817" s="3" t="s">
        <v>15775</v>
      </c>
      <c r="G3817" s="3" t="str">
        <f ca="1">IFERROR(__xludf.DUMMYFUNCTION("googletranslate(D3817,""en"",""ja"")"),"天底と比較した全体的なトレーサー摂取量")</f>
        <v>天底と比較した全体的なトレーサー摂取量</v>
      </c>
      <c r="H3817" s="3" t="str">
        <f ca="1">IFERROR(__xludf.DUMMYFUNCTION("googletranslate(E3817,""en"",""ja"")"),"最下点と比較した、トレーサー取り込みの程度と強度の組み合わせを視覚的に評価したもの。")</f>
        <v>最下点と比較した、トレーサー取り込みの程度と強度の組み合わせを視覚的に評価したもの。</v>
      </c>
      <c r="I3817" s="3" t="str">
        <f ca="1">IFERROR(__xludf.DUMMYFUNCTION("googletranslate(F3817,""en"",""ja"")"),"天底と比較した全体的なトレーサー摂取量")</f>
        <v>天底と比較した全体的なトレーサー摂取量</v>
      </c>
    </row>
    <row r="3818" spans="1:9" ht="45">
      <c r="A3818" s="3" t="s">
        <v>185</v>
      </c>
      <c r="B3818" s="3" t="s">
        <v>15777</v>
      </c>
      <c r="C3818" s="3" t="s">
        <v>15778</v>
      </c>
      <c r="D3818" s="3" t="s">
        <v>15778</v>
      </c>
      <c r="E3818" s="3" t="s">
        <v>15779</v>
      </c>
      <c r="F3818" s="3" t="s">
        <v>15780</v>
      </c>
      <c r="G3818" s="3" t="str">
        <f ca="1">IFERROR(__xludf.DUMMYFUNCTION("googletranslate(D3818,""en"",""ja"")"),"単焦点または多焦点の発症")</f>
        <v>単焦点または多焦点の発症</v>
      </c>
      <c r="H3818" s="3" t="str">
        <f ca="1">IFERROR(__xludf.DUMMYFUNCTION("googletranslate(E3818,""en"",""ja"")"),"特定の疾患の診断時に中枢神経系に存在する病変の数を分類したもの。")</f>
        <v>特定の疾患の診断時に中枢神経系に存在する病変の数を分類したもの。</v>
      </c>
      <c r="I3818" s="3" t="str">
        <f ca="1">IFERROR(__xludf.DUMMYFUNCTION("googletranslate(F3818,""en"",""ja"")"),"病気の発症の焦点")</f>
        <v>病気の発症の焦点</v>
      </c>
    </row>
    <row r="3819" spans="1:9" ht="45">
      <c r="A3819" s="3" t="s">
        <v>6</v>
      </c>
      <c r="B3819" s="3" t="s">
        <v>15781</v>
      </c>
      <c r="C3819" s="3" t="s">
        <v>15782</v>
      </c>
      <c r="D3819" s="3" t="s">
        <v>15782</v>
      </c>
      <c r="E3819" s="3" t="s">
        <v>15783</v>
      </c>
      <c r="F3819" s="3" t="s">
        <v>15784</v>
      </c>
      <c r="G3819" s="3" t="str">
        <f ca="1">IFERROR(__xludf.DUMMYFUNCTION("googletranslate(D3819,""en"",""ja"")"),"卵胞細胞")</f>
        <v>卵胞細胞</v>
      </c>
      <c r="H3819" s="3" t="str">
        <f ca="1">IFERROR(__xludf.DUMMYFUNCTION("googletranslate(E3819,""en"",""ja"")"),"生物学的標本中の卵母細胞（端が丸く、長軸が短軸の 2 倍未満である楕円形の細胞）の測定。")</f>
        <v>生物学的標本中の卵母細胞（端が丸く、長軸が短軸の 2 倍未満である楕円形の細胞）の測定。</v>
      </c>
      <c r="I3819" s="3" t="str">
        <f ca="1">IFERROR(__xludf.DUMMYFUNCTION("googletranslate(F3819,""en"",""ja"")"),"卵胞球数")</f>
        <v>卵胞球数</v>
      </c>
    </row>
    <row r="3820" spans="1:9" ht="30">
      <c r="A3820" s="3" t="s">
        <v>67</v>
      </c>
      <c r="B3820" s="3" t="s">
        <v>15785</v>
      </c>
      <c r="C3820" s="3" t="s">
        <v>15786</v>
      </c>
      <c r="D3820" s="3" t="s">
        <v>15786</v>
      </c>
      <c r="E3820" s="3" t="s">
        <v>15787</v>
      </c>
      <c r="F3820" s="3" t="s">
        <v>15788</v>
      </c>
      <c r="G3820" s="3" t="str">
        <f ca="1">IFERROR(__xludf.DUMMYFUNCTION("googletranslate(D3820,""en"",""ja"")"),"オーヴァとパラサイト")</f>
        <v>オーヴァとパラサイト</v>
      </c>
      <c r="H3820" s="3" t="str">
        <f ca="1">IFERROR(__xludf.DUMMYFUNCTION("googletranslate(E3820,""en"",""ja"")"),"生物学的標本中の寄生虫と卵子の測定。")</f>
        <v>生物学的標本中の寄生虫と卵子の測定。</v>
      </c>
      <c r="I3820" s="3" t="str">
        <f ca="1">IFERROR(__xludf.DUMMYFUNCTION("googletranslate(F3820,""en"",""ja"")"),"卵子と寄生虫の測定")</f>
        <v>卵子と寄生虫の測定</v>
      </c>
    </row>
    <row r="3821" spans="1:9" ht="30">
      <c r="A3821" s="3" t="s">
        <v>6</v>
      </c>
      <c r="B3821" s="3" t="s">
        <v>15789</v>
      </c>
      <c r="C3821" s="3" t="s">
        <v>15790</v>
      </c>
      <c r="D3821" s="3" t="s">
        <v>15790</v>
      </c>
      <c r="E3821" s="3" t="s">
        <v>15791</v>
      </c>
      <c r="F3821" s="3" t="s">
        <v>15792</v>
      </c>
      <c r="G3821" s="3" t="str">
        <f ca="1">IFERROR(__xludf.DUMMYFUNCTION("googletranslate(D3821,""en"",""ja"")"),"シュウ酸塩/クレアチニン")</f>
        <v>シュウ酸塩/クレアチニン</v>
      </c>
      <c r="H3821" s="3" t="str">
        <f ca="1">IFERROR(__xludf.DUMMYFUNCTION("googletranslate(E3821,""en"",""ja"")"),"生物学的標本中のクレアチニンに対するシュウ酸塩の相対測定値 (比率またはパーセンテージ)。")</f>
        <v>生物学的標本中のクレアチニンに対するシュウ酸塩の相対測定値 (比率またはパーセンテージ)。</v>
      </c>
      <c r="I3821" s="3" t="str">
        <f ca="1">IFERROR(__xludf.DUMMYFUNCTION("googletranslate(F3821,""en"",""ja"")"),"シュウ酸塩とクレアチニンの比の測定")</f>
        <v>シュウ酸塩とクレアチニンの比の測定</v>
      </c>
    </row>
    <row r="3822" spans="1:9" ht="45">
      <c r="A3822" s="3" t="s">
        <v>6</v>
      </c>
      <c r="B3822" s="3" t="s">
        <v>15793</v>
      </c>
      <c r="C3822" s="3" t="s">
        <v>15794</v>
      </c>
      <c r="D3822" s="3" t="s">
        <v>15794</v>
      </c>
      <c r="E3822" s="3" t="s">
        <v>15795</v>
      </c>
      <c r="F3822" s="3" t="s">
        <v>15794</v>
      </c>
      <c r="G3822" s="3" t="str">
        <f ca="1">IFERROR(__xludf.DUMMYFUNCTION("googletranslate(D3822,""en"",""ja"")"),"シュウ酸排泄率")</f>
        <v>シュウ酸排泄率</v>
      </c>
      <c r="H3822" s="3" t="str">
        <f ca="1">IFERROR(__xludf.DUMMYFUNCTION("googletranslate(E3822,""en"",""ja"")"),"規定の時間 (例: 1 時間) にわたって生物学的標本中に排泄されるシュウ酸塩の量の測定。")</f>
        <v>規定の時間 (例: 1 時間) にわたって生物学的標本中に排泄されるシュウ酸塩の量の測定。</v>
      </c>
      <c r="I3822" s="3" t="str">
        <f ca="1">IFERROR(__xludf.DUMMYFUNCTION("googletranslate(F3822,""en"",""ja"")"),"シュウ酸排泄率")</f>
        <v>シュウ酸排泄率</v>
      </c>
    </row>
    <row r="3823" spans="1:9">
      <c r="A3823" s="3" t="s">
        <v>6</v>
      </c>
      <c r="B3823" s="3" t="s">
        <v>15796</v>
      </c>
      <c r="C3823" s="3" t="s">
        <v>15797</v>
      </c>
      <c r="D3823" s="3" t="s">
        <v>15798</v>
      </c>
      <c r="E3823" s="3" t="s">
        <v>15799</v>
      </c>
      <c r="F3823" s="3" t="s">
        <v>15800</v>
      </c>
      <c r="G3823" s="3" t="str">
        <f ca="1">IFERROR(__xludf.DUMMYFUNCTION("googletranslate(D3823,""en"",""ja"")"),"エタン二酸塩;シュウ酸塩")</f>
        <v>エタン二酸塩;シュウ酸塩</v>
      </c>
      <c r="H3823" s="3" t="str">
        <f ca="1">IFERROR(__xludf.DUMMYFUNCTION("googletranslate(E3823,""en"",""ja"")"),"生物学的標本中のシュウ酸塩の測定。")</f>
        <v>生物学的標本中のシュウ酸塩の測定。</v>
      </c>
      <c r="I3823" s="3" t="str">
        <f ca="1">IFERROR(__xludf.DUMMYFUNCTION("googletranslate(F3823,""en"",""ja"")"),"シュウ酸塩の測定")</f>
        <v>シュウ酸塩の測定</v>
      </c>
    </row>
    <row r="3824" spans="1:9" ht="30">
      <c r="A3824" s="3" t="s">
        <v>6</v>
      </c>
      <c r="B3824" s="3" t="s">
        <v>15801</v>
      </c>
      <c r="C3824" s="3" t="s">
        <v>15802</v>
      </c>
      <c r="D3824" s="3" t="s">
        <v>15803</v>
      </c>
      <c r="E3824" s="3" t="s">
        <v>15804</v>
      </c>
      <c r="F3824" s="3" t="s">
        <v>15805</v>
      </c>
      <c r="G3824" s="3" t="str">
        <f ca="1">IFERROR(__xludf.DUMMYFUNCTION("googletranslate(D3824,""en"",""ja"")"),"オサンドロロン。オキサンドロロン")</f>
        <v>オサンドロロン。オキサンドロロン</v>
      </c>
      <c r="H3824" s="3" t="str">
        <f ca="1">IFERROR(__xludf.DUMMYFUNCTION("googletranslate(E3824,""en"",""ja"")"),"生物学的標本中のオキサンドロロンの測定。")</f>
        <v>生物学的標本中のオキサンドロロンの測定。</v>
      </c>
      <c r="I3824" s="3" t="str">
        <f ca="1">IFERROR(__xludf.DUMMYFUNCTION("googletranslate(F3824,""en"",""ja"")"),"オキサンドロロンの測定")</f>
        <v>オキサンドロロンの測定</v>
      </c>
    </row>
    <row r="3825" spans="1:9">
      <c r="A3825" s="3" t="s">
        <v>6</v>
      </c>
      <c r="B3825" s="3" t="s">
        <v>15806</v>
      </c>
      <c r="C3825" s="3" t="s">
        <v>15807</v>
      </c>
      <c r="D3825" s="3" t="s">
        <v>15807</v>
      </c>
      <c r="E3825" s="3" t="s">
        <v>15808</v>
      </c>
      <c r="F3825" s="3" t="s">
        <v>15809</v>
      </c>
      <c r="G3825" s="3" t="str">
        <f ca="1">IFERROR(__xludf.DUMMYFUNCTION("googletranslate(D3825,""en"",""ja"")"),"オキシモルフォン")</f>
        <v>オキシモルフォン</v>
      </c>
      <c r="H3825" s="3" t="str">
        <f ca="1">IFERROR(__xludf.DUMMYFUNCTION("googletranslate(E3825,""en"",""ja"")"),"生物学的標本中のオキシモルフォンの測定。")</f>
        <v>生物学的標本中のオキシモルフォンの測定。</v>
      </c>
      <c r="I3825" s="3" t="str">
        <f ca="1">IFERROR(__xludf.DUMMYFUNCTION("googletranslate(F3825,""en"",""ja"")"),"オキシモルホン測定")</f>
        <v>オキシモルホン測定</v>
      </c>
    </row>
    <row r="3826" spans="1:9" ht="30">
      <c r="A3826" s="3" t="s">
        <v>6</v>
      </c>
      <c r="B3826" s="3" t="s">
        <v>15810</v>
      </c>
      <c r="C3826" s="3" t="s">
        <v>15811</v>
      </c>
      <c r="D3826" s="3" t="s">
        <v>15811</v>
      </c>
      <c r="E3826" s="3" t="s">
        <v>15812</v>
      </c>
      <c r="F3826" s="3" t="s">
        <v>15813</v>
      </c>
      <c r="G3826" s="3" t="str">
        <f ca="1">IFERROR(__xludf.DUMMYFUNCTION("googletranslate(D3826,""en"",""ja"")"),"オキシメステロン")</f>
        <v>オキシメステロン</v>
      </c>
      <c r="H3826" s="3" t="str">
        <f ca="1">IFERROR(__xludf.DUMMYFUNCTION("googletranslate(E3826,""en"",""ja"")"),"生物学的標本中のオキシメステロンの測定。")</f>
        <v>生物学的標本中のオキシメステロンの測定。</v>
      </c>
      <c r="I3826" s="3" t="str">
        <f ca="1">IFERROR(__xludf.DUMMYFUNCTION("googletranslate(F3826,""en"",""ja"")"),"オキシメステロン測定")</f>
        <v>オキシメステロン測定</v>
      </c>
    </row>
    <row r="3827" spans="1:9" ht="30">
      <c r="A3827" s="3" t="s">
        <v>6</v>
      </c>
      <c r="B3827" s="3" t="s">
        <v>15814</v>
      </c>
      <c r="C3827" s="3" t="s">
        <v>15815</v>
      </c>
      <c r="D3827" s="3" t="s">
        <v>15816</v>
      </c>
      <c r="E3827" s="3" t="s">
        <v>15817</v>
      </c>
      <c r="F3827" s="3" t="s">
        <v>15818</v>
      </c>
      <c r="G3827" s="3" t="str">
        <f ca="1">IFERROR(__xludf.DUMMYFUNCTION("googletranslate(D3827,""en"",""ja"")"),"オキシメタロン;オキシメテノロン;オキシメトロン")</f>
        <v>オキシメタロン;オキシメテノロン;オキシメトロン</v>
      </c>
      <c r="H3827" s="3" t="str">
        <f ca="1">IFERROR(__xludf.DUMMYFUNCTION("googletranslate(E3827,""en"",""ja"")"),"生物学的標本中のオキシメトロンの測定。")</f>
        <v>生物学的標本中のオキシメトロンの測定。</v>
      </c>
      <c r="I3827" s="3" t="str">
        <f ca="1">IFERROR(__xludf.DUMMYFUNCTION("googletranslate(F3827,""en"",""ja"")"),"オキシメトロンの測定")</f>
        <v>オキシメトロンの測定</v>
      </c>
    </row>
    <row r="3828" spans="1:9" ht="45">
      <c r="A3828" s="3" t="s">
        <v>6</v>
      </c>
      <c r="B3828" s="3" t="s">
        <v>15819</v>
      </c>
      <c r="C3828" s="3" t="s">
        <v>15820</v>
      </c>
      <c r="D3828" s="3" t="s">
        <v>15820</v>
      </c>
      <c r="E3828" s="3" t="s">
        <v>15821</v>
      </c>
      <c r="F3828" s="3" t="s">
        <v>15822</v>
      </c>
      <c r="G3828" s="3" t="str">
        <f ca="1">IFERROR(__xludf.DUMMYFUNCTION("googletranslate(D3828,""en"",""ja"")"),"酸素容量")</f>
        <v>酸素容量</v>
      </c>
      <c r="H3828" s="3" t="str">
        <f ca="1">IFERROR(__xludf.DUMMYFUNCTION("googletranslate(E3828,""en"",""ja"")"),"血液中のヘモグロビンと化学的に結合できる酸素の最大量の測定値。")</f>
        <v>血液中のヘモグロビンと化学的に結合できる酸素の最大量の測定値。</v>
      </c>
      <c r="I3828" s="3" t="str">
        <f ca="1">IFERROR(__xludf.DUMMYFUNCTION("googletranslate(F3828,""en"",""ja"")"),"酸素容量測定")</f>
        <v>酸素容量測定</v>
      </c>
    </row>
    <row r="3829" spans="1:9" ht="30">
      <c r="A3829" s="3" t="s">
        <v>6</v>
      </c>
      <c r="B3829" s="3" t="s">
        <v>15823</v>
      </c>
      <c r="C3829" s="3" t="s">
        <v>15824</v>
      </c>
      <c r="D3829" s="3" t="s">
        <v>15825</v>
      </c>
      <c r="E3829" s="3" t="s">
        <v>15826</v>
      </c>
      <c r="F3829" s="3" t="s">
        <v>15827</v>
      </c>
      <c r="G3829" s="3" t="str">
        <f ca="1">IFERROR(__xludf.DUMMYFUNCTION("googletranslate(D3829,""en"",""ja"")"),"オキシコドン;オキシコンチン")</f>
        <v>オキシコドン;オキシコンチン</v>
      </c>
      <c r="H3829" s="3" t="str">
        <f ca="1">IFERROR(__xludf.DUMMYFUNCTION("googletranslate(E3829,""en"",""ja"")"),"生物学的標本中に存在するオキシコドンの測定。")</f>
        <v>生物学的標本中に存在するオキシコドンの測定。</v>
      </c>
      <c r="I3829" s="3" t="str">
        <f ca="1">IFERROR(__xludf.DUMMYFUNCTION("googletranslate(F3829,""en"",""ja"")"),"オキシコドンの測定")</f>
        <v>オキシコドンの測定</v>
      </c>
    </row>
    <row r="3830" spans="1:9" ht="30">
      <c r="A3830" s="3" t="s">
        <v>490</v>
      </c>
      <c r="B3830" s="3" t="s">
        <v>15828</v>
      </c>
      <c r="C3830" s="3" t="s">
        <v>15829</v>
      </c>
      <c r="D3830" s="3" t="s">
        <v>15829</v>
      </c>
      <c r="E3830" s="3" t="s">
        <v>15830</v>
      </c>
      <c r="F3830" s="3" t="s">
        <v>15829</v>
      </c>
      <c r="G3830" s="3" t="str">
        <f ca="1">IFERROR(__xludf.DUMMYFUNCTION("googletranslate(D3830,""en"",""ja"")"),"酸素パルス")</f>
        <v>酸素パルス</v>
      </c>
      <c r="H3830" s="3" t="str">
        <f ca="1">IFERROR(__xludf.DUMMYFUNCTION("googletranslate(E3830,""en"",""ja"")"),"安静時に身体が消費する心拍ごとの酸素の量。")</f>
        <v>安静時に身体が消費する心拍ごとの酸素の量。</v>
      </c>
      <c r="I3830" s="3" t="str">
        <f ca="1">IFERROR(__xludf.DUMMYFUNCTION("googletranslate(F3830,""en"",""ja"")"),"酸素パルス")</f>
        <v>酸素パルス</v>
      </c>
    </row>
    <row r="3831" spans="1:9" ht="30">
      <c r="A3831" s="3" t="s">
        <v>490</v>
      </c>
      <c r="B3831" s="3" t="s">
        <v>15831</v>
      </c>
      <c r="C3831" s="3" t="s">
        <v>15832</v>
      </c>
      <c r="D3831" s="3" t="s">
        <v>15832</v>
      </c>
      <c r="E3831" s="3" t="s">
        <v>15833</v>
      </c>
      <c r="F3831" s="3" t="s">
        <v>15834</v>
      </c>
      <c r="G3831" s="3" t="str">
        <f ca="1">IFERROR(__xludf.DUMMYFUNCTION("googletranslate(D3831,""en"",""ja"")"),"酸素飽和度")</f>
        <v>酸素飽和度</v>
      </c>
      <c r="H3831" s="3" t="str">
        <f ca="1">IFERROR(__xludf.DUMMYFUNCTION("googletranslate(E3831,""en"",""ja"")"),"一定量の血液の酸素ヘモグロビン飽和度の測定値。")</f>
        <v>一定量の血液の酸素ヘモグロビン飽和度の測定値。</v>
      </c>
      <c r="I3831" s="3" t="str">
        <f ca="1">IFERROR(__xludf.DUMMYFUNCTION("googletranslate(F3831,""en"",""ja"")"),"酸素飽和度測定")</f>
        <v>酸素飽和度測定</v>
      </c>
    </row>
    <row r="3832" spans="1:9" ht="30">
      <c r="A3832" s="3" t="s">
        <v>118</v>
      </c>
      <c r="B3832" s="3" t="s">
        <v>15831</v>
      </c>
      <c r="C3832" s="3" t="s">
        <v>15832</v>
      </c>
      <c r="D3832" s="3" t="s">
        <v>15832</v>
      </c>
      <c r="E3832" s="3" t="s">
        <v>15833</v>
      </c>
      <c r="F3832" s="3" t="s">
        <v>15834</v>
      </c>
      <c r="G3832" s="3" t="str">
        <f ca="1">IFERROR(__xludf.DUMMYFUNCTION("googletranslate(D3832,""en"",""ja"")"),"酸素飽和度")</f>
        <v>酸素飽和度</v>
      </c>
      <c r="H3832" s="3" t="str">
        <f ca="1">IFERROR(__xludf.DUMMYFUNCTION("googletranslate(E3832,""en"",""ja"")"),"一定量の血液の酸素ヘモグロビン飽和度の測定値。")</f>
        <v>一定量の血液の酸素ヘモグロビン飽和度の測定値。</v>
      </c>
      <c r="I3832" s="3" t="str">
        <f ca="1">IFERROR(__xludf.DUMMYFUNCTION("googletranslate(F3832,""en"",""ja"")"),"酸素飽和度測定")</f>
        <v>酸素飽和度測定</v>
      </c>
    </row>
    <row r="3833" spans="1:9" ht="30">
      <c r="A3833" s="3" t="s">
        <v>6</v>
      </c>
      <c r="B3833" s="3" t="s">
        <v>15831</v>
      </c>
      <c r="C3833" s="3" t="s">
        <v>15832</v>
      </c>
      <c r="D3833" s="3" t="s">
        <v>15832</v>
      </c>
      <c r="E3833" s="3" t="s">
        <v>15833</v>
      </c>
      <c r="F3833" s="3" t="s">
        <v>15834</v>
      </c>
      <c r="G3833" s="3" t="str">
        <f ca="1">IFERROR(__xludf.DUMMYFUNCTION("googletranslate(D3833,""en"",""ja"")"),"酸素飽和度")</f>
        <v>酸素飽和度</v>
      </c>
      <c r="H3833" s="3" t="str">
        <f ca="1">IFERROR(__xludf.DUMMYFUNCTION("googletranslate(E3833,""en"",""ja"")"),"一定量の血液の酸素ヘモグロビン飽和度の測定値。")</f>
        <v>一定量の血液の酸素ヘモグロビン飽和度の測定値。</v>
      </c>
      <c r="I3833" s="3" t="str">
        <f ca="1">IFERROR(__xludf.DUMMYFUNCTION("googletranslate(F3833,""en"",""ja"")"),"酸素飽和度測定")</f>
        <v>酸素飽和度測定</v>
      </c>
    </row>
    <row r="3834" spans="1:9" ht="30">
      <c r="A3834" s="3" t="s">
        <v>6</v>
      </c>
      <c r="B3834" s="3" t="s">
        <v>15835</v>
      </c>
      <c r="C3834" s="3" t="s">
        <v>15836</v>
      </c>
      <c r="D3834" s="3" t="s">
        <v>15837</v>
      </c>
      <c r="E3834" s="3" t="s">
        <v>15838</v>
      </c>
      <c r="F3834" s="3" t="s">
        <v>15839</v>
      </c>
      <c r="G3834" s="3" t="str">
        <f ca="1">IFERROR(__xludf.DUMMYFUNCTION("googletranslate(D3834,""en"",""ja"")"),"オキシトシン;オキシトキシン")</f>
        <v>オキシトシン;オキシトキシン</v>
      </c>
      <c r="H3834" s="3" t="str">
        <f ca="1">IFERROR(__xludf.DUMMYFUNCTION("googletranslate(E3834,""en"",""ja"")"),"生物学的標本中のオキシトシン ホルモンの測定。")</f>
        <v>生物学的標本中のオキシトシン ホルモンの測定。</v>
      </c>
      <c r="I3834" s="3" t="str">
        <f ca="1">IFERROR(__xludf.DUMMYFUNCTION("googletranslate(F3834,""en"",""ja"")"),"オキシトシン測定")</f>
        <v>オキシトシン測定</v>
      </c>
    </row>
    <row r="3835" spans="1:9" ht="30">
      <c r="A3835" s="3" t="s">
        <v>6</v>
      </c>
      <c r="B3835" s="3" t="s">
        <v>15840</v>
      </c>
      <c r="C3835" s="3" t="s">
        <v>15841</v>
      </c>
      <c r="D3835" s="3" t="s">
        <v>15841</v>
      </c>
      <c r="E3835" s="3" t="s">
        <v>15842</v>
      </c>
      <c r="F3835" s="3" t="s">
        <v>15843</v>
      </c>
      <c r="G3835" s="3" t="str">
        <f ca="1">IFERROR(__xludf.DUMMYFUNCTION("googletranslate(D3835,""en"",""ja"")"),"オキサゼパム")</f>
        <v>オキサゼパム</v>
      </c>
      <c r="H3835" s="3" t="str">
        <f ca="1">IFERROR(__xludf.DUMMYFUNCTION("googletranslate(E3835,""en"",""ja"")"),"生物学的標本中に存在するオキサゼパムの測定。")</f>
        <v>生物学的標本中に存在するオキサゼパムの測定。</v>
      </c>
      <c r="I3835" s="3" t="str">
        <f ca="1">IFERROR(__xludf.DUMMYFUNCTION("googletranslate(F3835,""en"",""ja"")"),"オキサゼパムの測定")</f>
        <v>オキサゼパムの測定</v>
      </c>
    </row>
    <row r="3836" spans="1:9" ht="45">
      <c r="A3836" s="3" t="s">
        <v>985</v>
      </c>
      <c r="B3836" s="3" t="s">
        <v>15844</v>
      </c>
      <c r="C3836" s="3" t="s">
        <v>15845</v>
      </c>
      <c r="D3836" s="3" t="s">
        <v>15845</v>
      </c>
      <c r="E3836" s="3" t="s">
        <v>15846</v>
      </c>
      <c r="F3836" s="3" t="s">
        <v>15845</v>
      </c>
      <c r="G3836" s="3" t="str">
        <f ca="1">IFERROR(__xludf.DUMMYFUNCTION("googletranslate(D3836,""en"",""ja"")"),"P波軸")</f>
        <v>P波軸</v>
      </c>
      <c r="H3836" s="3" t="str">
        <f ca="1">IFERROR(__xludf.DUMMYFUNCTION("googletranslate(E3836,""en"",""ja"")"),"等電ベースラインからの P 波の最大偏差で評価された心電図ベクトルの数値表現。通常は前額面について報告されます。")</f>
        <v>等電ベースラインからの P 波の最大偏差で評価された心電図ベクトルの数値表現。通常は前額面について報告されます。</v>
      </c>
      <c r="I3836" s="3" t="str">
        <f ca="1">IFERROR(__xludf.DUMMYFUNCTION("googletranslate(F3836,""en"",""ja"")"),"P波軸")</f>
        <v>P波軸</v>
      </c>
    </row>
    <row r="3837" spans="1:9" ht="60">
      <c r="A3837" s="3" t="s">
        <v>159</v>
      </c>
      <c r="B3837" s="3" t="s">
        <v>15847</v>
      </c>
      <c r="C3837" s="3" t="s">
        <v>15848</v>
      </c>
      <c r="D3837" s="3" t="s">
        <v>15848</v>
      </c>
      <c r="E3837" s="3" t="s">
        <v>15849</v>
      </c>
      <c r="F3837" s="3" t="s">
        <v>15850</v>
      </c>
      <c r="G3837" s="3" t="str">
        <f ca="1">IFERROR(__xludf.DUMMYFUNCTION("googletranslate(D3837,""en"",""ja"")"),"P100 振幅")</f>
        <v>P100 振幅</v>
      </c>
      <c r="H3837" s="3" t="str">
        <f ca="1">IFERROR(__xludf.DUMMYFUNCTION("googletranslate(E3837,""en"",""ja"")"),"視覚誘発電位評価波形の P100 波の大きさまたは高さ。この評価では、N75 ネガティブ ピークから P100 ポジティブ ピークまでの高さを計算します。")</f>
        <v>視覚誘発電位評価波形の P100 波の大きさまたは高さ。この評価では、N75 ネガティブ ピークから P100 ポジティブ ピークまでの高さを計算します。</v>
      </c>
      <c r="I3837" s="3" t="str">
        <f ca="1">IFERROR(__xludf.DUMMYFUNCTION("googletranslate(F3837,""en"",""ja"")"),"N75 ～ P100 のピークツーピーク振幅")</f>
        <v>N75 ～ P100 のピークツーピーク振幅</v>
      </c>
    </row>
    <row r="3838" spans="1:9" ht="30">
      <c r="A3838" s="3" t="s">
        <v>159</v>
      </c>
      <c r="B3838" s="3" t="s">
        <v>15851</v>
      </c>
      <c r="C3838" s="3" t="s">
        <v>15852</v>
      </c>
      <c r="D3838" s="3" t="s">
        <v>15852</v>
      </c>
      <c r="E3838" s="3" t="s">
        <v>15853</v>
      </c>
      <c r="F3838" s="3" t="s">
        <v>15852</v>
      </c>
      <c r="G3838" s="3" t="str">
        <f ca="1">IFERROR(__xludf.DUMMYFUNCTION("googletranslate(D3838,""en"",""ja"")"),"P100 レイテンシ")</f>
        <v>P100 レイテンシ</v>
      </c>
      <c r="H3838" s="3" t="str">
        <f ca="1">IFERROR(__xludf.DUMMYFUNCTION("googletranslate(E3838,""en"",""ja"")"),"視覚誘発電位評価波形の P100 波または P1 波の潜時の評価。")</f>
        <v>視覚誘発電位評価波形の P100 波または P1 波の潜時の評価。</v>
      </c>
      <c r="I3838" s="3" t="str">
        <f ca="1">IFERROR(__xludf.DUMMYFUNCTION("googletranslate(F3838,""en"",""ja"")"),"P100 レイテンシ")</f>
        <v>P100 レイテンシ</v>
      </c>
    </row>
    <row r="3839" spans="1:9" ht="60">
      <c r="A3839" s="3" t="s">
        <v>6</v>
      </c>
      <c r="B3839" s="3" t="s">
        <v>15854</v>
      </c>
      <c r="C3839" s="3" t="s">
        <v>15855</v>
      </c>
      <c r="D3839" s="3" t="s">
        <v>15856</v>
      </c>
      <c r="E3839" s="3" t="s">
        <v>15857</v>
      </c>
      <c r="F3839" s="3" t="s">
        <v>15858</v>
      </c>
      <c r="G3839" s="3" t="str">
        <f ca="1">IFERROR(__xludf.DUMMYFUNCTION("googletranslate(D3839,""en"",""ja"")"),"1型プロコラーゲンのアミノ末端プロペプチド。 P1NP アミノターム タイプ 1;プロコラーゲン 1 N 末端プロペプチド")</f>
        <v>1型プロコラーゲンのアミノ末端プロペプチド。 P1NP アミノターム タイプ 1;プロコラーゲン 1 N 末端プロペプチド</v>
      </c>
      <c r="H3839" s="3" t="str">
        <f ca="1">IFERROR(__xludf.DUMMYFUNCTION("googletranslate(E3839,""en"",""ja"")"),"生物学的標本中のプロコラーゲン 1 N 末端プロペプチドの測定。")</f>
        <v>生物学的標本中のプロコラーゲン 1 N 末端プロペプチドの測定。</v>
      </c>
      <c r="I3839" s="3" t="str">
        <f ca="1">IFERROR(__xludf.DUMMYFUNCTION("googletranslate(F3839,""en"",""ja"")"),"プロコラーゲン 1 N 末端プロペプチドの測定")</f>
        <v>プロコラーゲン 1 N 末端プロペプチドの測定</v>
      </c>
    </row>
    <row r="3840" spans="1:9" ht="30">
      <c r="A3840" s="3" t="s">
        <v>6</v>
      </c>
      <c r="B3840" s="3" t="s">
        <v>15859</v>
      </c>
      <c r="C3840" s="3" t="s">
        <v>15860</v>
      </c>
      <c r="D3840" s="3" t="s">
        <v>15860</v>
      </c>
      <c r="E3840" s="3" t="s">
        <v>15861</v>
      </c>
      <c r="F3840" s="3" t="s">
        <v>15862</v>
      </c>
      <c r="G3840" s="3" t="str">
        <f ca="1">IFERROR(__xludf.DUMMYFUNCTION("googletranslate(D3840,""en"",""ja"")"),"プロコラーゲン 3 N 末端プロペプチド")</f>
        <v>プロコラーゲン 3 N 末端プロペプチド</v>
      </c>
      <c r="H3840" s="3" t="str">
        <f ca="1">IFERROR(__xludf.DUMMYFUNCTION("googletranslate(E3840,""en"",""ja"")"),"生物学的標本中のプロコラーゲン 3 N 末端プロペプチドの測定。")</f>
        <v>生物学的標本中のプロコラーゲン 3 N 末端プロペプチドの測定。</v>
      </c>
      <c r="I3840" s="3" t="str">
        <f ca="1">IFERROR(__xludf.DUMMYFUNCTION("googletranslate(F3840,""en"",""ja"")"),"プロコラーゲン 3 N 末端プロペプチドの測定")</f>
        <v>プロコラーゲン 3 N 末端プロペプチドの測定</v>
      </c>
    </row>
    <row r="3841" spans="1:9" ht="30">
      <c r="A3841" s="3" t="s">
        <v>6</v>
      </c>
      <c r="B3841" s="3" t="s">
        <v>15863</v>
      </c>
      <c r="C3841" s="3" t="s">
        <v>15864</v>
      </c>
      <c r="D3841" s="3" t="s">
        <v>15864</v>
      </c>
      <c r="E3841" s="3" t="s">
        <v>15865</v>
      </c>
      <c r="F3841" s="3" t="s">
        <v>15866</v>
      </c>
      <c r="G3841" s="3" t="str">
        <f ca="1">IFERROR(__xludf.DUMMYFUNCTION("googletranslate(D3841,""en"",""ja"")"),"P50 酸素")</f>
        <v>P50 酸素</v>
      </c>
      <c r="H3841" s="3" t="str">
        <f ca="1">IFERROR(__xludf.DUMMYFUNCTION("googletranslate(E3841,""en"",""ja"")"),"生体標本中のヘモグロビンが半分飽和したときの酸素分圧の測定値。")</f>
        <v>生体標本中のヘモグロビンが半分飽和したときの酸素分圧の測定値。</v>
      </c>
      <c r="I3841" s="3" t="str">
        <f ca="1">IFERROR(__xludf.DUMMYFUNCTION("googletranslate(F3841,""en"",""ja"")"),"P50 酸素測定")</f>
        <v>P50 酸素測定</v>
      </c>
    </row>
    <row r="3842" spans="1:9" ht="30">
      <c r="A3842" s="3" t="s">
        <v>6</v>
      </c>
      <c r="B3842" s="3" t="s">
        <v>15867</v>
      </c>
      <c r="C3842" s="3" t="s">
        <v>15868</v>
      </c>
      <c r="D3842" s="3" t="s">
        <v>15869</v>
      </c>
      <c r="E3842" s="3" t="s">
        <v>15870</v>
      </c>
      <c r="F3842" s="3" t="s">
        <v>15871</v>
      </c>
      <c r="G3842" s="3" t="str">
        <f ca="1">IFERROR(__xludf.DUMMYFUNCTION("googletranslate(D3842,""en"",""ja"")"),"パップ;プラスミンα-2抗プラスミン複合体")</f>
        <v>パップ;プラスミンα-2抗プラスミン複合体</v>
      </c>
      <c r="H3842" s="3" t="str">
        <f ca="1">IFERROR(__xludf.DUMMYFUNCTION("googletranslate(E3842,""en"",""ja"")"),"生物学的標本中のプラスミン α-2 抗プラスミン複合体の測定。")</f>
        <v>生物学的標本中のプラスミン α-2 抗プラスミン複合体の測定。</v>
      </c>
      <c r="I3842" s="3" t="str">
        <f ca="1">IFERROR(__xludf.DUMMYFUNCTION("googletranslate(F3842,""en"",""ja"")"),"プラスミンα-2抗プラスミン複合体の測定")</f>
        <v>プラスミンα-2抗プラスミン複合体の測定</v>
      </c>
    </row>
    <row r="3843" spans="1:9" ht="30">
      <c r="A3843" s="3" t="s">
        <v>6</v>
      </c>
      <c r="B3843" s="3" t="s">
        <v>15872</v>
      </c>
      <c r="C3843" s="3" t="s">
        <v>15873</v>
      </c>
      <c r="D3843" s="3" t="s">
        <v>15874</v>
      </c>
      <c r="E3843" s="3" t="s">
        <v>15875</v>
      </c>
      <c r="F3843" s="3" t="s">
        <v>15876</v>
      </c>
      <c r="G3843" s="3" t="str">
        <f ca="1">IFERROR(__xludf.DUMMYFUNCTION("googletranslate(D3843,""en"",""ja"")"),"パラアミノ安息香酸;パラアミノ安息香酸")</f>
        <v>パラアミノ安息香酸;パラアミノ安息香酸</v>
      </c>
      <c r="H3843" s="3" t="str">
        <f ca="1">IFERROR(__xludf.DUMMYFUNCTION("googletranslate(E3843,""en"",""ja"")"),"生物学的標本中のパラアミノ安息香酸塩の測定。")</f>
        <v>生物学的標本中のパラアミノ安息香酸塩の測定。</v>
      </c>
      <c r="I3843" s="3" t="str">
        <f ca="1">IFERROR(__xludf.DUMMYFUNCTION("googletranslate(F3843,""en"",""ja"")"),"パラアミノ安息香酸の測定")</f>
        <v>パラアミノ安息香酸の測定</v>
      </c>
    </row>
    <row r="3844" spans="1:9" ht="30">
      <c r="A3844" s="3" t="s">
        <v>1664</v>
      </c>
      <c r="B3844" s="3" t="s">
        <v>15877</v>
      </c>
      <c r="C3844" s="3" t="s">
        <v>15878</v>
      </c>
      <c r="D3844" s="3" t="s">
        <v>15878</v>
      </c>
      <c r="E3844" s="3" t="s">
        <v>15879</v>
      </c>
      <c r="F3844" s="3" t="s">
        <v>15880</v>
      </c>
      <c r="G3844" s="3" t="str">
        <f ca="1">IFERROR(__xludf.DUMMYFUNCTION("googletranslate(D3844,""en"",""ja"")"),"ペースメーカー")</f>
        <v>ペースメーカー</v>
      </c>
      <c r="H3844" s="3" t="str">
        <f ca="1">IFERROR(__xludf.DUMMYFUNCTION("googletranslate(E3844,""en"",""ja"")"),"人工電子ペーシングの存在を心電図で評価します。")</f>
        <v>人工電子ペーシングの存在を心電図で評価します。</v>
      </c>
      <c r="I3844" s="3" t="str">
        <f ca="1">IFERROR(__xludf.DUMMYFUNCTION("googletranslate(F3844,""en"",""ja"")"),"ペースメーカーの心電図評価")</f>
        <v>ペースメーカーの心電図評価</v>
      </c>
    </row>
    <row r="3845" spans="1:9" ht="30">
      <c r="A3845" s="3" t="s">
        <v>985</v>
      </c>
      <c r="B3845" s="3" t="s">
        <v>15877</v>
      </c>
      <c r="C3845" s="3" t="s">
        <v>15878</v>
      </c>
      <c r="D3845" s="3" t="s">
        <v>15878</v>
      </c>
      <c r="E3845" s="3" t="s">
        <v>15879</v>
      </c>
      <c r="F3845" s="3" t="s">
        <v>15880</v>
      </c>
      <c r="G3845" s="3" t="str">
        <f ca="1">IFERROR(__xludf.DUMMYFUNCTION("googletranslate(D3845,""en"",""ja"")"),"ペースメーカー")</f>
        <v>ペースメーカー</v>
      </c>
      <c r="H3845" s="3" t="str">
        <f ca="1">IFERROR(__xludf.DUMMYFUNCTION("googletranslate(E3845,""en"",""ja"")"),"人工電子ペーシングの存在を心電図で評価します。")</f>
        <v>人工電子ペーシングの存在を心電図で評価します。</v>
      </c>
      <c r="I3845" s="3" t="str">
        <f ca="1">IFERROR(__xludf.DUMMYFUNCTION("googletranslate(F3845,""en"",""ja"")"),"ペースメーカーの心電図評価")</f>
        <v>ペースメーカーの心電図評価</v>
      </c>
    </row>
    <row r="3846" spans="1:9" ht="30">
      <c r="A3846" s="3" t="s">
        <v>67</v>
      </c>
      <c r="B3846" s="3" t="s">
        <v>15881</v>
      </c>
      <c r="C3846" s="3" t="s">
        <v>15882</v>
      </c>
      <c r="D3846" s="3" t="s">
        <v>15882</v>
      </c>
      <c r="E3846" s="3" t="s">
        <v>15883</v>
      </c>
      <c r="F3846" s="3" t="s">
        <v>15884</v>
      </c>
      <c r="G3846" s="3" t="str">
        <f ca="1">IFERROR(__xludf.DUMMYFUNCTION("googletranslate(D3846,""en"",""ja"")"),"緑膿菌")</f>
        <v>緑膿菌</v>
      </c>
      <c r="H3846" s="3" t="str">
        <f ca="1">IFERROR(__xludf.DUMMYFUNCTION("googletranslate(E3846,""en"",""ja"")"),"生物学的標本中の緑膿菌の測定。")</f>
        <v>生物学的標本中の緑膿菌の測定。</v>
      </c>
      <c r="I3846" s="3" t="str">
        <f ca="1">IFERROR(__xludf.DUMMYFUNCTION("googletranslate(F3846,""en"",""ja"")"),"緑膿菌の測定")</f>
        <v>緑膿菌の測定</v>
      </c>
    </row>
    <row r="3847" spans="1:9" ht="30">
      <c r="A3847" s="3" t="s">
        <v>67</v>
      </c>
      <c r="B3847" s="3" t="s">
        <v>15885</v>
      </c>
      <c r="C3847" s="3" t="s">
        <v>15886</v>
      </c>
      <c r="D3847" s="3" t="s">
        <v>15886</v>
      </c>
      <c r="E3847" s="3" t="s">
        <v>15887</v>
      </c>
      <c r="F3847" s="3" t="s">
        <v>15888</v>
      </c>
      <c r="G3847" s="3" t="str">
        <f ca="1">IFERROR(__xludf.DUMMYFUNCTION("googletranslate(D3847,""en"",""ja"")"),"緑膿菌のDNA")</f>
        <v>緑膿菌のDNA</v>
      </c>
      <c r="H3847" s="3" t="str">
        <f ca="1">IFERROR(__xludf.DUMMYFUNCTION("googletranslate(E3847,""en"",""ja"")"),"生物学的標本中の緑膿菌 DNA の測定。")</f>
        <v>生物学的標本中の緑膿菌 DNA の測定。</v>
      </c>
      <c r="I3847" s="3" t="str">
        <f ca="1">IFERROR(__xludf.DUMMYFUNCTION("googletranslate(F3847,""en"",""ja"")"),"緑膿菌DNA測定")</f>
        <v>緑膿菌DNA測定</v>
      </c>
    </row>
    <row r="3848" spans="1:9" ht="30">
      <c r="A3848" s="3" t="s">
        <v>67</v>
      </c>
      <c r="B3848" s="3" t="s">
        <v>15889</v>
      </c>
      <c r="C3848" s="3" t="s">
        <v>15890</v>
      </c>
      <c r="D3848" s="3" t="s">
        <v>15891</v>
      </c>
      <c r="E3848" s="3" t="s">
        <v>15892</v>
      </c>
      <c r="F3848" s="3" t="s">
        <v>15893</v>
      </c>
      <c r="G3848" s="3" t="str">
        <f ca="1">IFERROR(__xludf.DUMMYFUNCTION("googletranslate(D3848,""en"",""ja"")"),"緑膿菌、ムコイド。緑膿菌、ムコイド")</f>
        <v>緑膿菌、ムコイド。緑膿菌、ムコイド</v>
      </c>
      <c r="H3848" s="3" t="str">
        <f ca="1">IFERROR(__xludf.DUMMYFUNCTION("googletranslate(E3848,""en"",""ja"")"),"生物学的標本中の緑膿菌のムコイド株の測定。")</f>
        <v>生物学的標本中の緑膿菌のムコイド株の測定。</v>
      </c>
      <c r="I3848" s="3" t="str">
        <f ca="1">IFERROR(__xludf.DUMMYFUNCTION("googletranslate(F3848,""en"",""ja"")"),"ムコイド緑膿菌の測定")</f>
        <v>ムコイド緑膿菌の測定</v>
      </c>
    </row>
    <row r="3849" spans="1:9" ht="45">
      <c r="A3849" s="3" t="s">
        <v>67</v>
      </c>
      <c r="B3849" s="3" t="s">
        <v>15894</v>
      </c>
      <c r="C3849" s="3" t="s">
        <v>15895</v>
      </c>
      <c r="D3849" s="3" t="s">
        <v>15896</v>
      </c>
      <c r="E3849" s="3" t="s">
        <v>15897</v>
      </c>
      <c r="F3849" s="3" t="s">
        <v>15898</v>
      </c>
      <c r="G3849" s="3" t="str">
        <f ca="1">IFERROR(__xludf.DUMMYFUNCTION("googletranslate(D3849,""en"",""ja"")"),"緑膿菌、非ムコイド。緑膿菌、非ムコイド")</f>
        <v>緑膿菌、非ムコイド。緑膿菌、非ムコイド</v>
      </c>
      <c r="H3849" s="3" t="str">
        <f ca="1">IFERROR(__xludf.DUMMYFUNCTION("googletranslate(E3849,""en"",""ja"")"),"生物学的標本中の緑膿菌の非ムコイド株の測定。")</f>
        <v>生物学的標本中の緑膿菌の非ムコイド株の測定。</v>
      </c>
      <c r="I3849" s="3" t="str">
        <f ca="1">IFERROR(__xludf.DUMMYFUNCTION("googletranslate(F3849,""en"",""ja"")"),"非ムコイド緑膿菌の測定")</f>
        <v>非ムコイド緑膿菌の測定</v>
      </c>
    </row>
    <row r="3850" spans="1:9" ht="60">
      <c r="A3850" s="3" t="s">
        <v>67</v>
      </c>
      <c r="B3850" s="3" t="s">
        <v>15899</v>
      </c>
      <c r="C3850" s="3" t="s">
        <v>15900</v>
      </c>
      <c r="D3850" s="3" t="s">
        <v>15901</v>
      </c>
      <c r="E3850" s="3" t="s">
        <v>15902</v>
      </c>
      <c r="F3850" s="3" t="s">
        <v>15903</v>
      </c>
      <c r="G3850" s="3" t="str">
        <f ca="1">IFERROR(__xludf.DUMMYFUNCTION("googletranslate(D3850,""en"",""ja"")"),"緑膿菌、小さなコロニーの変異体。緑膿菌、SCV。緑膿菌、小コロニー変異体")</f>
        <v>緑膿菌、小さなコロニーの変異体。緑膿菌、SCV。緑膿菌、小コロニー変異体</v>
      </c>
      <c r="H3850" s="3" t="str">
        <f ca="1">IFERROR(__xludf.DUMMYFUNCTION("googletranslate(E3850,""en"",""ja"")"),"生物学的標本中の緑膿菌の小さなコロニー変異株の測定。")</f>
        <v>生物学的標本中の緑膿菌の小さなコロニー変異株の測定。</v>
      </c>
      <c r="I3850" s="3" t="str">
        <f ca="1">IFERROR(__xludf.DUMMYFUNCTION("googletranslate(F3850,""en"",""ja"")"),"小コロニー変異型緑膿菌の測定")</f>
        <v>小コロニー変異型緑膿菌の測定</v>
      </c>
    </row>
    <row r="3851" spans="1:9" ht="30">
      <c r="A3851" s="3" t="s">
        <v>6</v>
      </c>
      <c r="B3851" s="3" t="s">
        <v>15904</v>
      </c>
      <c r="C3851" s="3" t="s">
        <v>15905</v>
      </c>
      <c r="D3851" s="3" t="s">
        <v>15905</v>
      </c>
      <c r="E3851" s="3" t="s">
        <v>15906</v>
      </c>
      <c r="F3851" s="3" t="s">
        <v>15907</v>
      </c>
      <c r="G3851" s="3" t="str">
        <f ca="1">IFERROR(__xludf.DUMMYFUNCTION("googletranslate(D3851,""en"",""ja"")"),"血小板活性化因子")</f>
        <v>血小板活性化因子</v>
      </c>
      <c r="H3851" s="3" t="str">
        <f ca="1">IFERROR(__xludf.DUMMYFUNCTION("googletranslate(E3851,""en"",""ja"")"),"生物学的標本中の血小板活性化因子の測定。")</f>
        <v>生物学的標本中の血小板活性化因子の測定。</v>
      </c>
      <c r="I3851" s="3" t="str">
        <f ca="1">IFERROR(__xludf.DUMMYFUNCTION("googletranslate(F3851,""en"",""ja"")"),"血小板活性化因子測定")</f>
        <v>血小板活性化因子測定</v>
      </c>
    </row>
    <row r="3852" spans="1:9" ht="45">
      <c r="A3852" s="3" t="s">
        <v>67</v>
      </c>
      <c r="B3852" s="3" t="s">
        <v>15908</v>
      </c>
      <c r="C3852" s="3" t="s">
        <v>15909</v>
      </c>
      <c r="D3852" s="3" t="s">
        <v>15910</v>
      </c>
      <c r="E3852" s="3" t="s">
        <v>15911</v>
      </c>
      <c r="F3852" s="3" t="s">
        <v>15912</v>
      </c>
      <c r="G3852" s="3" t="str">
        <f ca="1">IFERROR(__xludf.DUMMYFUNCTION("googletranslate(D3852,""en"",""ja"")"),"マラリア原虫抗原、MLTTRG;マラリア原虫抗原、マルチターゲット")</f>
        <v>マラリア原虫抗原、MLTTRG;マラリア原虫抗原、マルチターゲット</v>
      </c>
      <c r="H3852" s="3" t="str">
        <f ca="1">IFERROR(__xludf.DUMMYFUNCTION("googletranslate(E3852,""en"",""ja"")"),"生物学的標本中のマラリア原虫抗原の測定。これは複数の対象を対象としたテストです。")</f>
        <v>生物学的標本中のマラリア原虫抗原の測定。これは複数の対象を対象としたテストです。</v>
      </c>
      <c r="I3852" s="3" t="str">
        <f ca="1">IFERROR(__xludf.DUMMYFUNCTION("googletranslate(F3852,""en"",""ja"")"),"マラリア原虫抗原の測定")</f>
        <v>マラリア原虫抗原の測定</v>
      </c>
    </row>
    <row r="3853" spans="1:9" ht="90">
      <c r="A3853" s="3" t="s">
        <v>6</v>
      </c>
      <c r="B3853" s="3" t="s">
        <v>15913</v>
      </c>
      <c r="C3853" s="3" t="s">
        <v>15914</v>
      </c>
      <c r="D3853" s="3" t="s">
        <v>15915</v>
      </c>
      <c r="E3853" s="3" t="s">
        <v>15916</v>
      </c>
      <c r="F3853" s="3" t="s">
        <v>15917</v>
      </c>
      <c r="G3853" s="3" t="str">
        <f ca="1">IFERROR(__xludf.DUMMYFUNCTION("googletranslate(D3853,""en"",""ja"")"),"4-アミノ馬尿酸; P-アミノ馬尿酸; P-アミノ馬尿酸; PAH;パラアミノ馬酸塩;パラアミノ馬尿酸;パラアミノ馬尿酸;パラアミノ馬尿酸")</f>
        <v>4-アミノ馬尿酸; P-アミノ馬尿酸; P-アミノ馬尿酸; PAH;パラアミノ馬酸塩;パラアミノ馬尿酸;パラアミノ馬尿酸;パラアミノ馬尿酸</v>
      </c>
      <c r="H3853" s="3" t="str">
        <f ca="1">IFERROR(__xludf.DUMMYFUNCTION("googletranslate(E3853,""en"",""ja"")"),"生物学的標本中のパラアミノ馬尿酸の測定。")</f>
        <v>生物学的標本中のパラアミノ馬尿酸の測定。</v>
      </c>
      <c r="I3853" s="3" t="str">
        <f ca="1">IFERROR(__xludf.DUMMYFUNCTION("googletranslate(F3853,""en"",""ja"")"),"パラアミノ馬尿酸の測定")</f>
        <v>パラアミノ馬尿酸の測定</v>
      </c>
    </row>
    <row r="3854" spans="1:9" ht="120">
      <c r="A3854" s="3" t="s">
        <v>6</v>
      </c>
      <c r="B3854" s="3" t="s">
        <v>15918</v>
      </c>
      <c r="C3854" s="3" t="s">
        <v>15919</v>
      </c>
      <c r="D3854" s="3" t="s">
        <v>15920</v>
      </c>
      <c r="E3854" s="3" t="s">
        <v>15921</v>
      </c>
      <c r="F3854" s="3" t="s">
        <v>15922</v>
      </c>
      <c r="G3854" s="3" t="str">
        <f ca="1">IFERROR(__xludf.DUMMYFUNCTION("googletranslate(D3854,""en"",""ja"")"),"4-アミノ馬尿酸クリアランス;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f>
        <v>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v>
      </c>
      <c r="H3854" s="3" t="str">
        <f ca="1">IFERROR(__xludf.DUMMYFUNCTION("googletranslate(E3854,""en"",""ja"")"),"指定された時間単位 (例: 1 分) の尿の排泄によってパラアミノ馬尿酸が除去される血清または血漿の量の測定値。")</f>
        <v>指定された時間単位 (例: 1 分) の尿の排泄によってパラアミノ馬尿酸が除去される血清または血漿の量の測定値。</v>
      </c>
      <c r="I3854" s="3" t="str">
        <f ca="1">IFERROR(__xludf.DUMMYFUNCTION("googletranslate(F3854,""en"",""ja"")"),"パラアミノ馬酸クリアランス測定")</f>
        <v>パラアミノ馬酸クリアランス測定</v>
      </c>
    </row>
    <row r="3855" spans="1:9" ht="45">
      <c r="A3855" s="3" t="s">
        <v>81</v>
      </c>
      <c r="B3855" s="3" t="s">
        <v>15923</v>
      </c>
      <c r="C3855" s="3" t="s">
        <v>15924</v>
      </c>
      <c r="D3855" s="3" t="s">
        <v>15925</v>
      </c>
      <c r="E3855" s="3" t="s">
        <v>15926</v>
      </c>
      <c r="F3855" s="3" t="s">
        <v>15927</v>
      </c>
      <c r="G3855" s="3" t="str">
        <f ca="1">IFERROR(__xludf.DUMMYFUNCTION("googletranslate(D3855,""en"",""ja"")"),"肺動脈高血圧症インド;肺動脈高血圧症指標")</f>
        <v>肺動脈高血圧症インド;肺動脈高血圧症指標</v>
      </c>
      <c r="H3855" s="3" t="str">
        <f ca="1">IFERROR(__xludf.DUMMYFUNCTION("googletranslate(E3855,""en"",""ja"")"),"肺動脈性肺高血圧症が存在するかどうかの指標。")</f>
        <v>肺動脈性肺高血圧症が存在するかどうかの指標。</v>
      </c>
      <c r="I3855" s="3" t="str">
        <f ca="1">IFERROR(__xludf.DUMMYFUNCTION("googletranslate(F3855,""en"",""ja"")"),"肺動脈高血圧症指標")</f>
        <v>肺動脈高血圧症指標</v>
      </c>
    </row>
    <row r="3856" spans="1:9" ht="30">
      <c r="A3856" s="3" t="s">
        <v>6</v>
      </c>
      <c r="B3856" s="3" t="s">
        <v>15928</v>
      </c>
      <c r="C3856" s="3" t="s">
        <v>15929</v>
      </c>
      <c r="D3856" s="3" t="s">
        <v>15929</v>
      </c>
      <c r="E3856" s="3" t="s">
        <v>15930</v>
      </c>
      <c r="F3856" s="3" t="s">
        <v>15931</v>
      </c>
      <c r="G3856" s="3" t="str">
        <f ca="1">IFERROR(__xludf.DUMMYFUNCTION("googletranslate(D3856,""en"",""ja"")"),"プラスミノーゲン アクティベーター インヒビター-1")</f>
        <v>プラスミノーゲン アクティベーター インヒビター-1</v>
      </c>
      <c r="H3856" s="3" t="str">
        <f ca="1">IFERROR(__xludf.DUMMYFUNCTION("googletranslate(E3856,""en"",""ja"")"),"生物学的標本中のプラスミノーゲン アクティベーター インヒビター 1 の測定。")</f>
        <v>生物学的標本中のプラスミノーゲン アクティベーター インヒビター 1 の測定。</v>
      </c>
      <c r="I3856" s="3" t="str">
        <f ca="1">IFERROR(__xludf.DUMMYFUNCTION("googletranslate(F3856,""en"",""ja"")"),"プラスミノーゲンアクチベーター阻害剤-1の測定")</f>
        <v>プラスミノーゲンアクチベーター阻害剤-1の測定</v>
      </c>
    </row>
    <row r="3857" spans="1:9" ht="45">
      <c r="A3857" s="3" t="s">
        <v>6</v>
      </c>
      <c r="B3857" s="3" t="s">
        <v>15932</v>
      </c>
      <c r="C3857" s="3" t="s">
        <v>15933</v>
      </c>
      <c r="D3857" s="3" t="s">
        <v>15933</v>
      </c>
      <c r="E3857" s="3" t="s">
        <v>15934</v>
      </c>
      <c r="F3857" s="3" t="s">
        <v>15935</v>
      </c>
      <c r="G3857" s="3" t="str">
        <f ca="1">IFERROR(__xludf.DUMMYFUNCTION("googletranslate(D3857,""en"",""ja"")"),"プラスミノーゲン アクティベーター インヒビター-1 AG")</f>
        <v>プラスミノーゲン アクティベーター インヒビター-1 AG</v>
      </c>
      <c r="H3857" s="3" t="str">
        <f ca="1">IFERROR(__xludf.DUMMYFUNCTION("googletranslate(E3857,""en"",""ja"")"),"生物学的標本中のプラスミノーゲン アクティベーター インヒビター 1 抗原の測定。")</f>
        <v>生物学的標本中のプラスミノーゲン アクティベーター インヒビター 1 抗原の測定。</v>
      </c>
      <c r="I3857" s="3" t="str">
        <f ca="1">IFERROR(__xludf.DUMMYFUNCTION("googletranslate(F3857,""en"",""ja"")"),"プラスミノーゲン アクティベーター インヒビター 1 抗原の測定")</f>
        <v>プラスミノーゲン アクティベーター インヒビター 1 抗原の測定</v>
      </c>
    </row>
    <row r="3858" spans="1:9" ht="30">
      <c r="A3858" s="3" t="s">
        <v>210</v>
      </c>
      <c r="B3858" s="3" t="s">
        <v>15936</v>
      </c>
      <c r="C3858" s="3" t="s">
        <v>15937</v>
      </c>
      <c r="D3858" s="3" t="s">
        <v>15937</v>
      </c>
      <c r="E3858" s="3" t="s">
        <v>15938</v>
      </c>
      <c r="F3858" s="3" t="s">
        <v>15937</v>
      </c>
      <c r="G3858" s="3" t="str">
        <f ca="1">IFERROR(__xludf.DUMMYFUNCTION("googletranslate(D3858,""en"",""ja"")"),"明白な状態")</f>
        <v>明白な状態</v>
      </c>
      <c r="H3858" s="3" t="str">
        <f ca="1">IFERROR(__xludf.DUMMYFUNCTION("googletranslate(E3858,""en"",""ja"")"),"特定の時点における病変の触知状態に関する病変の状態または状態。")</f>
        <v>特定の時点における病変の触知状態に関する病変の状態または状態。</v>
      </c>
      <c r="I3858" s="3" t="str">
        <f ca="1">IFERROR(__xludf.DUMMYFUNCTION("googletranslate(F3858,""en"",""ja"")"),"明白な状態")</f>
        <v>明白な状態</v>
      </c>
    </row>
    <row r="3859" spans="1:9" ht="30">
      <c r="A3859" s="3" t="s">
        <v>6</v>
      </c>
      <c r="B3859" s="3" t="s">
        <v>15939</v>
      </c>
      <c r="C3859" s="3" t="s">
        <v>15940</v>
      </c>
      <c r="D3859" s="3" t="s">
        <v>15940</v>
      </c>
      <c r="E3859" s="3" t="s">
        <v>15941</v>
      </c>
      <c r="F3859" s="3" t="s">
        <v>15942</v>
      </c>
      <c r="G3859" s="3" t="str">
        <f ca="1">IFERROR(__xludf.DUMMYFUNCTION("googletranslate(D3859,""en"",""ja"")"),"前立腺酸ホスファターゼ")</f>
        <v>前立腺酸ホスファターゼ</v>
      </c>
      <c r="H3859" s="3" t="str">
        <f ca="1">IFERROR(__xludf.DUMMYFUNCTION("googletranslate(E3859,""en"",""ja"")"),"生物学的標本における前立腺酸性ホスファターゼの測定。")</f>
        <v>生物学的標本における前立腺酸性ホスファターゼの測定。</v>
      </c>
      <c r="I3859" s="3" t="str">
        <f ca="1">IFERROR(__xludf.DUMMYFUNCTION("googletranslate(F3859,""en"",""ja"")"),"前立腺酸性ホスファターゼの測定")</f>
        <v>前立腺酸性ホスファターゼの測定</v>
      </c>
    </row>
    <row r="3860" spans="1:9" ht="30">
      <c r="A3860" s="3" t="s">
        <v>6</v>
      </c>
      <c r="B3860" s="3" t="s">
        <v>15943</v>
      </c>
      <c r="C3860" s="3" t="s">
        <v>15944</v>
      </c>
      <c r="D3860" s="3" t="s">
        <v>15944</v>
      </c>
      <c r="E3860" s="3" t="s">
        <v>15945</v>
      </c>
      <c r="F3860" s="3" t="s">
        <v>15946</v>
      </c>
      <c r="G3860" s="3" t="str">
        <f ca="1">IFERROR(__xludf.DUMMYFUNCTION("googletranslate(D3860,""en"",""ja"")"),"妊娠関連血漿プロテイン A")</f>
        <v>妊娠関連血漿プロテイン A</v>
      </c>
      <c r="H3860" s="3" t="str">
        <f ca="1">IFERROR(__xludf.DUMMYFUNCTION("googletranslate(E3860,""en"",""ja"")"),"生物学的検体中の妊娠関連血漿プロテイン A の測定。")</f>
        <v>生物学的検体中の妊娠関連血漿プロテイン A の測定。</v>
      </c>
      <c r="I3860" s="3" t="str">
        <f ca="1">IFERROR(__xludf.DUMMYFUNCTION("googletranslate(F3860,""en"",""ja"")"),"妊娠関連血漿プロテイン A の測定")</f>
        <v>妊娠関連血漿プロテイン A の測定</v>
      </c>
    </row>
    <row r="3861" spans="1:9" ht="45">
      <c r="A3861" s="3" t="s">
        <v>6</v>
      </c>
      <c r="B3861" s="3" t="s">
        <v>15947</v>
      </c>
      <c r="C3861" s="3" t="s">
        <v>15948</v>
      </c>
      <c r="D3861" s="3" t="s">
        <v>15948</v>
      </c>
      <c r="E3861" s="3" t="s">
        <v>15949</v>
      </c>
      <c r="F3861" s="3" t="s">
        <v>15950</v>
      </c>
      <c r="G3861" s="3" t="str">
        <f ca="1">IFERROR(__xludf.DUMMYFUNCTION("googletranslate(D3861,""en"",""ja"")"),"パッペンハイマー体")</f>
        <v>パッペンハイマー体</v>
      </c>
      <c r="H3861" s="3" t="str">
        <f ca="1">IFERROR(__xludf.DUMMYFUNCTION("googletranslate(E3861,""en"",""ja"")"),"生物学的標本中のパッペンハイマー体（通常、赤血球の周囲に沿って見られる紫または青に染まるフェリチン顆粒）を含む細胞の測定。")</f>
        <v>生物学的標本中のパッペンハイマー体（通常、赤血球の周囲に沿って見られる紫または青に染まるフェリチン顆粒）を含む細胞の測定。</v>
      </c>
      <c r="I3861" s="3" t="str">
        <f ca="1">IFERROR(__xludf.DUMMYFUNCTION("googletranslate(F3861,""en"",""ja"")"),"パッペンハイマーボディーカウント")</f>
        <v>パッペンハイマーボディーカウント</v>
      </c>
    </row>
    <row r="3862" spans="1:9">
      <c r="A3862" s="3" t="s">
        <v>6</v>
      </c>
      <c r="B3862" s="3" t="s">
        <v>15951</v>
      </c>
      <c r="C3862" s="3" t="s">
        <v>15952</v>
      </c>
      <c r="D3862" s="3" t="s">
        <v>15952</v>
      </c>
      <c r="E3862" s="3" t="s">
        <v>15953</v>
      </c>
      <c r="F3862" s="3" t="s">
        <v>15954</v>
      </c>
      <c r="G3862" s="3" t="str">
        <f ca="1">IFERROR(__xludf.DUMMYFUNCTION("googletranslate(D3862,""en"",""ja"")"),"パラアルデヒド")</f>
        <v>パラアルデヒド</v>
      </c>
      <c r="H3862" s="3" t="str">
        <f ca="1">IFERROR(__xludf.DUMMYFUNCTION("googletranslate(E3862,""en"",""ja"")"),"生物学的標本中のパラアルデヒドの測定。")</f>
        <v>生物学的標本中のパラアルデヒドの測定。</v>
      </c>
      <c r="I3862" s="3" t="str">
        <f ca="1">IFERROR(__xludf.DUMMYFUNCTION("googletranslate(F3862,""en"",""ja"")"),"パラアルデヒドの測定")</f>
        <v>パラアルデヒドの測定</v>
      </c>
    </row>
    <row r="3863" spans="1:9" ht="30">
      <c r="A3863" s="3" t="s">
        <v>67</v>
      </c>
      <c r="B3863" s="3" t="s">
        <v>15955</v>
      </c>
      <c r="C3863" s="3" t="s">
        <v>15956</v>
      </c>
      <c r="D3863" s="3" t="s">
        <v>15956</v>
      </c>
      <c r="E3863" s="3" t="s">
        <v>15957</v>
      </c>
      <c r="F3863" s="3" t="s">
        <v>15958</v>
      </c>
      <c r="G3863" s="3" t="str">
        <f ca="1">IFERROR(__xludf.DUMMYFUNCTION("googletranslate(D3863,""en"",""ja"")"),"パレコウイルスRNA")</f>
        <v>パレコウイルスRNA</v>
      </c>
      <c r="H3863" s="3" t="str">
        <f ca="1">IFERROR(__xludf.DUMMYFUNCTION("googletranslate(E3863,""en"",""ja"")"),"生物学的標本中のパレコウイルス属の任意のメンバーからの RNA の測定。")</f>
        <v>生物学的標本中のパレコウイルス属の任意のメンバーからの RNA の測定。</v>
      </c>
      <c r="I3863" s="3" t="str">
        <f ca="1">IFERROR(__xludf.DUMMYFUNCTION("googletranslate(F3863,""en"",""ja"")"),"パレコウイルスRNA測定")</f>
        <v>パレコウイルスRNA測定</v>
      </c>
    </row>
    <row r="3864" spans="1:9" ht="45">
      <c r="A3864" s="3" t="s">
        <v>142</v>
      </c>
      <c r="B3864" s="3" t="s">
        <v>15959</v>
      </c>
      <c r="C3864" s="3" t="s">
        <v>15960</v>
      </c>
      <c r="D3864" s="3" t="s">
        <v>15960</v>
      </c>
      <c r="E3864" s="3" t="s">
        <v>15961</v>
      </c>
      <c r="F3864" s="3" t="s">
        <v>15960</v>
      </c>
      <c r="G3864" s="3" t="str">
        <f ca="1">IFERROR(__xludf.DUMMYFUNCTION("googletranslate(D3864,""en"",""ja"")"),"パリティ")</f>
        <v>パリティ</v>
      </c>
      <c r="H3864" s="3" t="str">
        <f ca="1">IFERROR(__xludf.DUMMYFUNCTION("googletranslate(E3864,""en"",""ja"")"),"胎児の数や転帰に関係なく、妊娠20週0日以降に達した妊娠の数。 (NICHD)")</f>
        <v>胎児の数や転帰に関係なく、妊娠20週0日以降に達した妊娠の数。 (NICHD)</v>
      </c>
      <c r="I3864" s="3" t="str">
        <f ca="1">IFERROR(__xludf.DUMMYFUNCTION("googletranslate(F3864,""en"",""ja"")"),"パリティ")</f>
        <v>パリティ</v>
      </c>
    </row>
    <row r="3865" spans="1:9" ht="75">
      <c r="A3865" s="3" t="s">
        <v>6</v>
      </c>
      <c r="B3865" s="3" t="s">
        <v>15962</v>
      </c>
      <c r="C3865" s="3" t="s">
        <v>15963</v>
      </c>
      <c r="D3865" s="3" t="s">
        <v>15964</v>
      </c>
      <c r="E3865" s="3" t="s">
        <v>15965</v>
      </c>
      <c r="F3865" s="3" t="s">
        <v>15966</v>
      </c>
      <c r="G3865" s="3" t="str">
        <f ca="1">IFERROR(__xludf.DUMMYFUNCTION("googletranslate(D3865,""en"",""ja"")"),"DJ-1; GATD2;パーク7;パーキンソン病タンパク質 7;パーキンソニズム関連デグリカーゼ;プロテイングリケースDJ-1;プロテインDJ-1")</f>
        <v>DJ-1; GATD2;パーク7;パーキンソン病タンパク質 7;パーキンソニズム関連デグリカーゼ;プロテイングリケースDJ-1;プロテインDJ-1</v>
      </c>
      <c r="H3865" s="3" t="str">
        <f ca="1">IFERROR(__xludf.DUMMYFUNCTION("googletranslate(E3865,""en"",""ja"")"),"生物学的標本中のパーキンソン病タンパク質 7 の測定。")</f>
        <v>生物学的標本中のパーキンソン病タンパク質 7 の測定。</v>
      </c>
      <c r="I3865" s="3" t="str">
        <f ca="1">IFERROR(__xludf.DUMMYFUNCTION("googletranslate(F3865,""en"",""ja"")"),"パーキンソン病プロテイン7の測定")</f>
        <v>パーキンソン病プロテイン7の測定</v>
      </c>
    </row>
    <row r="3866" spans="1:9" ht="30">
      <c r="A3866" s="3" t="s">
        <v>6</v>
      </c>
      <c r="B3866" s="3" t="s">
        <v>15967</v>
      </c>
      <c r="C3866" s="3" t="s">
        <v>15968</v>
      </c>
      <c r="D3866" s="3" t="s">
        <v>15968</v>
      </c>
      <c r="E3866" s="3" t="s">
        <v>15969</v>
      </c>
      <c r="F3866" s="3" t="s">
        <v>15970</v>
      </c>
      <c r="G3866" s="3" t="str">
        <f ca="1">IFERROR(__xludf.DUMMYFUNCTION("googletranslate(D3866,""en"",""ja"")"),"パロキセチン")</f>
        <v>パロキセチン</v>
      </c>
      <c r="H3866" s="3" t="str">
        <f ca="1">IFERROR(__xludf.DUMMYFUNCTION("googletranslate(E3866,""en"",""ja"")"),"生物学的標本中に存在するパロキセチンの測定。")</f>
        <v>生物学的標本中に存在するパロキセチンの測定。</v>
      </c>
      <c r="I3866" s="3" t="str">
        <f ca="1">IFERROR(__xludf.DUMMYFUNCTION("googletranslate(F3866,""en"",""ja"")"),"パロキセチンの測定")</f>
        <v>パロキセチンの測定</v>
      </c>
    </row>
    <row r="3867" spans="1:9" ht="45">
      <c r="A3867" s="3" t="s">
        <v>103</v>
      </c>
      <c r="B3867" s="3" t="s">
        <v>15971</v>
      </c>
      <c r="C3867" s="3" t="s">
        <v>15972</v>
      </c>
      <c r="D3867" s="3" t="s">
        <v>15973</v>
      </c>
      <c r="E3867" s="3" t="s">
        <v>15974</v>
      </c>
      <c r="F3867" s="3" t="s">
        <v>15975</v>
      </c>
      <c r="G3867" s="3" t="str">
        <f ca="1">IFERROR(__xludf.DUMMYFUNCTION("googletranslate(D3867,""en"",""ja"")"),"プラズマブラスト;前駆体形質細胞")</f>
        <v>プラズマブラスト;前駆体形質細胞</v>
      </c>
      <c r="H3867" s="3" t="str">
        <f ca="1">IFERROR(__xludf.DUMMYFUNCTION("googletranslate(E3867,""en"",""ja"")"),"生物学的標本中の前駆体（芽球期）形質細胞（抗原刺激により B 細胞に由来する抗体分泌細胞）の測定。")</f>
        <v>生物学的標本中の前駆体（芽球期）形質細胞（抗原刺激により B 細胞に由来する抗体分泌細胞）の測定。</v>
      </c>
      <c r="I3867" s="3" t="str">
        <f ca="1">IFERROR(__xludf.DUMMYFUNCTION("googletranslate(F3867,""en"",""ja"")"),"前駆体形質細胞数")</f>
        <v>前駆体形質細胞数</v>
      </c>
    </row>
    <row r="3868" spans="1:9" ht="30">
      <c r="A3868" s="3" t="s">
        <v>6</v>
      </c>
      <c r="B3868" s="3" t="s">
        <v>15976</v>
      </c>
      <c r="C3868" s="3" t="s">
        <v>15977</v>
      </c>
      <c r="D3868" s="3" t="s">
        <v>15977</v>
      </c>
      <c r="E3868" s="3" t="s">
        <v>15978</v>
      </c>
      <c r="F3868" s="3" t="s">
        <v>15979</v>
      </c>
      <c r="G3868" s="3" t="str">
        <f ca="1">IFERROR(__xludf.DUMMYFUNCTION("googletranslate(D3868,""en"",""ja"")"),"PB-22 3-カルボキシインドール")</f>
        <v>PB-22 3-カルボキシインドール</v>
      </c>
      <c r="H3868" s="3" t="str">
        <f ca="1">IFERROR(__xludf.DUMMYFUNCTION("googletranslate(E3868,""en"",""ja"")"),"生物学的標本中の合成カンナビノイド代謝産物 PB-22 3-カルボキシインドールの測定。")</f>
        <v>生物学的標本中の合成カンナビノイド代謝産物 PB-22 3-カルボキシインドールの測定。</v>
      </c>
      <c r="I3868" s="3" t="str">
        <f ca="1">IFERROR(__xludf.DUMMYFUNCTION("googletranslate(F3868,""en"",""ja"")"),"PB-22 3-カルボキシインドール測定")</f>
        <v>PB-22 3-カルボキシインドール測定</v>
      </c>
    </row>
    <row r="3869" spans="1:9" ht="30">
      <c r="A3869" s="3" t="s">
        <v>6</v>
      </c>
      <c r="B3869" s="3" t="s">
        <v>15980</v>
      </c>
      <c r="C3869" s="3" t="s">
        <v>15981</v>
      </c>
      <c r="D3869" s="3" t="s">
        <v>15981</v>
      </c>
      <c r="E3869" s="3" t="s">
        <v>15982</v>
      </c>
      <c r="F3869" s="3" t="s">
        <v>15983</v>
      </c>
      <c r="G3869" s="3" t="str">
        <f ca="1">IFERROR(__xludf.DUMMYFUNCTION("googletranslate(D3869,""en"",""ja"")"),"5-フルオロ PB-22 3-カルボキシインドール")</f>
        <v>5-フルオロ PB-22 3-カルボキシインドール</v>
      </c>
      <c r="H3869" s="3" t="str">
        <f ca="1">IFERROR(__xludf.DUMMYFUNCTION("googletranslate(E3869,""en"",""ja"")"),"生物学的標本中の合成カンナビノイド代謝産物 5-フルオロ PB-22 3-カルボキシインドールの測定。")</f>
        <v>生物学的標本中の合成カンナビノイド代謝産物 5-フルオロ PB-22 3-カルボキシインドールの測定。</v>
      </c>
      <c r="I3869" s="3" t="str">
        <f ca="1">IFERROR(__xludf.DUMMYFUNCTION("googletranslate(F3869,""en"",""ja"")"),"5-フルオロ PB-22 3-カルボキシインドールの測定")</f>
        <v>5-フルオロ PB-22 3-カルボキシインドールの測定</v>
      </c>
    </row>
    <row r="3870" spans="1:9" ht="45">
      <c r="A3870" s="3" t="s">
        <v>103</v>
      </c>
      <c r="B3870" s="3" t="s">
        <v>15984</v>
      </c>
      <c r="C3870" s="3" t="s">
        <v>15985</v>
      </c>
      <c r="D3870" s="3" t="s">
        <v>15986</v>
      </c>
      <c r="E3870" s="3" t="s">
        <v>15987</v>
      </c>
      <c r="F3870" s="3" t="s">
        <v>15988</v>
      </c>
      <c r="G3870" s="3" t="str">
        <f ca="1">IFERROR(__xludf.DUMMYFUNCTION("googletranslate(D3870,""en"",""ja"")"),"形質芽細胞/Bリンパ球;形質芽細胞/BLym;前駆体形質細胞/Bリンパ球")</f>
        <v>形質芽細胞/Bリンパ球;形質芽細胞/BLym;前駆体形質細胞/Bリンパ球</v>
      </c>
      <c r="H3870" s="3" t="str">
        <f ca="1">IFERROR(__xludf.DUMMYFUNCTION("googletranslate(E3870,""en"",""ja"")"),"生物学的標本中の B リンパ球に対する形質芽細胞の相対的な測定値 (比率またはパーセンテージ)。")</f>
        <v>生物学的標本中の B リンパ球に対する形質芽細胞の相対的な測定値 (比率またはパーセンテージ)。</v>
      </c>
      <c r="I3870" s="3" t="str">
        <f ca="1">IFERROR(__xludf.DUMMYFUNCTION("googletranslate(F3870,""en"",""ja"")"),"形質芽細胞と総Bリンパ球の比率の測定")</f>
        <v>形質芽細胞と総Bリンパ球の比率の測定</v>
      </c>
    </row>
    <row r="3871" spans="1:9" ht="30">
      <c r="A3871" s="3" t="s">
        <v>81</v>
      </c>
      <c r="B3871" s="3" t="s">
        <v>15989</v>
      </c>
      <c r="C3871" s="3" t="s">
        <v>15990</v>
      </c>
      <c r="D3871" s="3" t="s">
        <v>15990</v>
      </c>
      <c r="E3871" s="3" t="s">
        <v>15991</v>
      </c>
      <c r="F3871" s="3" t="s">
        <v>15990</v>
      </c>
      <c r="G3871" s="3" t="str">
        <f ca="1">IFERROR(__xludf.DUMMYFUNCTION("googletranslate(D3871,""en"",""ja"")"),"最大血流速度")</f>
        <v>最大血流速度</v>
      </c>
      <c r="H3871" s="3" t="str">
        <f ca="1">IFERROR(__xludf.DUMMYFUNCTION("googletranslate(E3871,""en"",""ja"")"),"領域または組織を横切る血液の最大速度の測定値。")</f>
        <v>領域または組織を横切る血液の最大速度の測定値。</v>
      </c>
      <c r="I3871" s="3" t="str">
        <f ca="1">IFERROR(__xludf.DUMMYFUNCTION("googletranslate(F3871,""en"",""ja"")"),"最大血流速度")</f>
        <v>最大血流速度</v>
      </c>
    </row>
    <row r="3872" spans="1:9" ht="30">
      <c r="A3872" s="3" t="s">
        <v>103</v>
      </c>
      <c r="B3872" s="3" t="s">
        <v>15992</v>
      </c>
      <c r="C3872" s="3" t="s">
        <v>15993</v>
      </c>
      <c r="D3872" s="3" t="s">
        <v>15993</v>
      </c>
      <c r="E3872" s="3" t="s">
        <v>15994</v>
      </c>
      <c r="F3872" s="3" t="s">
        <v>15995</v>
      </c>
      <c r="G3872" s="3" t="str">
        <f ca="1">IFERROR(__xludf.DUMMYFUNCTION("googletranslate(D3872,""en"",""ja"")"),"形質芽細胞 IgG+")</f>
        <v>形質芽細胞 IgG+</v>
      </c>
      <c r="H3872" s="3" t="str">
        <f ca="1">IFERROR(__xludf.DUMMYFUNCTION("googletranslate(E3872,""en"",""ja"")"),"生物学的標本中の IgG+ 形質芽細胞の測定。")</f>
        <v>生物学的標本中の IgG+ 形質芽細胞の測定。</v>
      </c>
      <c r="I3872" s="3" t="str">
        <f ca="1">IFERROR(__xludf.DUMMYFUNCTION("googletranslate(F3872,""en"",""ja"")"),"免疫グロブリン G 陽性血漿芽球数")</f>
        <v>免疫グロブリン G 陽性血漿芽球数</v>
      </c>
    </row>
    <row r="3873" spans="1:9" ht="30">
      <c r="A3873" s="3" t="s">
        <v>6</v>
      </c>
      <c r="B3873" s="3" t="s">
        <v>15992</v>
      </c>
      <c r="C3873" s="3" t="s">
        <v>15996</v>
      </c>
      <c r="D3873" s="3" t="s">
        <v>15996</v>
      </c>
      <c r="E3873" s="3" t="s">
        <v>15997</v>
      </c>
      <c r="F3873" s="3" t="s">
        <v>15998</v>
      </c>
      <c r="G3873" s="3" t="str">
        <f ca="1">IFERROR(__xludf.DUMMYFUNCTION("googletranslate(D3873,""en"",""ja"")"),"ポルフォビリノーゲン")</f>
        <v>ポルフォビリノーゲン</v>
      </c>
      <c r="H3873" s="3" t="str">
        <f ca="1">IFERROR(__xludf.DUMMYFUNCTION("googletranslate(E3873,""en"",""ja"")"),"生物学的標本中のポルフォビリノーゲンの測定。")</f>
        <v>生物学的標本中のポルフォビリノーゲンの測定。</v>
      </c>
      <c r="I3873" s="3" t="str">
        <f ca="1">IFERROR(__xludf.DUMMYFUNCTION("googletranslate(F3873,""en"",""ja"")"),"ポルフォビリノーゲンの測定")</f>
        <v>ポルフォビリノーゲンの測定</v>
      </c>
    </row>
    <row r="3874" spans="1:9" ht="45">
      <c r="A3874" s="3" t="s">
        <v>6</v>
      </c>
      <c r="B3874" s="3" t="s">
        <v>15999</v>
      </c>
      <c r="C3874" s="3" t="s">
        <v>16000</v>
      </c>
      <c r="D3874" s="3" t="s">
        <v>16000</v>
      </c>
      <c r="E3874" s="3" t="s">
        <v>16001</v>
      </c>
      <c r="F3874" s="3" t="s">
        <v>16002</v>
      </c>
      <c r="G3874" s="3" t="str">
        <f ca="1">IFERROR(__xludf.DUMMYFUNCTION("googletranslate(D3874,""en"",""ja"")"),"ポルフォビリノーゲン/クレアチニン")</f>
        <v>ポルフォビリノーゲン/クレアチニン</v>
      </c>
      <c r="H3874" s="3" t="str">
        <f ca="1">IFERROR(__xludf.DUMMYFUNCTION("googletranslate(E3874,""en"",""ja"")"),"生物学的標本中のクレアチニンに対するポルフォビリノーゲンの相対測定値 (比率またはパーセンテージ)。")</f>
        <v>生物学的標本中のクレアチニンに対するポルフォビリノーゲンの相対測定値 (比率またはパーセンテージ)。</v>
      </c>
      <c r="I3874" s="3" t="str">
        <f ca="1">IFERROR(__xludf.DUMMYFUNCTION("googletranslate(F3874,""en"",""ja"")"),"ポルフォビリノーゲンとクレアチニンの比率の測定")</f>
        <v>ポルフォビリノーゲンとクレアチニンの比率の測定</v>
      </c>
    </row>
    <row r="3875" spans="1:9" ht="45">
      <c r="A3875" s="3" t="s">
        <v>103</v>
      </c>
      <c r="B3875" s="3" t="s">
        <v>16003</v>
      </c>
      <c r="C3875" s="3" t="s">
        <v>16004</v>
      </c>
      <c r="D3875" s="3" t="s">
        <v>16005</v>
      </c>
      <c r="E3875" s="3" t="s">
        <v>16006</v>
      </c>
      <c r="F3875" s="3" t="s">
        <v>16007</v>
      </c>
      <c r="G3875" s="3" t="str">
        <f ca="1">IFERROR(__xludf.DUMMYFUNCTION("googletranslate(D3875,""en"",""ja"")"),"形質芽細胞 IgG+/PB;形質芽細胞 IgG+/形質芽細胞")</f>
        <v>形質芽細胞 IgG+/PB;形質芽細胞 IgG+/形質芽細胞</v>
      </c>
      <c r="H3875" s="3" t="str">
        <f ca="1">IFERROR(__xludf.DUMMYFUNCTION("googletranslate(E3875,""en"",""ja"")"),"生物学的検体中の総形質芽球に対する IgG+ 形質芽球の相対測定値 (比率またはパーセンテージ)。")</f>
        <v>生物学的検体中の総形質芽球に対する IgG+ 形質芽球の相対測定値 (比率またはパーセンテージ)。</v>
      </c>
      <c r="I3875" s="3" t="str">
        <f ca="1">IFERROR(__xludf.DUMMYFUNCTION("googletranslate(F3875,""en"",""ja"")"),"免疫グロブリン G 陽性血漿芽球対血漿芽球比の測定")</f>
        <v>免疫グロブリン G 陽性血漿芽球対血漿芽球比の測定</v>
      </c>
    </row>
    <row r="3876" spans="1:9" ht="30">
      <c r="A3876" s="3" t="s">
        <v>103</v>
      </c>
      <c r="B3876" s="3" t="s">
        <v>16008</v>
      </c>
      <c r="C3876" s="3" t="s">
        <v>16009</v>
      </c>
      <c r="D3876" s="3" t="s">
        <v>16010</v>
      </c>
      <c r="E3876" s="3" t="s">
        <v>16011</v>
      </c>
      <c r="F3876" s="3" t="s">
        <v>16012</v>
      </c>
      <c r="G3876" s="3" t="str">
        <f ca="1">IFERROR(__xludf.DUMMYFUNCTION("googletranslate(D3876,""en"",""ja"")"),"形質芽細胞 IgG+ サブ;形質芽細胞 IgG+ サブ集団")</f>
        <v>形質芽細胞 IgG+ サブ;形質芽細胞 IgG+ サブ集団</v>
      </c>
      <c r="H3876" s="3" t="str">
        <f ca="1">IFERROR(__xludf.DUMMYFUNCTION("googletranslate(E3876,""en"",""ja"")"),"生物学的標本中の IgG+ 形質芽細胞の部分集団の測定。")</f>
        <v>生物学的標本中の IgG+ 形質芽細胞の部分集団の測定。</v>
      </c>
      <c r="I3876" s="3" t="str">
        <f ca="1">IFERROR(__xludf.DUMMYFUNCTION("googletranslate(F3876,""en"",""ja"")"),"免疫グロブリン G 陽性血漿芽細胞部分集団数")</f>
        <v>免疫グロブリン G 陽性血漿芽細胞部分集団数</v>
      </c>
    </row>
    <row r="3877" spans="1:9" ht="60">
      <c r="A3877" s="3" t="s">
        <v>103</v>
      </c>
      <c r="B3877" s="3" t="s">
        <v>16013</v>
      </c>
      <c r="C3877" s="3" t="s">
        <v>16014</v>
      </c>
      <c r="D3877" s="3" t="s">
        <v>16015</v>
      </c>
      <c r="E3877" s="3" t="s">
        <v>16016</v>
      </c>
      <c r="F3877" s="3" t="s">
        <v>16017</v>
      </c>
      <c r="G3877" s="3" t="str">
        <f ca="1">IFERROR(__xludf.DUMMYFUNCTION("googletranslate(D3877,""en"",""ja"")"),"形質芽細胞 IgG+ サブ集団/形質芽細胞 IgG+;形質芽細胞 IgG+ Sub/PB IgG+")</f>
        <v>形質芽細胞 IgG+ サブ集団/形質芽細胞 IgG+;形質芽細胞 IgG+ Sub/PB IgG+</v>
      </c>
      <c r="H3877" s="3" t="str">
        <f ca="1">IFERROR(__xludf.DUMMYFUNCTION("googletranslate(E3877,""en"",""ja"")"),"生物学的検体中の総 IgG+ 形質芽細胞に対する IgG+ 形質芽細胞の部分集団の相対測定値 (比率またはパーセンテージ)。")</f>
        <v>生物学的検体中の総 IgG+ 形質芽細胞に対する IgG+ 形質芽細胞の部分集団の相対測定値 (比率またはパーセンテージ)。</v>
      </c>
      <c r="I3877" s="3" t="str">
        <f ca="1">IFERROR(__xludf.DUMMYFUNCTION("googletranslate(F3877,""en"",""ja"")"),"免疫グロブリン G 陽性血漿芽球部分集団と総免疫グロブリン G 陽性血漿芽球の比率の測定")</f>
        <v>免疫グロブリン G 陽性血漿芽球部分集団と総免疫グロブリン G 陽性血漿芽球の比率の測定</v>
      </c>
    </row>
    <row r="3878" spans="1:9" ht="30">
      <c r="A3878" s="3" t="s">
        <v>67</v>
      </c>
      <c r="B3878" s="3" t="s">
        <v>16018</v>
      </c>
      <c r="C3878" s="3" t="s">
        <v>16019</v>
      </c>
      <c r="D3878" s="3" t="s">
        <v>16019</v>
      </c>
      <c r="E3878" s="3" t="s">
        <v>16020</v>
      </c>
      <c r="F3878" s="3" t="s">
        <v>16021</v>
      </c>
      <c r="G3878" s="3" t="str">
        <f ca="1">IFERROR(__xludf.DUMMYFUNCTION("googletranslate(D3878,""en"",""ja"")"),"プレボテラ ビビア")</f>
        <v>プレボテラ ビビア</v>
      </c>
      <c r="H3878" s="3" t="str">
        <f ca="1">IFERROR(__xludf.DUMMYFUNCTION("googletranslate(E3878,""en"",""ja"")"),"生物学的標本中の Prevotella bivia の測定。")</f>
        <v>生物学的標本中の Prevotella bivia の測定。</v>
      </c>
      <c r="I3878" s="3" t="str">
        <f ca="1">IFERROR(__xludf.DUMMYFUNCTION("googletranslate(F3878,""en"",""ja"")"),"プレボテラ ビビアの測定")</f>
        <v>プレボテラ ビビアの測定</v>
      </c>
    </row>
    <row r="3879" spans="1:9" ht="30">
      <c r="A3879" s="3" t="s">
        <v>103</v>
      </c>
      <c r="B3879" s="3" t="s">
        <v>16022</v>
      </c>
      <c r="C3879" s="3" t="s">
        <v>16023</v>
      </c>
      <c r="D3879" s="3" t="s">
        <v>16023</v>
      </c>
      <c r="E3879" s="3" t="s">
        <v>16024</v>
      </c>
      <c r="F3879" s="3" t="s">
        <v>16025</v>
      </c>
      <c r="G3879" s="3" t="str">
        <f ca="1">IFERROR(__xludf.DUMMYFUNCTION("googletranslate(D3879,""en"",""ja"")"),"形質芽細胞 IgM+")</f>
        <v>形質芽細胞 IgM+</v>
      </c>
      <c r="H3879" s="3" t="str">
        <f ca="1">IFERROR(__xludf.DUMMYFUNCTION("googletranslate(E3879,""en"",""ja"")"),"生物学的標本中の IgM+ 形質芽細胞の測定。")</f>
        <v>生物学的標本中の IgM+ 形質芽細胞の測定。</v>
      </c>
      <c r="I3879" s="3" t="str">
        <f ca="1">IFERROR(__xludf.DUMMYFUNCTION("googletranslate(F3879,""en"",""ja"")"),"免疫グロブリン M 陽性血漿芽球数")</f>
        <v>免疫グロブリン M 陽性血漿芽球数</v>
      </c>
    </row>
    <row r="3880" spans="1:9" ht="45">
      <c r="A3880" s="3" t="s">
        <v>103</v>
      </c>
      <c r="B3880" s="3" t="s">
        <v>16026</v>
      </c>
      <c r="C3880" s="3" t="s">
        <v>16027</v>
      </c>
      <c r="D3880" s="3" t="s">
        <v>16028</v>
      </c>
      <c r="E3880" s="3" t="s">
        <v>16029</v>
      </c>
      <c r="F3880" s="3" t="s">
        <v>16030</v>
      </c>
      <c r="G3880" s="3" t="str">
        <f ca="1">IFERROR(__xludf.DUMMYFUNCTION("googletranslate(D3880,""en"",""ja"")"),"形質芽細胞 IgM+/PB;形質芽細胞 IgM+/形質芽細胞")</f>
        <v>形質芽細胞 IgM+/PB;形質芽細胞 IgM+/形質芽細胞</v>
      </c>
      <c r="H3880" s="3" t="str">
        <f ca="1">IFERROR(__xludf.DUMMYFUNCTION("googletranslate(E3880,""en"",""ja"")"),"生物学的検体中の総形質芽球に対する IgM+ 形質芽球の相対測定値 (比率またはパーセンテージ)。")</f>
        <v>生物学的検体中の総形質芽球に対する IgM+ 形質芽球の相対測定値 (比率またはパーセンテージ)。</v>
      </c>
      <c r="I3880" s="3" t="str">
        <f ca="1">IFERROR(__xludf.DUMMYFUNCTION("googletranslate(F3880,""en"",""ja"")"),"免疫グロブリン M 陽性血漿芽球対血漿芽球比の測定")</f>
        <v>免疫グロブリン M 陽性血漿芽球対血漿芽球比の測定</v>
      </c>
    </row>
    <row r="3881" spans="1:9" ht="30">
      <c r="A3881" s="3" t="s">
        <v>103</v>
      </c>
      <c r="B3881" s="3" t="s">
        <v>16031</v>
      </c>
      <c r="C3881" s="3" t="s">
        <v>16032</v>
      </c>
      <c r="D3881" s="3" t="s">
        <v>16033</v>
      </c>
      <c r="E3881" s="3" t="s">
        <v>16034</v>
      </c>
      <c r="F3881" s="3" t="s">
        <v>16035</v>
      </c>
      <c r="G3881" s="3" t="str">
        <f ca="1">IFERROR(__xludf.DUMMYFUNCTION("googletranslate(D3881,""en"",""ja"")"),"形質芽細胞 IgM+ サブ;形質芽細胞 IgM+ サブ集団")</f>
        <v>形質芽細胞 IgM+ サブ;形質芽細胞 IgM+ サブ集団</v>
      </c>
      <c r="H3881" s="3" t="str">
        <f ca="1">IFERROR(__xludf.DUMMYFUNCTION("googletranslate(E3881,""en"",""ja"")"),"生物学的標本中の IgM+ 形質芽細胞の部分集団の測定。")</f>
        <v>生物学的標本中の IgM+ 形質芽細胞の部分集団の測定。</v>
      </c>
      <c r="I3881" s="3" t="str">
        <f ca="1">IFERROR(__xludf.DUMMYFUNCTION("googletranslate(F3881,""en"",""ja"")"),"免疫グロブリン M 陽性血漿芽細胞部分集団数")</f>
        <v>免疫グロブリン M 陽性血漿芽細胞部分集団数</v>
      </c>
    </row>
    <row r="3882" spans="1:9" ht="60">
      <c r="A3882" s="3" t="s">
        <v>103</v>
      </c>
      <c r="B3882" s="3" t="s">
        <v>16036</v>
      </c>
      <c r="C3882" s="3" t="s">
        <v>16037</v>
      </c>
      <c r="D3882" s="3" t="s">
        <v>16038</v>
      </c>
      <c r="E3882" s="3" t="s">
        <v>16039</v>
      </c>
      <c r="F3882" s="3" t="s">
        <v>16040</v>
      </c>
      <c r="G3882" s="3" t="str">
        <f ca="1">IFERROR(__xludf.DUMMYFUNCTION("googletranslate(D3882,""en"",""ja"")"),"形質芽細胞 IgG+ サブ集団/形質芽細胞 IgG+;形質芽細胞 IgM+ Sub/PB IgM+")</f>
        <v>形質芽細胞 IgG+ サブ集団/形質芽細胞 IgG+;形質芽細胞 IgM+ Sub/PB IgM+</v>
      </c>
      <c r="H3882" s="3" t="str">
        <f ca="1">IFERROR(__xludf.DUMMYFUNCTION("googletranslate(E3882,""en"",""ja"")"),"生物学的検体中の総 IgM+ 形質芽細胞に対する IgM+ 形質芽細胞の部分集団の相対測定値 (比率またはパーセンテージ)。")</f>
        <v>生物学的検体中の総 IgM+ 形質芽細胞に対する IgM+ 形質芽細胞の部分集団の相対測定値 (比率またはパーセンテージ)。</v>
      </c>
      <c r="I3882" s="3" t="str">
        <f ca="1">IFERROR(__xludf.DUMMYFUNCTION("googletranslate(F3882,""en"",""ja"")"),"免疫グロブリン M 陽性血漿芽球部分集団と総免疫グロブリン M 陽性血漿芽球の比率の測定")</f>
        <v>免疫グロブリン M 陽性血漿芽球部分集団と総免疫グロブリン M 陽性血漿芽球の比率の測定</v>
      </c>
    </row>
    <row r="3883" spans="1:9" ht="45">
      <c r="A3883" s="3" t="s">
        <v>210</v>
      </c>
      <c r="B3883" s="3" t="s">
        <v>16041</v>
      </c>
      <c r="C3883" s="3" t="s">
        <v>16042</v>
      </c>
      <c r="D3883" s="3" t="s">
        <v>16043</v>
      </c>
      <c r="E3883" s="3" t="s">
        <v>16044</v>
      </c>
      <c r="F3883" s="3" t="s">
        <v>16045</v>
      </c>
      <c r="G3883" s="3" t="str">
        <f ca="1">IFERROR(__xludf.DUMMYFUNCTION("googletranslate(D3883,""en"",""ja"")"),"2 つ以上の新しい骨病変が持続する Ind; 2 つ以上の持続的な新生骨病変インジケーター")</f>
        <v>2 つ以上の新しい骨病変が持続する Ind; 2 つ以上の持続的な新生骨病変インジケーター</v>
      </c>
      <c r="H3883" s="3" t="str">
        <f ca="1">IFERROR(__xludf.DUMMYFUNCTION("googletranslate(E3883,""en"",""ja"")"),"以前に新規として特定され、持続していると考えられる 2 つ以上の骨病変があるかどうかに関する指標。")</f>
        <v>以前に新規として特定され、持続していると考えられる 2 つ以上の骨病変があるかどうかに関する指標。</v>
      </c>
      <c r="I3883" s="3" t="str">
        <f ca="1">IFERROR(__xludf.DUMMYFUNCTION("googletranslate(F3883,""en"",""ja"")"),"2 つ以上の持続的な新生骨病変インジケーター")</f>
        <v>2 つ以上の持続的な新生骨病変インジケーター</v>
      </c>
    </row>
    <row r="3884" spans="1:9" ht="45">
      <c r="A3884" s="3" t="s">
        <v>103</v>
      </c>
      <c r="B3884" s="3" t="s">
        <v>16046</v>
      </c>
      <c r="C3884" s="3" t="s">
        <v>16047</v>
      </c>
      <c r="D3884" s="3" t="s">
        <v>16048</v>
      </c>
      <c r="E3884" s="3" t="s">
        <v>16049</v>
      </c>
      <c r="F3884" s="3" t="s">
        <v>16050</v>
      </c>
      <c r="G3884" s="3" t="str">
        <f ca="1">IFERROR(__xludf.DUMMYFUNCTION("googletranslate(D3884,""en"",""ja"")"),"プラズマブラストサブ;形質芽細胞の亜集団。前駆体形質細胞のサブ集団")</f>
        <v>プラズマブラストサブ;形質芽細胞の亜集団。前駆体形質細胞のサブ集団</v>
      </c>
      <c r="H3884" s="3" t="str">
        <f ca="1">IFERROR(__xludf.DUMMYFUNCTION("googletranslate(E3884,""en"",""ja"")"),"生物学的標本中の形質芽細胞の部分集団の測定。")</f>
        <v>生物学的標本中の形質芽細胞の部分集団の測定。</v>
      </c>
      <c r="I3884" s="3" t="str">
        <f ca="1">IFERROR(__xludf.DUMMYFUNCTION("googletranslate(F3884,""en"",""ja"")"),"形質芽球部分集団の数")</f>
        <v>形質芽球部分集団の数</v>
      </c>
    </row>
    <row r="3885" spans="1:9" ht="45">
      <c r="A3885" s="3" t="s">
        <v>103</v>
      </c>
      <c r="B3885" s="3" t="s">
        <v>16051</v>
      </c>
      <c r="C3885" s="3" t="s">
        <v>16052</v>
      </c>
      <c r="D3885" s="3" t="s">
        <v>16053</v>
      </c>
      <c r="E3885" s="3" t="s">
        <v>16054</v>
      </c>
      <c r="F3885" s="3" t="s">
        <v>16055</v>
      </c>
      <c r="G3885" s="3" t="str">
        <f ca="1">IFERROR(__xludf.DUMMYFUNCTION("googletranslate(D3885,""en"",""ja"")"),"形質芽細胞部分集団/B リンパ球;プラズマブラストサブ/BLym")</f>
        <v>形質芽細胞部分集団/B リンパ球;プラズマブラストサブ/BLym</v>
      </c>
      <c r="H3885" s="3" t="str">
        <f ca="1">IFERROR(__xludf.DUMMYFUNCTION("googletranslate(E3885,""en"",""ja"")"),"生物学的標本における形質芽細胞の部分集団と B リンパ球の相対的な測定値 (比率またはパーセンテージ)。")</f>
        <v>生物学的標本における形質芽細胞の部分集団と B リンパ球の相対的な測定値 (比率またはパーセンテージ)。</v>
      </c>
      <c r="I3885" s="3" t="str">
        <f ca="1">IFERROR(__xludf.DUMMYFUNCTION("googletranslate(F3885,""en"",""ja"")"),"形質芽細胞部分集団と B リンパ球の比率の測定")</f>
        <v>形質芽細胞部分集団と B リンパ球の比率の測定</v>
      </c>
    </row>
    <row r="3886" spans="1:9" ht="45">
      <c r="A3886" s="3" t="s">
        <v>103</v>
      </c>
      <c r="B3886" s="3" t="s">
        <v>16056</v>
      </c>
      <c r="C3886" s="3" t="s">
        <v>16057</v>
      </c>
      <c r="D3886" s="3" t="s">
        <v>16058</v>
      </c>
      <c r="E3886" s="3" t="s">
        <v>16059</v>
      </c>
      <c r="F3886" s="3" t="s">
        <v>16060</v>
      </c>
      <c r="G3886" s="3" t="str">
        <f ca="1">IFERROR(__xludf.DUMMYFUNCTION("googletranslate(D3886,""en"",""ja"")"),"形質芽細胞部分集団/白血球;プラズマブラスト サブ/ロイク")</f>
        <v>形質芽細胞部分集団/白血球;プラズマブラスト サブ/ロイク</v>
      </c>
      <c r="H3886" s="3" t="str">
        <f ca="1">IFERROR(__xludf.DUMMYFUNCTION("googletranslate(E3886,""en"",""ja"")"),"生物学的標本における白血球に対する形質芽細胞の部分集団の相対的な測定値 (比率またはパーセンテージ)。")</f>
        <v>生物学的標本における白血球に対する形質芽細胞の部分集団の相対的な測定値 (比率またはパーセンテージ)。</v>
      </c>
      <c r="I3886" s="3" t="str">
        <f ca="1">IFERROR(__xludf.DUMMYFUNCTION("googletranslate(F3886,""en"",""ja"")"),"形質芽細胞部分集団と白血球の比率の測定")</f>
        <v>形質芽細胞部分集団と白血球の比率の測定</v>
      </c>
    </row>
    <row r="3887" spans="1:9" ht="45">
      <c r="A3887" s="3" t="s">
        <v>103</v>
      </c>
      <c r="B3887" s="3" t="s">
        <v>16061</v>
      </c>
      <c r="C3887" s="3" t="s">
        <v>16062</v>
      </c>
      <c r="D3887" s="3" t="s">
        <v>16063</v>
      </c>
      <c r="E3887" s="3" t="s">
        <v>16064</v>
      </c>
      <c r="F3887" s="3" t="s">
        <v>16065</v>
      </c>
      <c r="G3887" s="3" t="str">
        <f ca="1">IFERROR(__xludf.DUMMYFUNCTION("googletranslate(D3887,""en"",""ja"")"),"形質芽細胞部分集団/形質芽細胞;プラズマブラストサブ/PB")</f>
        <v>形質芽細胞部分集団/形質芽細胞;プラズマブラストサブ/PB</v>
      </c>
      <c r="H3887" s="3" t="str">
        <f ca="1">IFERROR(__xludf.DUMMYFUNCTION("googletranslate(E3887,""en"",""ja"")"),"生物学的標本中の総形質芽細胞に対する形質芽細胞の部分集団の相対的な測定値 (比率またはパーセンテージ)。")</f>
        <v>生物学的標本中の総形質芽細胞に対する形質芽細胞の部分集団の相対的な測定値 (比率またはパーセンテージ)。</v>
      </c>
      <c r="I3887" s="3" t="str">
        <f ca="1">IFERROR(__xludf.DUMMYFUNCTION("googletranslate(F3887,""en"",""ja"")"),"総血漿芽球に対する血漿芽球部分集団の比率の測定")</f>
        <v>総血漿芽球に対する血漿芽球部分集団の比率の測定</v>
      </c>
    </row>
    <row r="3888" spans="1:9" ht="30">
      <c r="A3888" s="3" t="s">
        <v>103</v>
      </c>
      <c r="B3888" s="3" t="s">
        <v>16066</v>
      </c>
      <c r="C3888" s="3" t="s">
        <v>16067</v>
      </c>
      <c r="D3888" s="3" t="s">
        <v>16068</v>
      </c>
      <c r="E3888" s="3" t="s">
        <v>16069</v>
      </c>
      <c r="F3888" s="3" t="s">
        <v>16070</v>
      </c>
      <c r="G3888" s="3" t="str">
        <f ca="1">IFERROR(__xludf.DUMMYFUNCTION("googletranslate(D3888,""en"",""ja"")"),"総血漿細胞数")</f>
        <v>総血漿細胞数</v>
      </c>
      <c r="H3888" s="3" t="str">
        <f ca="1">IFERROR(__xludf.DUMMYFUNCTION("googletranslate(E3888,""en"",""ja"")"),"生物学的標本中の総形質細胞の測定。")</f>
        <v>生物学的標本中の総形質細胞の測定。</v>
      </c>
      <c r="I3888" s="3" t="str">
        <f ca="1">IFERROR(__xludf.DUMMYFUNCTION("googletranslate(F3888,""en"",""ja"")"),"形質細胞数")</f>
        <v>形質細胞数</v>
      </c>
    </row>
    <row r="3889" spans="1:9" ht="75">
      <c r="A3889" s="3" t="s">
        <v>6</v>
      </c>
      <c r="B3889" s="3" t="s">
        <v>16071</v>
      </c>
      <c r="C3889" s="3" t="s">
        <v>16072</v>
      </c>
      <c r="D3889" s="3" t="s">
        <v>16073</v>
      </c>
      <c r="E3889" s="3" t="s">
        <v>16074</v>
      </c>
      <c r="F3889" s="3" t="s">
        <v>16075</v>
      </c>
      <c r="G3889" s="3" t="str">
        <f ca="1">IFERROR(__xludf.DUMMYFUNCTION("googletranslate(D3889,""en"",""ja"")"),"常染色体優性多発性嚢胞腎 1 タンパク質;ポリシスチン 1、相互作用する一過性受容体電位チャネル。ポリシスチン-1; TRPP1")</f>
        <v>常染色体優性多発性嚢胞腎 1 タンパク質;ポリシスチン 1、相互作用する一過性受容体電位チャネル。ポリシスチン-1; TRPP1</v>
      </c>
      <c r="H3889" s="3" t="str">
        <f ca="1">IFERROR(__xludf.DUMMYFUNCTION("googletranslate(E3889,""en"",""ja"")"),"生物学的標本中のポリシスチン-1 の測定。")</f>
        <v>生物学的標本中のポリシスチン-1 の測定。</v>
      </c>
      <c r="I3889" s="3" t="str">
        <f ca="1">IFERROR(__xludf.DUMMYFUNCTION("googletranslate(F3889,""en"",""ja"")"),"ポリシスチン-1の測定")</f>
        <v>ポリシスチン-1の測定</v>
      </c>
    </row>
    <row r="3890" spans="1:9" ht="45">
      <c r="A3890" s="3" t="s">
        <v>6</v>
      </c>
      <c r="B3890" s="3" t="s">
        <v>16076</v>
      </c>
      <c r="C3890" s="3" t="s">
        <v>16077</v>
      </c>
      <c r="D3890" s="3" t="s">
        <v>16077</v>
      </c>
      <c r="E3890" s="3" t="s">
        <v>16078</v>
      </c>
      <c r="F3890" s="3" t="s">
        <v>16079</v>
      </c>
      <c r="G3890" s="3" t="str">
        <f ca="1">IFERROR(__xludf.DUMMYFUNCTION("googletranslate(D3890,""en"",""ja"")"),"PCA3 mRNA/PSA mRNA")</f>
        <v>PCA3 mRNA/PSA mRNA</v>
      </c>
      <c r="H3890" s="3" t="str">
        <f ca="1">IFERROR(__xludf.DUMMYFUNCTION("googletranslate(E3890,""en"",""ja"")"),"生物学的標本における前立腺癌抗原 3 mRNA と前立腺特異抗原 mRNA の相対測定値 (比)。")</f>
        <v>生物学的標本における前立腺癌抗原 3 mRNA と前立腺特異抗原 mRNA の相対測定値 (比)。</v>
      </c>
      <c r="I3890" s="3" t="str">
        <f ca="1">IFERROR(__xludf.DUMMYFUNCTION("googletranslate(F3890,""en"",""ja"")"),"PCA3 mRNAとPSA mRNAの比の測定")</f>
        <v>PCA3 mRNAとPSA mRNAの比の測定</v>
      </c>
    </row>
    <row r="3891" spans="1:9" ht="30">
      <c r="A3891" s="3" t="s">
        <v>6</v>
      </c>
      <c r="B3891" s="3" t="s">
        <v>16080</v>
      </c>
      <c r="C3891" s="3" t="s">
        <v>16081</v>
      </c>
      <c r="D3891" s="3" t="s">
        <v>16081</v>
      </c>
      <c r="E3891" s="3" t="s">
        <v>16082</v>
      </c>
      <c r="F3891" s="3" t="s">
        <v>16083</v>
      </c>
      <c r="G3891" s="3" t="str">
        <f ca="1">IFERROR(__xludf.DUMMYFUNCTION("googletranslate(D3891,""en"",""ja"")"),"前立腺がん抗原 3 mRNA")</f>
        <v>前立腺がん抗原 3 mRNA</v>
      </c>
      <c r="H3891" s="3" t="str">
        <f ca="1">IFERROR(__xludf.DUMMYFUNCTION("googletranslate(E3891,""en"",""ja"")"),"生物学的検体中の前立腺がん抗原 3 mRNA の測定。")</f>
        <v>生物学的検体中の前立腺がん抗原 3 mRNA の測定。</v>
      </c>
      <c r="I3891" s="3" t="str">
        <f ca="1">IFERROR(__xludf.DUMMYFUNCTION("googletranslate(F3891,""en"",""ja"")"),"前立腺がん抗原3 mRNA測定")</f>
        <v>前立腺がん抗原3 mRNA測定</v>
      </c>
    </row>
    <row r="3892" spans="1:9" ht="45">
      <c r="A3892" s="3" t="s">
        <v>103</v>
      </c>
      <c r="B3892" s="3" t="s">
        <v>16084</v>
      </c>
      <c r="C3892" s="3" t="s">
        <v>16085</v>
      </c>
      <c r="D3892" s="3" t="s">
        <v>16086</v>
      </c>
      <c r="E3892" s="3" t="s">
        <v>16087</v>
      </c>
      <c r="F3892" s="3" t="s">
        <v>16088</v>
      </c>
      <c r="G3892" s="3" t="str">
        <f ca="1">IFERROR(__xludf.DUMMYFUNCTION("googletranslate(D3892,""en"",""ja"")"),"PC/BLym AbSc;形質細胞/Bリンパ球 抗体分泌;形質細胞/BLym Ab分泌")</f>
        <v>PC/BLym AbSc;形質細胞/Bリンパ球 抗体分泌;形質細胞/BLym Ab分泌</v>
      </c>
      <c r="H3892" s="3" t="str">
        <f ca="1">IFERROR(__xludf.DUMMYFUNCTION("googletranslate(E3892,""en"",""ja"")"),"生物学的標本中の抗体分泌 B リンパ球に対する形質細胞の相対的な測定値 (比率またはパーセンテージ)。")</f>
        <v>生物学的標本中の抗体分泌 B リンパ球に対する形質細胞の相対的な測定値 (比率またはパーセンテージ)。</v>
      </c>
      <c r="I3892" s="3" t="str">
        <f ca="1">IFERROR(__xludf.DUMMYFUNCTION("googletranslate(F3892,""en"",""ja"")"),"形質細胞と抗体分泌Bリンパ球の比率の測定")</f>
        <v>形質細胞と抗体分泌Bリンパ球の比率の測定</v>
      </c>
    </row>
    <row r="3893" spans="1:9" ht="30">
      <c r="A3893" s="3" t="s">
        <v>103</v>
      </c>
      <c r="B3893" s="3" t="s">
        <v>16089</v>
      </c>
      <c r="C3893" s="3" t="s">
        <v>16090</v>
      </c>
      <c r="D3893" s="3" t="s">
        <v>16091</v>
      </c>
      <c r="E3893" s="3" t="s">
        <v>16092</v>
      </c>
      <c r="F3893" s="3" t="s">
        <v>16093</v>
      </c>
      <c r="G3893" s="3" t="str">
        <f ca="1">IFERROR(__xludf.DUMMYFUNCTION("googletranslate(D3893,""en"",""ja"")"),"PC/BLym;形質細胞/Bリンパ球;形質細胞/BLym")</f>
        <v>PC/BLym;形質細胞/Bリンパ球;形質細胞/BLym</v>
      </c>
      <c r="H3893" s="3" t="str">
        <f ca="1">IFERROR(__xludf.DUMMYFUNCTION("googletranslate(E3893,""en"",""ja"")"),"生物学的標本中の形質細胞と B リンパ球の相対的な測定値 (比率またはパーセンテージ)。")</f>
        <v>生物学的標本中の形質細胞と B リンパ球の相対的な測定値 (比率またはパーセンテージ)。</v>
      </c>
      <c r="I3893" s="3" t="str">
        <f ca="1">IFERROR(__xludf.DUMMYFUNCTION("googletranslate(F3893,""en"",""ja"")"),"形質細胞とBリンパ球の比率の測定")</f>
        <v>形質細胞とBリンパ球の比率の測定</v>
      </c>
    </row>
    <row r="3894" spans="1:9" ht="60">
      <c r="A3894" s="3" t="s">
        <v>210</v>
      </c>
      <c r="B3894" s="3" t="s">
        <v>16094</v>
      </c>
      <c r="C3894" s="3" t="s">
        <v>16095</v>
      </c>
      <c r="D3894" s="3" t="s">
        <v>16095</v>
      </c>
      <c r="E3894" s="3" t="s">
        <v>16096</v>
      </c>
      <c r="F3894" s="3" t="s">
        <v>16097</v>
      </c>
      <c r="G3894" s="3" t="str">
        <f ca="1">IFERROR(__xludf.DUMMYFUNCTION("googletranslate(D3894,""en"",""ja"")"),"PPD の変化率ベースライン")</f>
        <v>PPD の変化率ベースライン</v>
      </c>
      <c r="H3894" s="3" t="str">
        <f ca="1">IFERROR(__xludf.DUMMYFUNCTION("googletranslate(E3894,""en"",""ja"")"),"(垂直直径の現在の積 - 垂直直径のベースライン積) を垂直直径のベースライン積で割って 100 を掛けます。")</f>
        <v>(垂直直径の現在の積 - 垂直直径のベースライン積) を垂直直径のベースライン積で割って 100 を掛けます。</v>
      </c>
      <c r="I3894" s="3" t="str">
        <f ca="1">IFERROR(__xludf.DUMMYFUNCTION("googletranslate(F3894,""en"",""ja"")"),"垂直直径の製品のベースラインからの変化率")</f>
        <v>垂直直径の製品のベースラインからの変化率</v>
      </c>
    </row>
    <row r="3895" spans="1:9" ht="45">
      <c r="A3895" s="3" t="s">
        <v>210</v>
      </c>
      <c r="B3895" s="3" t="s">
        <v>16098</v>
      </c>
      <c r="C3895" s="3" t="s">
        <v>16099</v>
      </c>
      <c r="D3895" s="3" t="s">
        <v>16099</v>
      </c>
      <c r="E3895" s="3" t="s">
        <v>16100</v>
      </c>
      <c r="F3895" s="3" t="s">
        <v>16101</v>
      </c>
      <c r="G3895" s="3" t="str">
        <f ca="1">IFERROR(__xludf.DUMMYFUNCTION("googletranslate(D3895,""en"",""ja"")"),"直径の合計におけるベースラインの変化率")</f>
        <v>直径の合計におけるベースラインの変化率</v>
      </c>
      <c r="H3895" s="3" t="str">
        <f ca="1">IFERROR(__xludf.DUMMYFUNCTION("googletranslate(E3895,""en"",""ja"")"),"(現在の直径の合計からベースラインの直径の合計を引いたもの) をベースラインの直径の合計で割って 100 を掛けたもの。")</f>
        <v>(現在の直径の合計からベースラインの直径の合計を引いたもの) をベースラインの直径の合計で割って 100 を掛けたもの。</v>
      </c>
      <c r="I3895" s="3" t="str">
        <f ca="1">IFERROR(__xludf.DUMMYFUNCTION("googletranslate(F3895,""en"",""ja"")"),"直径の合計のベースラインからの変化率")</f>
        <v>直径の合計のベースラインからの変化率</v>
      </c>
    </row>
    <row r="3896" spans="1:9" ht="45">
      <c r="A3896" s="3" t="s">
        <v>210</v>
      </c>
      <c r="B3896" s="3" t="s">
        <v>16102</v>
      </c>
      <c r="C3896" s="3" t="s">
        <v>16103</v>
      </c>
      <c r="D3896" s="3" t="s">
        <v>16103</v>
      </c>
      <c r="E3896" s="3" t="s">
        <v>16104</v>
      </c>
      <c r="F3896" s="3" t="s">
        <v>16105</v>
      </c>
      <c r="G3896" s="3" t="str">
        <f ca="1">IFERROR(__xludf.DUMMYFUNCTION("googletranslate(D3896,""en"",""ja"")"),"変化率ベースライン合計最長直径")</f>
        <v>変化率ベースライン合計最長直径</v>
      </c>
      <c r="H3896" s="3" t="str">
        <f ca="1">IFERROR(__xludf.DUMMYFUNCTION("googletranslate(E3896,""en"",""ja"")"),"(最長直径の現在の合計から最長直径のベースライン合計を差し引いたもの) を最長直径のベースライン合計で割って 100 を掛けたもの。")</f>
        <v>(最長直径の現在の合計から最長直径のベースライン合計を差し引いたもの) を最長直径のベースライン合計で割って 100 を掛けたもの。</v>
      </c>
      <c r="I3896" s="3" t="str">
        <f ca="1">IFERROR(__xludf.DUMMYFUNCTION("googletranslate(F3896,""en"",""ja"")"),"最長直径の合計におけるベースラインからの変化率")</f>
        <v>最長直径の合計におけるベースラインからの変化率</v>
      </c>
    </row>
    <row r="3897" spans="1:9" ht="45">
      <c r="A3897" s="3" t="s">
        <v>210</v>
      </c>
      <c r="B3897" s="3" t="s">
        <v>16106</v>
      </c>
      <c r="C3897" s="3" t="s">
        <v>16107</v>
      </c>
      <c r="D3897" s="3" t="s">
        <v>16108</v>
      </c>
      <c r="E3897" s="3" t="s">
        <v>16109</v>
      </c>
      <c r="F3897" s="3" t="s">
        <v>16110</v>
      </c>
      <c r="G3897" s="3" t="str">
        <f ca="1">IFERROR(__xludf.DUMMYFUNCTION("googletranslate(D3897,""en"",""ja"")"),"Organ Enlarge のベースライン変化率。臓器拡大におけるベースラインの変化率")</f>
        <v>Organ Enlarge のベースライン変化率。臓器拡大におけるベースラインの変化率</v>
      </c>
      <c r="H3897" s="3" t="str">
        <f ca="1">IFERROR(__xludf.DUMMYFUNCTION("googletranslate(E3897,""en"",""ja"")"),"(現在の臓器拡大からベースラインの臓器拡大を差し引いた値) をベースラインの臓器拡大で割って 100 を掛けた値。(NCI)")</f>
        <v>(現在の臓器拡大からベースラインの臓器拡大を差し引いた値) をベースラインの臓器拡大で割って 100 を掛けた値。(NCI)</v>
      </c>
      <c r="I3897" s="3" t="str">
        <f ca="1">IFERROR(__xludf.DUMMYFUNCTION("googletranslate(F3897,""en"",""ja"")"),"臓器拡大におけるベースラインからの変化率")</f>
        <v>臓器拡大におけるベースラインからの変化率</v>
      </c>
    </row>
    <row r="3898" spans="1:9" ht="60">
      <c r="A3898" s="3" t="s">
        <v>210</v>
      </c>
      <c r="B3898" s="3" t="s">
        <v>16111</v>
      </c>
      <c r="C3898" s="3" t="s">
        <v>16112</v>
      </c>
      <c r="D3898" s="3" t="s">
        <v>16112</v>
      </c>
      <c r="E3898" s="3" t="s">
        <v>16113</v>
      </c>
      <c r="F3898" s="3" t="s">
        <v>16114</v>
      </c>
      <c r="G3898" s="3" t="str">
        <f ca="1">IFERROR(__xludf.DUMMYFUNCTION("googletranslate(D3898,""en"",""ja"")"),"PPD の合計におけるベースラインの変化率")</f>
        <v>PPD の合計におけるベースラインの変化率</v>
      </c>
      <c r="H3898" s="3" t="str">
        <f ca="1">IFERROR(__xludf.DUMMYFUNCTION("googletranslate(E3898,""en"",""ja"")"),"(垂直直径の積の現在の合計から垂直直径の積のベースライン合計を引いたもの) を垂直直径の積のベースライン合計で割って 100 を掛けたもの。")</f>
        <v>(垂直直径の積の現在の合計から垂直直径の積のベースライン合計を引いたもの) を垂直直径の積のベースライン合計で割って 100 を掛けたもの。</v>
      </c>
      <c r="I3898" s="3" t="str">
        <f ca="1">IFERROR(__xludf.DUMMYFUNCTION("googletranslate(F3898,""en"",""ja"")"),"垂直直径の積の合計のベースラインからの変化率")</f>
        <v>垂直直径の積の合計のベースラインからの変化率</v>
      </c>
    </row>
    <row r="3899" spans="1:9" ht="60">
      <c r="A3899" s="3" t="s">
        <v>210</v>
      </c>
      <c r="B3899" s="3" t="s">
        <v>16115</v>
      </c>
      <c r="C3899" s="3" t="s">
        <v>16116</v>
      </c>
      <c r="D3899" s="3" t="s">
        <v>16116</v>
      </c>
      <c r="E3899" s="3" t="s">
        <v>16117</v>
      </c>
      <c r="F3899" s="3" t="s">
        <v>16118</v>
      </c>
      <c r="G3899" s="3" t="str">
        <f ca="1">IFERROR(__xludf.DUMMYFUNCTION("googletranslate(D3899,""en"",""ja"")"),"ボリューム合計のベースライン変化率")</f>
        <v>ボリューム合計のベースライン変化率</v>
      </c>
      <c r="H3899" s="3" t="str">
        <f ca="1">IFERROR(__xludf.DUMMYFUNCTION("googletranslate(E3899,""en"",""ja"")"),"(現在のボリュームの合計からベースラインのボリュームの合計を差し引いたもの) をベースラインのボリュームの合計で割って 100 を掛けたもの。")</f>
        <v>(現在のボリュームの合計からベースラインのボリュームの合計を差し引いたもの) をベースラインのボリュームの合計で割って 100 を掛けたもの。</v>
      </c>
      <c r="I3899" s="3" t="str">
        <f ca="1">IFERROR(__xludf.DUMMYFUNCTION("googletranslate(F3899,""en"",""ja"")"),"ボリューム合計のベースラインからの変化率")</f>
        <v>ボリューム合計のベースラインからの変化率</v>
      </c>
    </row>
    <row r="3900" spans="1:9" ht="30">
      <c r="A3900" s="3" t="s">
        <v>6</v>
      </c>
      <c r="B3900" s="3" t="s">
        <v>16119</v>
      </c>
      <c r="C3900" s="3" t="s">
        <v>16120</v>
      </c>
      <c r="D3900" s="3" t="s">
        <v>16120</v>
      </c>
      <c r="E3900" s="3" t="s">
        <v>16121</v>
      </c>
      <c r="F3900" s="3" t="s">
        <v>16122</v>
      </c>
      <c r="G3900" s="3" t="str">
        <f ca="1">IFERROR(__xludf.DUMMYFUNCTION("googletranslate(D3900,""en"",""ja"")"),"血小板成分分布幅")</f>
        <v>血小板成分分布幅</v>
      </c>
      <c r="H3900" s="3" t="str">
        <f ca="1">IFERROR(__xludf.DUMMYFUNCTION("googletranslate(E3900,""en"",""ja"")"),"生物学的標本における血小板の形状変化のマーカーの測定。")</f>
        <v>生物学的標本における血小板の形状変化のマーカーの測定。</v>
      </c>
      <c r="I3900" s="3" t="str">
        <f ca="1">IFERROR(__xludf.DUMMYFUNCTION("googletranslate(F3900,""en"",""ja"")"),"血小板成分分布幅測定")</f>
        <v>血小板成分分布幅測定</v>
      </c>
    </row>
    <row r="3901" spans="1:9" ht="30">
      <c r="A3901" s="3" t="s">
        <v>490</v>
      </c>
      <c r="B3901" s="3" t="s">
        <v>16123</v>
      </c>
      <c r="C3901" s="3" t="s">
        <v>16124</v>
      </c>
      <c r="D3901" s="3" t="s">
        <v>16124</v>
      </c>
      <c r="E3901" s="3" t="s">
        <v>16125</v>
      </c>
      <c r="F3901" s="3" t="s">
        <v>16124</v>
      </c>
      <c r="G3901" s="3" t="str">
        <f ca="1">IFERROR(__xludf.DUMMYFUNCTION("googletranslate(D3901,""en"",""ja"")"),"咳のピーク流量")</f>
        <v>咳のピーク流量</v>
      </c>
      <c r="H3901" s="3" t="str">
        <f ca="1">IFERROR(__xludf.DUMMYFUNCTION("googletranslate(E3901,""en"",""ja"")"),"咳中に口、気管内、または気管切開チューブから排出される空気流の最大速度。 (NCI)")</f>
        <v>咳中に口、気管内、または気管切開チューブから排出される空気流の最大速度。 (NCI)</v>
      </c>
      <c r="I3901" s="3" t="str">
        <f ca="1">IFERROR(__xludf.DUMMYFUNCTION("googletranslate(F3901,""en"",""ja"")"),"咳のピーク流量")</f>
        <v>咳のピーク流量</v>
      </c>
    </row>
    <row r="3902" spans="1:9" ht="30">
      <c r="A3902" s="3" t="s">
        <v>210</v>
      </c>
      <c r="B3902" s="3" t="s">
        <v>16126</v>
      </c>
      <c r="C3902" s="3" t="s">
        <v>16127</v>
      </c>
      <c r="D3902" s="3" t="s">
        <v>16127</v>
      </c>
      <c r="E3902" s="3" t="s">
        <v>16128</v>
      </c>
      <c r="F3902" s="3" t="s">
        <v>16127</v>
      </c>
      <c r="G3902" s="3" t="str">
        <f ca="1">IFERROR(__xludf.DUMMYFUNCTION("googletranslate(D3902,""en"",""ja"")"),"ベースラインからの変化率")</f>
        <v>ベースラインからの変化率</v>
      </c>
      <c r="H3902" s="3" t="str">
        <f ca="1">IFERROR(__xludf.DUMMYFUNCTION("googletranslate(E3902,""en"",""ja"")"),"(現在の値からベースライン値を引いたもの) をベースライン値で割って 100 を掛けた値。")</f>
        <v>(現在の値からベースライン値を引いたもの) をベースライン値で割って 100 を掛けた値。</v>
      </c>
      <c r="I3902" s="3" t="str">
        <f ca="1">IFERROR(__xludf.DUMMYFUNCTION("googletranslate(F3902,""en"",""ja"")"),"ベースラインからの変化率")</f>
        <v>ベースラインからの変化率</v>
      </c>
    </row>
    <row r="3903" spans="1:9" ht="45">
      <c r="A3903" s="3" t="s">
        <v>210</v>
      </c>
      <c r="B3903" s="3" t="s">
        <v>16129</v>
      </c>
      <c r="C3903" s="3" t="s">
        <v>16130</v>
      </c>
      <c r="D3903" s="3" t="s">
        <v>16130</v>
      </c>
      <c r="E3903" s="3" t="s">
        <v>16131</v>
      </c>
      <c r="F3903" s="3" t="s">
        <v>16130</v>
      </c>
      <c r="G3903" s="3" t="str">
        <f ca="1">IFERROR(__xludf.DUMMYFUNCTION("googletranslate(D3903,""en"",""ja"")"),"最下点からの変化率")</f>
        <v>最下点からの変化率</v>
      </c>
      <c r="H3903" s="3" t="str">
        <f ca="1">IFERROR(__xludf.DUMMYFUNCTION("googletranslate(E3903,""en"",""ja"")"),"(現在の値から以前に記録された最低値を引いたもの) を以前に記録された最低値で割って 100 を掛けたもの。")</f>
        <v>(現在の値から以前に記録された最低値を引いたもの) を以前に記録された最低値で割って 100 を掛けたもの。</v>
      </c>
      <c r="I3903" s="3" t="str">
        <f ca="1">IFERROR(__xludf.DUMMYFUNCTION("googletranslate(F3903,""en"",""ja"")"),"最下点からの変化率")</f>
        <v>最下点からの変化率</v>
      </c>
    </row>
    <row r="3904" spans="1:9" ht="30">
      <c r="A3904" s="3" t="s">
        <v>6</v>
      </c>
      <c r="B3904" s="3" t="s">
        <v>16132</v>
      </c>
      <c r="C3904" s="3" t="s">
        <v>16133</v>
      </c>
      <c r="D3904" s="3" t="s">
        <v>16133</v>
      </c>
      <c r="E3904" s="3" t="s">
        <v>16134</v>
      </c>
      <c r="F3904" s="3" t="s">
        <v>16135</v>
      </c>
      <c r="G3904" s="3" t="str">
        <f ca="1">IFERROR(__xludf.DUMMYFUNCTION("googletranslate(D3904,""en"",""ja"")"),"プロクロルペラジン")</f>
        <v>プロクロルペラジン</v>
      </c>
      <c r="H3904" s="3" t="str">
        <f ca="1">IFERROR(__xludf.DUMMYFUNCTION("googletranslate(E3904,""en"",""ja"")"),"生物学的標本中のプロクロルペラジンの測定。")</f>
        <v>生物学的標本中のプロクロルペラジンの測定。</v>
      </c>
      <c r="I3904" s="3" t="str">
        <f ca="1">IFERROR(__xludf.DUMMYFUNCTION("googletranslate(F3904,""en"",""ja"")"),"プロクロルペラジンの測定")</f>
        <v>プロクロルペラジンの測定</v>
      </c>
    </row>
    <row r="3905" spans="1:9" ht="30">
      <c r="A3905" s="3" t="s">
        <v>185</v>
      </c>
      <c r="B3905" s="3" t="s">
        <v>16136</v>
      </c>
      <c r="C3905" s="3" t="s">
        <v>16137</v>
      </c>
      <c r="D3905" s="3" t="s">
        <v>16137</v>
      </c>
      <c r="E3905" s="3" t="s">
        <v>16138</v>
      </c>
      <c r="F3905" s="3" t="s">
        <v>16139</v>
      </c>
      <c r="G3905" s="3" t="str">
        <f ca="1">IFERROR(__xludf.DUMMYFUNCTION("googletranslate(D3905,""en"",""ja"")"),"PCI 急性血管造影合併症")</f>
        <v>PCI 急性血管造影合併症</v>
      </c>
      <c r="H3905" s="3" t="str">
        <f ca="1">IFERROR(__xludf.DUMMYFUNCTION("googletranslate(E3905,""en"",""ja"")"),"急性心筋虚血を引き起こす急性 PCI 血管造影合併症のタイプの分類。")</f>
        <v>急性心筋虚血を引き起こす急性 PCI 血管造影合併症のタイプの分類。</v>
      </c>
      <c r="I3905" s="3" t="str">
        <f ca="1">IFERROR(__xludf.DUMMYFUNCTION("googletranslate(F3905,""en"",""ja"")"),"PCI合併症による急性心筋梗塞")</f>
        <v>PCI合併症による急性心筋梗塞</v>
      </c>
    </row>
    <row r="3906" spans="1:9" ht="30">
      <c r="A3906" s="3" t="s">
        <v>103</v>
      </c>
      <c r="B3906" s="3" t="s">
        <v>16140</v>
      </c>
      <c r="C3906" s="3" t="s">
        <v>16141</v>
      </c>
      <c r="D3906" s="3" t="s">
        <v>16142</v>
      </c>
      <c r="E3906" s="3" t="s">
        <v>16143</v>
      </c>
      <c r="F3906" s="3" t="s">
        <v>16144</v>
      </c>
      <c r="G3906" s="3" t="str">
        <f ca="1">IFERROR(__xludf.DUMMYFUNCTION("googletranslate(D3906,""en"",""ja"")"),"形質細胞/白血球;総形質細胞/白血球")</f>
        <v>形質細胞/白血球;総形質細胞/白血球</v>
      </c>
      <c r="H3906" s="3" t="str">
        <f ca="1">IFERROR(__xludf.DUMMYFUNCTION("googletranslate(E3906,""en"",""ja"")"),"生物学的標本中の白血球に対する総形質細胞の相対測定値 (比率またはパーセンテージ)。")</f>
        <v>生物学的標本中の白血球に対する総形質細胞の相対測定値 (比率またはパーセンテージ)。</v>
      </c>
      <c r="I3906" s="3" t="str">
        <f ca="1">IFERROR(__xludf.DUMMYFUNCTION("googletranslate(F3906,""en"",""ja"")"),"形質細胞と白血球の比率の測定")</f>
        <v>形質細胞と白血球の比率の測定</v>
      </c>
    </row>
    <row r="3907" spans="1:9" ht="30">
      <c r="A3907" s="3" t="s">
        <v>6</v>
      </c>
      <c r="B3907" s="3" t="s">
        <v>16145</v>
      </c>
      <c r="C3907" s="3" t="s">
        <v>16146</v>
      </c>
      <c r="D3907" s="3" t="s">
        <v>16147</v>
      </c>
      <c r="E3907" s="3" t="s">
        <v>16148</v>
      </c>
      <c r="F3907" s="3" t="s">
        <v>16149</v>
      </c>
      <c r="G3907" s="3" t="str">
        <f ca="1">IFERROR(__xludf.DUMMYFUNCTION("googletranslate(D3907,""en"",""ja"")"),"サイクリン。増殖細胞核抗原")</f>
        <v>サイクリン。増殖細胞核抗原</v>
      </c>
      <c r="H3907" s="3" t="str">
        <f ca="1">IFERROR(__xludf.DUMMYFUNCTION("googletranslate(E3907,""en"",""ja"")"),"生物学的標本中の増殖細胞核抗原の測定。")</f>
        <v>生物学的標本中の増殖細胞核抗原の測定。</v>
      </c>
      <c r="I3907" s="3" t="str">
        <f ca="1">IFERROR(__xludf.DUMMYFUNCTION("googletranslate(F3907,""en"",""ja"")"),"増殖細胞核抗原測定")</f>
        <v>増殖細胞核抗原測定</v>
      </c>
    </row>
    <row r="3908" spans="1:9" ht="60">
      <c r="A3908" s="3" t="s">
        <v>210</v>
      </c>
      <c r="B3908" s="3" t="s">
        <v>16150</v>
      </c>
      <c r="C3908" s="3" t="s">
        <v>16151</v>
      </c>
      <c r="D3908" s="3" t="s">
        <v>16152</v>
      </c>
      <c r="E3908" s="3" t="s">
        <v>16153</v>
      </c>
      <c r="F3908" s="3" t="s">
        <v>16154</v>
      </c>
      <c r="G3908" s="3" t="str">
        <f ca="1">IFERROR(__xludf.DUMMYFUNCTION("googletranslate(D3908,""en"",""ja"")"),"Organ Enlarge の最下位変化率。臓器拡大の最下位変化率")</f>
        <v>Organ Enlarge の最下位変化率。臓器拡大の最下位変化率</v>
      </c>
      <c r="H3908" s="3" t="str">
        <f ca="1">IFERROR(__xludf.DUMMYFUNCTION("googletranslate(E3908,""en"",""ja"")"),"(現在の臓器拡大から以前に記録された最低の臓器拡大を差し引いた値) を以前に記録された最低の臓器拡大で割って 100 を掛けたもの。 (NCI)")</f>
        <v>(現在の臓器拡大から以前に記録された最低の臓器拡大を差し引いた値) を以前に記録された最低の臓器拡大で割って 100 を掛けたもの。 (NCI)</v>
      </c>
      <c r="I3908" s="3" t="str">
        <f ca="1">IFERROR(__xludf.DUMMYFUNCTION("googletranslate(F3908,""en"",""ja"")"),"臓器拡大における最下位からの変化率")</f>
        <v>臓器拡大における最下位からの変化率</v>
      </c>
    </row>
    <row r="3909" spans="1:9" ht="60">
      <c r="A3909" s="3" t="s">
        <v>210</v>
      </c>
      <c r="B3909" s="3" t="s">
        <v>16155</v>
      </c>
      <c r="C3909" s="3" t="s">
        <v>16156</v>
      </c>
      <c r="D3909" s="3" t="s">
        <v>16156</v>
      </c>
      <c r="E3909" s="3" t="s">
        <v>16157</v>
      </c>
      <c r="F3909" s="3" t="s">
        <v>16158</v>
      </c>
      <c r="G3909" s="3" t="str">
        <f ca="1">IFERROR(__xludf.DUMMYFUNCTION("googletranslate(D3909,""en"",""ja"")"),"PPDの最低変動率")</f>
        <v>PPDの最低変動率</v>
      </c>
      <c r="H3909" s="3" t="str">
        <f ca="1">IFERROR(__xludf.DUMMYFUNCTION("googletranslate(E3909,""en"",""ja"")"),"(垂直直径の現在の積 - 以前に記録された垂直直径の最小積) を以前に記録された垂直直径の最小積で割って 100 を掛けます。")</f>
        <v>(垂直直径の現在の積 - 以前に記録された垂直直径の最小積) を以前に記録された垂直直径の最小積で割って 100 を掛けます。</v>
      </c>
      <c r="I3909" s="3" t="str">
        <f ca="1">IFERROR(__xludf.DUMMYFUNCTION("googletranslate(F3909,""en"",""ja"")"),"垂直直径の積における最下点からの変化率")</f>
        <v>垂直直径の積における最下点からの変化率</v>
      </c>
    </row>
    <row r="3910" spans="1:9" ht="45">
      <c r="A3910" s="3" t="s">
        <v>210</v>
      </c>
      <c r="B3910" s="3" t="s">
        <v>16159</v>
      </c>
      <c r="C3910" s="3" t="s">
        <v>16160</v>
      </c>
      <c r="D3910" s="3" t="s">
        <v>16160</v>
      </c>
      <c r="E3910" s="3" t="s">
        <v>16161</v>
      </c>
      <c r="F3910" s="3" t="s">
        <v>16162</v>
      </c>
      <c r="G3910" s="3" t="str">
        <f ca="1">IFERROR(__xludf.DUMMYFUNCTION("googletranslate(D3910,""en"",""ja"")"),"ダイヤ合計の最下位変化率")</f>
        <v>ダイヤ合計の最下位変化率</v>
      </c>
      <c r="H3910" s="3" t="str">
        <f ca="1">IFERROR(__xludf.DUMMYFUNCTION("googletranslate(E3910,""en"",""ja"")"),"(現在の直径の合計から以前に記録された最小の直径の合計を引いたもの) を以前に記録された最小の直径の合計で割って 100 を掛けます。")</f>
        <v>(現在の直径の合計から以前に記録された最小の直径の合計を引いたもの) を以前に記録された最小の直径の合計で割って 100 を掛けます。</v>
      </c>
      <c r="I3910" s="3" t="str">
        <f ca="1">IFERROR(__xludf.DUMMYFUNCTION("googletranslate(F3910,""en"",""ja"")"),"直径の合計の最下点からの変化率")</f>
        <v>直径の合計の最下点からの変化率</v>
      </c>
    </row>
    <row r="3911" spans="1:9" ht="60">
      <c r="A3911" s="3" t="s">
        <v>210</v>
      </c>
      <c r="B3911" s="3" t="s">
        <v>16163</v>
      </c>
      <c r="C3911" s="3" t="s">
        <v>16164</v>
      </c>
      <c r="D3911" s="3" t="s">
        <v>16164</v>
      </c>
      <c r="E3911" s="3" t="s">
        <v>16165</v>
      </c>
      <c r="F3911" s="3" t="s">
        <v>16166</v>
      </c>
      <c r="G3911" s="3" t="str">
        <f ca="1">IFERROR(__xludf.DUMMYFUNCTION("googletranslate(D3911,""en"",""ja"")"),"最長直径合計の最下位変化率")</f>
        <v>最長直径合計の最下位変化率</v>
      </c>
      <c r="H3911" s="3" t="str">
        <f ca="1">IFERROR(__xludf.DUMMYFUNCTION("googletranslate(E3911,""en"",""ja"")"),"(現在の最長直径の合計から以前に記録された最長直径の最低合計を差し引いたもの) を以前に記録された最長直径の最低合計で割って 100 を掛けます。")</f>
        <v>(現在の最長直径の合計から以前に記録された最長直径の最低合計を差し引いたもの) を以前に記録された最長直径の最低合計で割って 100 を掛けます。</v>
      </c>
      <c r="I3911" s="3" t="str">
        <f ca="1">IFERROR(__xludf.DUMMYFUNCTION("googletranslate(F3911,""en"",""ja"")"),"最長直径の合計の最下点からの変化率")</f>
        <v>最長直径の合計の最下点からの変化率</v>
      </c>
    </row>
    <row r="3912" spans="1:9" ht="75">
      <c r="A3912" s="3" t="s">
        <v>210</v>
      </c>
      <c r="B3912" s="3" t="s">
        <v>16167</v>
      </c>
      <c r="C3912" s="3" t="s">
        <v>16168</v>
      </c>
      <c r="D3912" s="3" t="s">
        <v>16168</v>
      </c>
      <c r="E3912" s="3" t="s">
        <v>16169</v>
      </c>
      <c r="F3912" s="3" t="s">
        <v>16170</v>
      </c>
      <c r="G3912" s="3" t="str">
        <f ca="1">IFERROR(__xludf.DUMMYFUNCTION("googletranslate(D3912,""en"",""ja"")"),"PPD合計の最低変化率")</f>
        <v>PPD合計の最低変化率</v>
      </c>
      <c r="H3912" s="3" t="str">
        <f ca="1">IFERROR(__xludf.DUMMYFUNCTION("googletranslate(E3912,""en"",""ja"")"),"(垂直直径の積の現在の合計から以前に記録された垂直直径の積の最小合計を差し引いた値) を以前に記録された垂直直径の積の最小合計で割って 100 を掛けます。")</f>
        <v>(垂直直径の積の現在の合計から以前に記録された垂直直径の積の最小合計を差し引いた値) を以前に記録された垂直直径の積の最小合計で割って 100 を掛けます。</v>
      </c>
      <c r="I3912" s="3" t="str">
        <f ca="1">IFERROR(__xludf.DUMMYFUNCTION("googletranslate(F3912,""en"",""ja"")"),"垂直直径の積の合計の最下点からの変化率")</f>
        <v>垂直直径の積の合計の最下点からの変化率</v>
      </c>
    </row>
    <row r="3913" spans="1:9" ht="60">
      <c r="A3913" s="3" t="s">
        <v>210</v>
      </c>
      <c r="B3913" s="3" t="s">
        <v>16171</v>
      </c>
      <c r="C3913" s="3" t="s">
        <v>16172</v>
      </c>
      <c r="D3913" s="3" t="s">
        <v>16172</v>
      </c>
      <c r="E3913" s="3" t="s">
        <v>16173</v>
      </c>
      <c r="F3913" s="3" t="s">
        <v>16172</v>
      </c>
      <c r="G3913" s="3" t="str">
        <f ca="1">IFERROR(__xludf.DUMMYFUNCTION("googletranslate(D3913,""en"",""ja"")"),"出来高合計の最低値変化率")</f>
        <v>出来高合計の最低値変化率</v>
      </c>
      <c r="H3913" s="3" t="str">
        <f ca="1">IFERROR(__xludf.DUMMYFUNCTION("googletranslate(E3913,""en"",""ja"")"),"(現在のボリュームの合計から以前に記録された最低のボリュームの合計を差し引いたもの) を以前に記録された最低のボリュームの合計で割って 100 を掛けたもの。")</f>
        <v>(現在のボリュームの合計から以前に記録された最低のボリュームの合計を差し引いたもの) を以前に記録された最低のボリュームの合計で割って 100 を掛けたもの。</v>
      </c>
      <c r="I3913" s="3" t="str">
        <f ca="1">IFERROR(__xludf.DUMMYFUNCTION("googletranslate(F3913,""en"",""ja"")"),"出来高合計の最低値変化率")</f>
        <v>出来高合計の最低値変化率</v>
      </c>
    </row>
    <row r="3914" spans="1:9" ht="30">
      <c r="A3914" s="3" t="s">
        <v>6</v>
      </c>
      <c r="B3914" s="3" t="s">
        <v>16174</v>
      </c>
      <c r="C3914" s="3" t="s">
        <v>16175</v>
      </c>
      <c r="D3914" s="3" t="s">
        <v>16175</v>
      </c>
      <c r="E3914" s="3" t="s">
        <v>16176</v>
      </c>
      <c r="F3914" s="3" t="s">
        <v>16177</v>
      </c>
      <c r="G3914" s="3" t="str">
        <f ca="1">IFERROR(__xludf.DUMMYFUNCTION("googletranslate(D3914,""en"",""ja"")"),"分圧二酸化炭素")</f>
        <v>分圧二酸化炭素</v>
      </c>
      <c r="H3914" s="3" t="str">
        <f ca="1">IFERROR(__xludf.DUMMYFUNCTION("googletranslate(E3914,""en"",""ja"")"),"生物学的標本内の二酸化炭素の圧力の測定。")</f>
        <v>生物学的標本内の二酸化炭素の圧力の測定。</v>
      </c>
      <c r="I3914" s="3" t="str">
        <f ca="1">IFERROR(__xludf.DUMMYFUNCTION("googletranslate(F3914,""en"",""ja"")"),"二酸化炭素分圧測定")</f>
        <v>二酸化炭素分圧測定</v>
      </c>
    </row>
    <row r="3915" spans="1:9" ht="45">
      <c r="A3915" s="3" t="s">
        <v>6</v>
      </c>
      <c r="B3915" s="3" t="s">
        <v>16178</v>
      </c>
      <c r="C3915" s="3" t="s">
        <v>16179</v>
      </c>
      <c r="D3915" s="3" t="s">
        <v>16179</v>
      </c>
      <c r="E3915" s="3" t="s">
        <v>16180</v>
      </c>
      <c r="F3915" s="3" t="s">
        <v>16181</v>
      </c>
      <c r="G3915" s="3" t="str">
        <f ca="1">IFERROR(__xludf.DUMMYFUNCTION("googletranslate(D3915,""en"",""ja"")"),"二酸化炭素分圧調整温度")</f>
        <v>二酸化炭素分圧調整温度</v>
      </c>
      <c r="H3915" s="3" t="str">
        <f ca="1">IFERROR(__xludf.DUMMYFUNCTION("googletranslate(E3915,""en"",""ja"")"),"体温に合わせて調整された、生体標本内の二酸化炭素の圧力の測定。")</f>
        <v>体温に合わせて調整された、生体標本内の二酸化炭素の圧力の測定。</v>
      </c>
      <c r="I3915" s="3" t="str">
        <f ca="1">IFERROR(__xludf.DUMMYFUNCTION("googletranslate(F3915,""en"",""ja"")"),"体温測定用に調整された二酸化炭素分圧")</f>
        <v>体温測定用に調整された二酸化炭素分圧</v>
      </c>
    </row>
    <row r="3916" spans="1:9" ht="30">
      <c r="A3916" s="3" t="s">
        <v>142</v>
      </c>
      <c r="B3916" s="3" t="s">
        <v>16182</v>
      </c>
      <c r="C3916" s="3" t="s">
        <v>16183</v>
      </c>
      <c r="D3916" s="3" t="s">
        <v>16183</v>
      </c>
      <c r="E3916" s="3" t="s">
        <v>16184</v>
      </c>
      <c r="F3916" s="3" t="s">
        <v>16183</v>
      </c>
      <c r="G3916" s="3" t="str">
        <f ca="1">IFERROR(__xludf.DUMMYFUNCTION("googletranslate(D3916,""en"",""ja"")"),"妊娠確認インジケーター")</f>
        <v>妊娠確認インジケーター</v>
      </c>
      <c r="H3916" s="3" t="str">
        <f ca="1">IFERROR(__xludf.DUMMYFUNCTION("googletranslate(E3916,""en"",""ja"")"),"被験者の妊娠が確認されたかどうかを示す指標。")</f>
        <v>被験者の妊娠が確認されたかどうかを示す指標。</v>
      </c>
      <c r="I3916" s="3" t="str">
        <f ca="1">IFERROR(__xludf.DUMMYFUNCTION("googletranslate(F3916,""en"",""ja"")"),"妊娠確認インジケーター")</f>
        <v>妊娠確認インジケーター</v>
      </c>
    </row>
    <row r="3917" spans="1:9" ht="30">
      <c r="A3917" s="3" t="s">
        <v>6</v>
      </c>
      <c r="B3917" s="3" t="s">
        <v>16185</v>
      </c>
      <c r="C3917" s="3" t="s">
        <v>16186</v>
      </c>
      <c r="D3917" s="3" t="s">
        <v>16187</v>
      </c>
      <c r="E3917" s="3" t="s">
        <v>16188</v>
      </c>
      <c r="F3917" s="3" t="s">
        <v>16189</v>
      </c>
      <c r="G3917" s="3" t="str">
        <f ca="1">IFERROR(__xludf.DUMMYFUNCTION("googletranslate(D3917,""en"",""ja"")"),"フェンシクリジン;フェニルシクロヘキシルピペリジン")</f>
        <v>フェンシクリジン;フェニルシクロヘキシルピペリジン</v>
      </c>
      <c r="H3917" s="3" t="str">
        <f ca="1">IFERROR(__xludf.DUMMYFUNCTION("googletranslate(E3917,""en"",""ja"")"),"生物学的標本中に存在するフェンシクリジンの測定。")</f>
        <v>生物学的標本中に存在するフェンシクリジンの測定。</v>
      </c>
      <c r="I3917" s="3" t="str">
        <f ca="1">IFERROR(__xludf.DUMMYFUNCTION("googletranslate(F3917,""en"",""ja"")"),"フェンシクリジンの測定")</f>
        <v>フェンシクリジンの測定</v>
      </c>
    </row>
    <row r="3918" spans="1:9" ht="30">
      <c r="A3918" s="3" t="s">
        <v>103</v>
      </c>
      <c r="B3918" s="3" t="s">
        <v>16190</v>
      </c>
      <c r="C3918" s="3" t="s">
        <v>16191</v>
      </c>
      <c r="D3918" s="3" t="s">
        <v>16192</v>
      </c>
      <c r="E3918" s="3" t="s">
        <v>16193</v>
      </c>
      <c r="F3918" s="3" t="s">
        <v>16194</v>
      </c>
      <c r="G3918" s="3" t="str">
        <f ca="1">IFERROR(__xludf.DUMMYFUNCTION("googletranslate(D3918,""en"",""ja"")"),"形質細胞サブ;形質細胞の部分集団。総血漿細胞数サブ")</f>
        <v>形質細胞サブ;形質細胞の部分集団。総血漿細胞数サブ</v>
      </c>
      <c r="H3918" s="3" t="str">
        <f ca="1">IFERROR(__xludf.DUMMYFUNCTION("googletranslate(E3918,""en"",""ja"")"),"生物学的標本中の形質細胞の部分集団の測定。")</f>
        <v>生物学的標本中の形質細胞の部分集団の測定。</v>
      </c>
      <c r="I3918" s="3" t="str">
        <f ca="1">IFERROR(__xludf.DUMMYFUNCTION("googletranslate(F3918,""en"",""ja"")"),"形質細胞部分集団の数")</f>
        <v>形質細胞部分集団の数</v>
      </c>
    </row>
    <row r="3919" spans="1:9" ht="60">
      <c r="A3919" s="3" t="s">
        <v>103</v>
      </c>
      <c r="B3919" s="3" t="s">
        <v>16195</v>
      </c>
      <c r="C3919" s="3" t="s">
        <v>16196</v>
      </c>
      <c r="D3919" s="3" t="s">
        <v>16197</v>
      </c>
      <c r="E3919" s="3" t="s">
        <v>16198</v>
      </c>
      <c r="F3919" s="3" t="s">
        <v>16199</v>
      </c>
      <c r="G3919" s="3" t="str">
        <f ca="1">IFERROR(__xludf.DUMMYFUNCTION("googletranslate(D3919,""en"",""ja"")"),"PCサブ/BLym;形質細胞サブ集団/B リンパ球;形質細胞亜/Bリンパ球;形質細胞サブ/BLym")</f>
        <v>PCサブ/BLym;形質細胞サブ集団/B リンパ球;形質細胞亜/Bリンパ球;形質細胞サブ/BLym</v>
      </c>
      <c r="H3919" s="3" t="str">
        <f ca="1">IFERROR(__xludf.DUMMYFUNCTION("googletranslate(E3919,""en"",""ja"")"),"生物学的標本中の総 B リンパ球に対する形質細胞の部分集団の相対的な測定値 (比率またはパーセンテージ)。")</f>
        <v>生物学的標本中の総 B リンパ球に対する形質細胞の部分集団の相対的な測定値 (比率またはパーセンテージ)。</v>
      </c>
      <c r="I3919" s="3" t="str">
        <f ca="1">IFERROR(__xludf.DUMMYFUNCTION("googletranslate(F3919,""en"",""ja"")"),"形質細胞部分集団と B リンパ球の比率の測定")</f>
        <v>形質細胞部分集団と B リンパ球の比率の測定</v>
      </c>
    </row>
    <row r="3920" spans="1:9" ht="45">
      <c r="A3920" s="3" t="s">
        <v>6</v>
      </c>
      <c r="B3920" s="3" t="s">
        <v>16200</v>
      </c>
      <c r="C3920" s="3" t="s">
        <v>16201</v>
      </c>
      <c r="D3920" s="3" t="s">
        <v>16201</v>
      </c>
      <c r="E3920" s="3" t="s">
        <v>16202</v>
      </c>
      <c r="F3920" s="3" t="s">
        <v>16203</v>
      </c>
      <c r="G3920" s="3" t="str">
        <f ca="1">IFERROR(__xludf.DUMMYFUNCTION("googletranslate(D3920,""en"",""ja"")"),"プロタンパク質変換酵素サブチリシン/ケキシン 9")</f>
        <v>プロタンパク質変換酵素サブチリシン/ケキシン 9</v>
      </c>
      <c r="H3920" s="3" t="str">
        <f ca="1">IFERROR(__xludf.DUMMYFUNCTION("googletranslate(E3920,""en"",""ja"")"),"生物学的標本中のプロタンパク質変換酵素サブチリシン/ケキシン タイプ 9 の測定。")</f>
        <v>生物学的標本中のプロタンパク質変換酵素サブチリシン/ケキシン タイプ 9 の測定。</v>
      </c>
      <c r="I3920" s="3" t="str">
        <f ca="1">IFERROR(__xludf.DUMMYFUNCTION("googletranslate(F3920,""en"",""ja"")"),"プロタンパク質変換酵素サブチリシン/ケキシン 9 型の測定")</f>
        <v>プロタンパク質変換酵素サブチリシン/ケキシン 9 型の測定</v>
      </c>
    </row>
    <row r="3921" spans="1:9" ht="60">
      <c r="A3921" s="3" t="s">
        <v>6</v>
      </c>
      <c r="B3921" s="3" t="s">
        <v>16204</v>
      </c>
      <c r="C3921" s="3" t="s">
        <v>16205</v>
      </c>
      <c r="D3921" s="3" t="s">
        <v>16206</v>
      </c>
      <c r="E3921" s="3" t="s">
        <v>16207</v>
      </c>
      <c r="F3921" s="3" t="s">
        <v>16208</v>
      </c>
      <c r="G3921" s="3" t="str">
        <f ca="1">IFERROR(__xludf.DUMMYFUNCTION("googletranslate(D3921,""en"",""ja"")"),"プロタンパク質変換酵素サブチリシン/ケキシン タイプ 9; Prprot Cnvrtase Subtilisin-Kexin 9、フリー")</f>
        <v>プロタンパク質変換酵素サブチリシン/ケキシン タイプ 9; Prprot Cnvrtase Subtilisin-Kexin 9、フリー</v>
      </c>
      <c r="H3921" s="3" t="str">
        <f ca="1">IFERROR(__xludf.DUMMYFUNCTION("googletranslate(E3921,""en"",""ja"")"),"生物学的標本中の遊離プロタンパク質転換酵素スブチリシン/ケキシン タイプ 9 の測定。")</f>
        <v>生物学的標本中の遊離プロタンパク質転換酵素スブチリシン/ケキシン タイプ 9 の測定。</v>
      </c>
      <c r="I3921" s="3" t="str">
        <f ca="1">IFERROR(__xludf.DUMMYFUNCTION("googletranslate(F3921,""en"",""ja"")"),"遊離プロタンパク質変換酵素サブチリシン/ケキシン 9 型の測定")</f>
        <v>遊離プロタンパク質変換酵素サブチリシン/ケキシン 9 型の測定</v>
      </c>
    </row>
    <row r="3922" spans="1:9" ht="60">
      <c r="A3922" s="3" t="s">
        <v>103</v>
      </c>
      <c r="B3922" s="3" t="s">
        <v>16209</v>
      </c>
      <c r="C3922" s="3" t="s">
        <v>16210</v>
      </c>
      <c r="D3922" s="3" t="s">
        <v>16211</v>
      </c>
      <c r="E3922" s="3" t="s">
        <v>16212</v>
      </c>
      <c r="F3922" s="3" t="s">
        <v>16213</v>
      </c>
      <c r="G3922" s="3" t="str">
        <f ca="1">IFERROR(__xludf.DUMMYFUNCTION("googletranslate(D3922,""en"",""ja"")"),"PCサブ/リューク;形質細胞部分集団/白血球;形質細胞サブ/白血球;形質細胞亜細胞/白血球")</f>
        <v>PCサブ/リューク;形質細胞部分集団/白血球;形質細胞サブ/白血球;形質細胞亜細胞/白血球</v>
      </c>
      <c r="H3922" s="3" t="str">
        <f ca="1">IFERROR(__xludf.DUMMYFUNCTION("googletranslate(E3922,""en"",""ja"")"),"生物学的標本中の総白血球に対する形質細胞の部分集団の相対的な測定値 (比率またはパーセンテージ)。")</f>
        <v>生物学的標本中の総白血球に対する形質細胞の部分集団の相対的な測定値 (比率またはパーセンテージ)。</v>
      </c>
      <c r="I3922" s="3" t="str">
        <f ca="1">IFERROR(__xludf.DUMMYFUNCTION("googletranslate(F3922,""en"",""ja"")"),"形質細胞部分集団と白血球の比率の測定")</f>
        <v>形質細胞部分集団と白血球の比率の測定</v>
      </c>
    </row>
    <row r="3923" spans="1:9" ht="45">
      <c r="A3923" s="3" t="s">
        <v>103</v>
      </c>
      <c r="B3923" s="3" t="s">
        <v>16214</v>
      </c>
      <c r="C3923" s="3" t="s">
        <v>16215</v>
      </c>
      <c r="D3923" s="3" t="s">
        <v>16216</v>
      </c>
      <c r="E3923" s="3" t="s">
        <v>16217</v>
      </c>
      <c r="F3923" s="3" t="s">
        <v>16218</v>
      </c>
      <c r="G3923" s="3" t="str">
        <f ca="1">IFERROR(__xludf.DUMMYFUNCTION("googletranslate(D3923,""en"",""ja"")"),"PCサブ/PC;形質細胞部分集団/形質細胞;形質細胞 サブ/形質細胞")</f>
        <v>PCサブ/PC;形質細胞部分集団/形質細胞;形質細胞 サブ/形質細胞</v>
      </c>
      <c r="H3923" s="3" t="str">
        <f ca="1">IFERROR(__xludf.DUMMYFUNCTION("googletranslate(E3923,""en"",""ja"")"),"生物学的標本中の総形質細胞に対する形質細胞の部分集団の相対的な測定値 (比率またはパーセンテージ)。")</f>
        <v>生物学的標本中の総形質細胞に対する形質細胞の部分集団の相対的な測定値 (比率またはパーセンテージ)。</v>
      </c>
      <c r="I3923" s="3" t="str">
        <f ca="1">IFERROR(__xludf.DUMMYFUNCTION("googletranslate(F3923,""en"",""ja"")"),"形質細胞亜集団対形質細胞比の測定")</f>
        <v>形質細胞亜集団対形質細胞比の測定</v>
      </c>
    </row>
    <row r="3924" spans="1:9" ht="60">
      <c r="A3924" s="3" t="s">
        <v>103</v>
      </c>
      <c r="B3924" s="3" t="s">
        <v>16219</v>
      </c>
      <c r="C3924" s="3" t="s">
        <v>16220</v>
      </c>
      <c r="D3924" s="3" t="s">
        <v>16221</v>
      </c>
      <c r="E3924" s="3" t="s">
        <v>16222</v>
      </c>
      <c r="F3924" s="3" t="s">
        <v>16223</v>
      </c>
      <c r="G3924" s="3" t="str">
        <f ca="1">IFERROR(__xludf.DUMMYFUNCTION("googletranslate(D3924,""en"",""ja"")"),"PCサブ/PCサブ;形質細胞サブ集団/形質細胞サブ集団;形質細胞サブ/形質細胞サブ")</f>
        <v>PCサブ/PCサブ;形質細胞サブ集団/形質細胞サブ集団;形質細胞サブ/形質細胞サブ</v>
      </c>
      <c r="H3924" s="3" t="str">
        <f ca="1">IFERROR(__xludf.DUMMYFUNCTION("googletranslate(E3924,""en"",""ja"")"),"生物学的標本中の形質細胞の部分集団に対する形質細胞の部分集団の相対的な測定値 (比率またはパーセンテージ)。")</f>
        <v>生物学的標本中の形質細胞の部分集団に対する形質細胞の部分集団の相対的な測定値 (比率またはパーセンテージ)。</v>
      </c>
      <c r="I3924" s="3" t="str">
        <f ca="1">IFERROR(__xludf.DUMMYFUNCTION("googletranslate(F3924,""en"",""ja"")"),"形質細胞部分集団対形質細胞部分集団の比率の測定")</f>
        <v>形質細胞部分集団対形質細胞部分集団の比率の測定</v>
      </c>
    </row>
    <row r="3925" spans="1:9">
      <c r="A3925" s="3" t="s">
        <v>6</v>
      </c>
      <c r="B3925" s="3" t="s">
        <v>16224</v>
      </c>
      <c r="C3925" s="3" t="s">
        <v>16225</v>
      </c>
      <c r="D3925" s="3" t="s">
        <v>16225</v>
      </c>
      <c r="E3925" s="3" t="s">
        <v>16226</v>
      </c>
      <c r="F3925" s="3" t="s">
        <v>16227</v>
      </c>
      <c r="G3925" s="3" t="str">
        <f ca="1">IFERROR(__xludf.DUMMYFUNCTION("googletranslate(D3925,""en"",""ja"")"),"プロカルシトニン")</f>
        <v>プロカルシトニン</v>
      </c>
      <c r="H3925" s="3" t="str">
        <f ca="1">IFERROR(__xludf.DUMMYFUNCTION("googletranslate(E3925,""en"",""ja"")"),"生物学的標本中のプロカルシトニンの測定。")</f>
        <v>生物学的標本中のプロカルシトニンの測定。</v>
      </c>
      <c r="I3925" s="3" t="str">
        <f ca="1">IFERROR(__xludf.DUMMYFUNCTION("googletranslate(F3925,""en"",""ja"")"),"プロカルシトニンの測定")</f>
        <v>プロカルシトニンの測定</v>
      </c>
    </row>
    <row r="3926" spans="1:9" ht="45">
      <c r="A3926" s="3" t="s">
        <v>81</v>
      </c>
      <c r="B3926" s="3" t="s">
        <v>16228</v>
      </c>
      <c r="C3926" s="3" t="s">
        <v>16229</v>
      </c>
      <c r="D3926" s="3" t="s">
        <v>16229</v>
      </c>
      <c r="E3926" s="3" t="s">
        <v>16230</v>
      </c>
      <c r="F3926" s="3" t="s">
        <v>16229</v>
      </c>
      <c r="G3926" s="3" t="str">
        <f ca="1">IFERROR(__xludf.DUMMYFUNCTION("googletranslate(D3926,""en"",""ja"")"),"狭窄直径パーセント")</f>
        <v>狭窄直径パーセント</v>
      </c>
      <c r="H3926" s="3" t="str">
        <f ca="1">IFERROR(__xludf.DUMMYFUNCTION("googletranslate(E3926,""en"",""ja"")"),"値は、最小内腔直径 (MLD) と基準血管直径 (RVD) の平均定量値を使用して、100 x (1 - MLD/RVD) として計算されます。")</f>
        <v>値は、最小内腔直径 (MLD) と基準血管直径 (RVD) の平均定量値を使用して、100 x (1 - MLD/RVD) として計算されます。</v>
      </c>
      <c r="I3926" s="3" t="str">
        <f ca="1">IFERROR(__xludf.DUMMYFUNCTION("googletranslate(F3926,""en"",""ja"")"),"狭窄直径パーセント")</f>
        <v>狭窄直径パーセント</v>
      </c>
    </row>
    <row r="3927" spans="1:9">
      <c r="A3927" s="3" t="s">
        <v>81</v>
      </c>
      <c r="B3927" s="3" t="s">
        <v>16231</v>
      </c>
      <c r="C3927" s="3" t="s">
        <v>16232</v>
      </c>
      <c r="D3927" s="3" t="s">
        <v>16232</v>
      </c>
      <c r="E3927" s="3" t="s">
        <v>16233</v>
      </c>
      <c r="F3927" s="3" t="s">
        <v>16232</v>
      </c>
      <c r="G3927" s="3" t="str">
        <f ca="1">IFERROR(__xludf.DUMMYFUNCTION("googletranslate(D3927,""en"",""ja"")"),"人工心臓弁の種類")</f>
        <v>人工心臓弁の種類</v>
      </c>
      <c r="H3927" s="3" t="str">
        <f ca="1">IFERROR(__xludf.DUMMYFUNCTION("googletranslate(E3927,""en"",""ja"")"),"使用されている人工心臓弁の種類の説明。")</f>
        <v>使用されている人工心臓弁の種類の説明。</v>
      </c>
      <c r="I3927" s="3" t="str">
        <f ca="1">IFERROR(__xludf.DUMMYFUNCTION("googletranslate(F3927,""en"",""ja"")"),"人工心臓弁の種類")</f>
        <v>人工心臓弁の種類</v>
      </c>
    </row>
    <row r="3928" spans="1:9" ht="60">
      <c r="A3928" s="3" t="s">
        <v>6</v>
      </c>
      <c r="B3928" s="3" t="s">
        <v>16234</v>
      </c>
      <c r="C3928" s="3" t="s">
        <v>16235</v>
      </c>
      <c r="D3928" s="3" t="s">
        <v>16236</v>
      </c>
      <c r="E3928" s="3" t="s">
        <v>16237</v>
      </c>
      <c r="F3928" s="3" t="s">
        <v>16238</v>
      </c>
      <c r="G3928" s="3" t="str">
        <f ca="1">IFERROR(__xludf.DUMMYFUNCTION("googletranslate(D3928,""en"",""ja"")"),"可溶性CD279;可溶性PD-1;可溶性PD1;可溶性プログラム細胞死タンパク質 1;可溶性プログラムデス-1")</f>
        <v>可溶性CD279;可溶性PD-1;可溶性PD1;可溶性プログラム細胞死タンパク質 1;可溶性プログラムデス-1</v>
      </c>
      <c r="H3928" s="3" t="str">
        <f ca="1">IFERROR(__xludf.DUMMYFUNCTION("googletranslate(E3928,""en"",""ja"")"),"生物学的標本中の可溶性プログラムデス 1 タンパク質の測定。")</f>
        <v>生物学的標本中の可溶性プログラムデス 1 タンパク質の測定。</v>
      </c>
      <c r="I3928" s="3" t="str">
        <f ca="1">IFERROR(__xludf.DUMMYFUNCTION("googletranslate(F3928,""en"",""ja"")"),"可溶性プログラムデス-1 測定")</f>
        <v>可溶性プログラムデス-1 測定</v>
      </c>
    </row>
    <row r="3929" spans="1:9" ht="30">
      <c r="A3929" s="3" t="s">
        <v>185</v>
      </c>
      <c r="B3929" s="3" t="s">
        <v>16239</v>
      </c>
      <c r="C3929" s="3" t="s">
        <v>16240</v>
      </c>
      <c r="D3929" s="3" t="s">
        <v>16240</v>
      </c>
      <c r="E3929" s="3" t="s">
        <v>16241</v>
      </c>
      <c r="F3929" s="3" t="s">
        <v>16240</v>
      </c>
      <c r="G3929" s="3" t="str">
        <f ca="1">IFERROR(__xludf.DUMMYFUNCTION("googletranslate(D3929,""en"",""ja"")"),"日常活動の防止インジケーター")</f>
        <v>日常活動の防止インジケーター</v>
      </c>
      <c r="H3929" s="3" t="str">
        <f ca="1">IFERROR(__xludf.DUMMYFUNCTION("googletranslate(E3929,""en"",""ja"")"),"出来事や介入が日常活動の遂行を妨げているか、あるいは妨げているかどうかに関する指標。")</f>
        <v>出来事や介入が日常活動の遂行を妨げているか、あるいは妨げているかどうかに関する指標。</v>
      </c>
      <c r="I3929" s="3" t="str">
        <f ca="1">IFERROR(__xludf.DUMMYFUNCTION("googletranslate(F3929,""en"",""ja"")"),"日常活動の防止インジケーター")</f>
        <v>日常活動の防止インジケーター</v>
      </c>
    </row>
    <row r="3930" spans="1:9" ht="60">
      <c r="A3930" s="3" t="s">
        <v>6</v>
      </c>
      <c r="B3930" s="3" t="s">
        <v>16242</v>
      </c>
      <c r="C3930" s="3" t="s">
        <v>16243</v>
      </c>
      <c r="D3930" s="3" t="s">
        <v>16244</v>
      </c>
      <c r="E3930" s="3" t="s">
        <v>16245</v>
      </c>
      <c r="F3930" s="3" t="s">
        <v>16246</v>
      </c>
      <c r="G3930" s="3" t="str">
        <f ca="1">IFERROR(__xludf.DUMMYFUNCTION("googletranslate(D3930,""en"",""ja"")"),"PDGF アイソフォーム AA;血小板由来成長因子アイソフォームAA;血小板由来成長因子-AA アイソフォーム")</f>
        <v>PDGF アイソフォーム AA;血小板由来成長因子アイソフォームAA;血小板由来成長因子-AA アイソフォーム</v>
      </c>
      <c r="H3930" s="3" t="str">
        <f ca="1">IFERROR(__xludf.DUMMYFUNCTION("googletranslate(E3930,""en"",""ja"")"),"生物学的標本中の血小板由来増殖因子アイソフォーム AA の測定。")</f>
        <v>生物学的標本中の血小板由来増殖因子アイソフォーム AA の測定。</v>
      </c>
      <c r="I3930" s="3" t="str">
        <f ca="1">IFERROR(__xludf.DUMMYFUNCTION("googletranslate(F3930,""en"",""ja"")"),"血小板由来成長因子アイソフォームAAの測定")</f>
        <v>血小板由来成長因子アイソフォームAAの測定</v>
      </c>
    </row>
    <row r="3931" spans="1:9" ht="60">
      <c r="A3931" s="3" t="s">
        <v>6</v>
      </c>
      <c r="B3931" s="3" t="s">
        <v>16247</v>
      </c>
      <c r="C3931" s="3" t="s">
        <v>16248</v>
      </c>
      <c r="D3931" s="3" t="s">
        <v>16249</v>
      </c>
      <c r="E3931" s="3" t="s">
        <v>16250</v>
      </c>
      <c r="F3931" s="3" t="s">
        <v>16251</v>
      </c>
      <c r="G3931" s="3" t="str">
        <f ca="1">IFERROR(__xludf.DUMMYFUNCTION("googletranslate(D3931,""en"",""ja"")"),"PDGFアイソフォームAB。血小板由来成長因子アイソフォームAB;血小板由来成長因子-AB アイソフォーム")</f>
        <v>PDGFアイソフォームAB。血小板由来成長因子アイソフォームAB;血小板由来成長因子-AB アイソフォーム</v>
      </c>
      <c r="H3931" s="3" t="str">
        <f ca="1">IFERROR(__xludf.DUMMYFUNCTION("googletranslate(E3931,""en"",""ja"")"),"生物学的標本中の血小板由来増殖因子アイソフォーム AB の測定。")</f>
        <v>生物学的標本中の血小板由来増殖因子アイソフォーム AB の測定。</v>
      </c>
      <c r="I3931" s="3" t="str">
        <f ca="1">IFERROR(__xludf.DUMMYFUNCTION("googletranslate(F3931,""en"",""ja"")"),"血小板由来増殖因子アイソフォームAB測定")</f>
        <v>血小板由来増殖因子アイソフォームAB測定</v>
      </c>
    </row>
    <row r="3932" spans="1:9" ht="75">
      <c r="A3932" s="3" t="s">
        <v>6</v>
      </c>
      <c r="B3932" s="3" t="s">
        <v>16252</v>
      </c>
      <c r="C3932" s="3" t="s">
        <v>16253</v>
      </c>
      <c r="D3932" s="3" t="s">
        <v>16254</v>
      </c>
      <c r="E3932" s="3" t="s">
        <v>16255</v>
      </c>
      <c r="F3932" s="3" t="s">
        <v>16256</v>
      </c>
      <c r="G3932" s="3" t="str">
        <f ca="1">IFERROR(__xludf.DUMMYFUNCTION("googletranslate(D3932,""en"",""ja"")"),"PDGFアイソフォームBB;血小板由来成長因子アイソフォームBB;血小板由来成長因子-BB アイソフォーム;血小板由来成長因子BB")</f>
        <v>PDGFアイソフォームBB;血小板由来成長因子アイソフォームBB;血小板由来成長因子-BB アイソフォーム;血小板由来成長因子BB</v>
      </c>
      <c r="H3932" s="3" t="str">
        <f ca="1">IFERROR(__xludf.DUMMYFUNCTION("googletranslate(E3932,""en"",""ja"")"),"生物学的検体中の血小板由来増殖因子アイソフォーム BB の測定。")</f>
        <v>生物学的検体中の血小板由来増殖因子アイソフォーム BB の測定。</v>
      </c>
      <c r="I3932" s="3" t="str">
        <f ca="1">IFERROR(__xludf.DUMMYFUNCTION("googletranslate(F3932,""en"",""ja"")"),"血小板由来成長因子アイソフォームBB測定")</f>
        <v>血小板由来成長因子アイソフォームBB測定</v>
      </c>
    </row>
    <row r="3933" spans="1:9" ht="45">
      <c r="A3933" s="3" t="s">
        <v>6</v>
      </c>
      <c r="B3933" s="3" t="s">
        <v>16257</v>
      </c>
      <c r="C3933" s="3" t="s">
        <v>16258</v>
      </c>
      <c r="D3933" s="3" t="s">
        <v>16259</v>
      </c>
      <c r="E3933" s="3" t="s">
        <v>16260</v>
      </c>
      <c r="F3933" s="3" t="s">
        <v>16261</v>
      </c>
      <c r="G3933" s="3" t="str">
        <f ca="1">IFERROR(__xludf.DUMMYFUNCTION("googletranslate(D3933,""en"",""ja"")"),"可溶性CD274;可溶性PD-L1;可溶性PDL1;可溶性プログラムデスリガンド 1")</f>
        <v>可溶性CD274;可溶性PD-L1;可溶性PDL1;可溶性プログラムデスリガンド 1</v>
      </c>
      <c r="H3933" s="3" t="str">
        <f ca="1">IFERROR(__xludf.DUMMYFUNCTION("googletranslate(E3933,""en"",""ja"")"),"生物学的標本中の可溶性プログラムデスリガンド 1 の測定。")</f>
        <v>生物学的標本中の可溶性プログラムデスリガンド 1 の測定。</v>
      </c>
      <c r="I3933" s="3" t="str">
        <f ca="1">IFERROR(__xludf.DUMMYFUNCTION("googletranslate(F3933,""en"",""ja"")"),"可溶性プログラムデスリガンド 1 の測定")</f>
        <v>可溶性プログラムデスリガンド 1 の測定</v>
      </c>
    </row>
    <row r="3934" spans="1:9" ht="30">
      <c r="A3934" s="3" t="s">
        <v>51</v>
      </c>
      <c r="B3934" s="3" t="s">
        <v>16262</v>
      </c>
      <c r="C3934" s="3" t="s">
        <v>16263</v>
      </c>
      <c r="D3934" s="3" t="s">
        <v>16263</v>
      </c>
      <c r="E3934" s="3" t="s">
        <v>16264</v>
      </c>
      <c r="F3934" s="3" t="s">
        <v>16265</v>
      </c>
      <c r="G3934" s="3" t="str">
        <f ca="1">IFERROR(__xludf.DUMMYFUNCTION("googletranslate(D3934,""en"",""ja"")"),"PDUの電流動作範囲")</f>
        <v>PDUの電流動作範囲</v>
      </c>
      <c r="H3934" s="3" t="str">
        <f ca="1">IFERROR(__xludf.DUMMYFUNCTION("googletranslate(E3934,""en"",""ja"")"),"配電ユニットの最大から最小の動作電流。")</f>
        <v>配電ユニットの最大から最小の動作電流。</v>
      </c>
      <c r="I3934" s="3" t="str">
        <f ca="1">IFERROR(__xludf.DUMMYFUNCTION("googletranslate(F3934,""en"",""ja"")"),"配電ユニットの電流動作範囲")</f>
        <v>配電ユニットの電流動作範囲</v>
      </c>
    </row>
    <row r="3935" spans="1:9" ht="30">
      <c r="A3935" s="3" t="s">
        <v>51</v>
      </c>
      <c r="B3935" s="3" t="s">
        <v>16266</v>
      </c>
      <c r="C3935" s="3" t="s">
        <v>16267</v>
      </c>
      <c r="D3935" s="3" t="s">
        <v>16267</v>
      </c>
      <c r="E3935" s="3" t="s">
        <v>16268</v>
      </c>
      <c r="F3935" s="3" t="s">
        <v>16269</v>
      </c>
      <c r="G3935" s="3" t="str">
        <f ca="1">IFERROR(__xludf.DUMMYFUNCTION("googletranslate(D3935,""en"",""ja"")"),"PDUの電流カットオフ")</f>
        <v>PDUの電流カットオフ</v>
      </c>
      <c r="H3935" s="3" t="str">
        <f ca="1">IFERROR(__xludf.DUMMYFUNCTION("googletranslate(E3935,""en"",""ja"")"),"配電ユニットの最大動作電流。")</f>
        <v>配電ユニットの最大動作電流。</v>
      </c>
      <c r="I3935" s="3" t="str">
        <f ca="1">IFERROR(__xludf.DUMMYFUNCTION("googletranslate(F3935,""en"",""ja"")"),"配電ユニットの電流遮断")</f>
        <v>配電ユニットの電流遮断</v>
      </c>
    </row>
    <row r="3936" spans="1:9" ht="30">
      <c r="A3936" s="3" t="s">
        <v>51</v>
      </c>
      <c r="B3936" s="3" t="s">
        <v>16270</v>
      </c>
      <c r="C3936" s="3" t="s">
        <v>16271</v>
      </c>
      <c r="D3936" s="3" t="s">
        <v>16271</v>
      </c>
      <c r="E3936" s="3" t="s">
        <v>16272</v>
      </c>
      <c r="F3936" s="3" t="s">
        <v>16273</v>
      </c>
      <c r="G3936" s="3" t="str">
        <f ca="1">IFERROR(__xludf.DUMMYFUNCTION("googletranslate(D3936,""en"",""ja"")"),"PDU温度カットオフ")</f>
        <v>PDU温度カットオフ</v>
      </c>
      <c r="H3936" s="3" t="str">
        <f ca="1">IFERROR(__xludf.DUMMYFUNCTION("googletranslate(E3936,""en"",""ja"")"),"配電ユニットの最大動作温度。")</f>
        <v>配電ユニットの最大動作温度。</v>
      </c>
      <c r="I3936" s="3" t="str">
        <f ca="1">IFERROR(__xludf.DUMMYFUNCTION("googletranslate(F3936,""en"",""ja"")"),"配電ユニットの温度カットオフ")</f>
        <v>配電ユニットの温度カットオフ</v>
      </c>
    </row>
    <row r="3937" spans="1:9" ht="30">
      <c r="A3937" s="3" t="s">
        <v>51</v>
      </c>
      <c r="B3937" s="3" t="s">
        <v>16274</v>
      </c>
      <c r="C3937" s="3" t="s">
        <v>16275</v>
      </c>
      <c r="D3937" s="3" t="s">
        <v>16275</v>
      </c>
      <c r="E3937" s="3" t="s">
        <v>16276</v>
      </c>
      <c r="F3937" s="3" t="s">
        <v>16277</v>
      </c>
      <c r="G3937" s="3" t="str">
        <f ca="1">IFERROR(__xludf.DUMMYFUNCTION("googletranslate(D3937,""en"",""ja"")"),"PDU 電圧動作範囲")</f>
        <v>PDU 電圧動作範囲</v>
      </c>
      <c r="H3937" s="3" t="str">
        <f ca="1">IFERROR(__xludf.DUMMYFUNCTION("googletranslate(E3937,""en"",""ja"")"),"配電ユニットの最小から最大までの動作電圧。")</f>
        <v>配電ユニットの最小から最大までの動作電圧。</v>
      </c>
      <c r="I3937" s="3" t="str">
        <f ca="1">IFERROR(__xludf.DUMMYFUNCTION("googletranslate(F3937,""en"",""ja"")"),"配電ユニットの電圧動作範囲")</f>
        <v>配電ユニットの電圧動作範囲</v>
      </c>
    </row>
    <row r="3938" spans="1:9" ht="30">
      <c r="A3938" s="3" t="s">
        <v>51</v>
      </c>
      <c r="B3938" s="3" t="s">
        <v>16278</v>
      </c>
      <c r="C3938" s="3" t="s">
        <v>16279</v>
      </c>
      <c r="D3938" s="3" t="s">
        <v>16279</v>
      </c>
      <c r="E3938" s="3" t="s">
        <v>16280</v>
      </c>
      <c r="F3938" s="3" t="s">
        <v>16281</v>
      </c>
      <c r="G3938" s="3" t="str">
        <f ca="1">IFERROR(__xludf.DUMMYFUNCTION("googletranslate(D3938,""en"",""ja"")"),"PDU ワット数動作範囲")</f>
        <v>PDU ワット数動作範囲</v>
      </c>
      <c r="H3938" s="3" t="str">
        <f ca="1">IFERROR(__xludf.DUMMYFUNCTION("googletranslate(E3938,""en"",""ja"")"),"配電ユニットの最大から最小までの動作ワット数。")</f>
        <v>配電ユニットの最大から最小までの動作ワット数。</v>
      </c>
      <c r="I3938" s="3" t="str">
        <f ca="1">IFERROR(__xludf.DUMMYFUNCTION("googletranslate(F3938,""en"",""ja"")"),"配電ユニットのワット数動作範囲")</f>
        <v>配電ユニットのワット数動作範囲</v>
      </c>
    </row>
    <row r="3939" spans="1:9" ht="30">
      <c r="A3939" s="3" t="s">
        <v>6</v>
      </c>
      <c r="B3939" s="3" t="s">
        <v>16282</v>
      </c>
      <c r="C3939" s="3" t="s">
        <v>16283</v>
      </c>
      <c r="D3939" s="3" t="s">
        <v>16283</v>
      </c>
      <c r="E3939" s="3" t="s">
        <v>16284</v>
      </c>
      <c r="F3939" s="3" t="s">
        <v>16283</v>
      </c>
      <c r="G3939" s="3" t="str">
        <f ca="1">IFERROR(__xludf.DUMMYFUNCTION("googletranslate(D3939,""en"",""ja"")"),"血小板分布幅")</f>
        <v>血小板分布幅</v>
      </c>
      <c r="H3939" s="3" t="str">
        <f ca="1">IFERROR(__xludf.DUMMYFUNCTION("googletranslate(E3939,""en"",""ja"")"),"生物学的標本の血小板サイズの範囲の測定。")</f>
        <v>生物学的標本の血小板サイズの範囲の測定。</v>
      </c>
      <c r="I3939" s="3" t="str">
        <f ca="1">IFERROR(__xludf.DUMMYFUNCTION("googletranslate(F3939,""en"",""ja"")"),"血小板分布幅")</f>
        <v>血小板分布幅</v>
      </c>
    </row>
    <row r="3940" spans="1:9" ht="30">
      <c r="A3940" s="3" t="s">
        <v>159</v>
      </c>
      <c r="B3940" s="3" t="s">
        <v>16285</v>
      </c>
      <c r="C3940" s="3" t="s">
        <v>16286</v>
      </c>
      <c r="D3940" s="3" t="s">
        <v>16286</v>
      </c>
      <c r="E3940" s="3" t="s">
        <v>16287</v>
      </c>
      <c r="F3940" s="3" t="s">
        <v>16286</v>
      </c>
      <c r="G3940" s="3" t="str">
        <f ca="1">IFERROR(__xludf.DUMMYFUNCTION("googletranslate(D3940,""en"",""ja"")"),"ピーク応答振幅")</f>
        <v>ピーク応答振幅</v>
      </c>
      <c r="H3940" s="3" t="str">
        <f ca="1">IFERROR(__xludf.DUMMYFUNCTION("googletranslate(E3940,""en"",""ja"")"),"波と刺激応答波形の平衡点との間の最大高さ変化。")</f>
        <v>波と刺激応答波形の平衡点との間の最大高さ変化。</v>
      </c>
      <c r="I3940" s="3" t="str">
        <f ca="1">IFERROR(__xludf.DUMMYFUNCTION("googletranslate(F3940,""en"",""ja"")"),"ピーク応答振幅")</f>
        <v>ピーク応答振幅</v>
      </c>
    </row>
    <row r="3941" spans="1:9" ht="30">
      <c r="A3941" s="3" t="s">
        <v>159</v>
      </c>
      <c r="B3941" s="3" t="s">
        <v>16288</v>
      </c>
      <c r="C3941" s="3" t="s">
        <v>16289</v>
      </c>
      <c r="D3941" s="3" t="s">
        <v>16289</v>
      </c>
      <c r="E3941" s="3" t="s">
        <v>16290</v>
      </c>
      <c r="F3941" s="3" t="s">
        <v>16289</v>
      </c>
      <c r="G3941" s="3" t="str">
        <f ca="1">IFERROR(__xludf.DUMMYFUNCTION("googletranslate(D3941,""en"",""ja"")"),"ピーク応答振幅遅延")</f>
        <v>ピーク応答振幅遅延</v>
      </c>
      <c r="H3941" s="3" t="str">
        <f ca="1">IFERROR(__xludf.DUMMYFUNCTION("googletranslate(E3941,""en"",""ja"")"),"刺激と最大反応の間の時間間隔の測定値。")</f>
        <v>刺激と最大反応の間の時間間隔の測定値。</v>
      </c>
      <c r="I3941" s="3" t="str">
        <f ca="1">IFERROR(__xludf.DUMMYFUNCTION("googletranslate(F3941,""en"",""ja"")"),"ピーク応答振幅遅延")</f>
        <v>ピーク応答振幅遅延</v>
      </c>
    </row>
    <row r="3942" spans="1:9" ht="90">
      <c r="A3942" s="3" t="s">
        <v>6</v>
      </c>
      <c r="B3942" s="3" t="s">
        <v>16291</v>
      </c>
      <c r="C3942" s="3" t="s">
        <v>16292</v>
      </c>
      <c r="D3942" s="3" t="s">
        <v>16293</v>
      </c>
      <c r="E3942" s="3" t="s">
        <v>16294</v>
      </c>
      <c r="F3942" s="3" t="s">
        <v>16295</v>
      </c>
      <c r="G3942" s="3" t="str">
        <f ca="1">IFERROR(__xludf.DUMMYFUNCTION("googletranslate(D3942,""en"",""ja"")"),"CD31 抗原; PECAM; PECAM-1; PECAM1;血小板および内皮細胞接着分子 1;血小板内部細胞接着分子 1;血小板内皮接着分子;可溶性CD31")</f>
        <v>CD31 抗原; PECAM; PECAM-1; PECAM1;血小板および内皮細胞接着分子 1;血小板内部細胞接着分子 1;血小板内皮接着分子;可溶性CD31</v>
      </c>
      <c r="H3942" s="3" t="str">
        <f ca="1">IFERROR(__xludf.DUMMYFUNCTION("googletranslate(E3942,""en"",""ja"")"),"生体試料中の血小板および内皮細胞接着分子 1 の測定。")</f>
        <v>生体試料中の血小板および内皮細胞接着分子 1 の測定。</v>
      </c>
      <c r="I3942" s="3" t="str">
        <f ca="1">IFERROR(__xludf.DUMMYFUNCTION("googletranslate(F3942,""en"",""ja"")"),"血小板内皮細胞接着分子1の測定")</f>
        <v>血小板内皮細胞接着分子1の測定</v>
      </c>
    </row>
    <row r="3943" spans="1:9">
      <c r="A3943" s="3" t="s">
        <v>142</v>
      </c>
      <c r="B3943" s="3" t="s">
        <v>16296</v>
      </c>
      <c r="C3943" s="3" t="s">
        <v>16297</v>
      </c>
      <c r="D3943" s="3" t="s">
        <v>16297</v>
      </c>
      <c r="E3943" s="3" t="s">
        <v>16298</v>
      </c>
      <c r="F3943" s="3" t="s">
        <v>16297</v>
      </c>
      <c r="G3943" s="3" t="str">
        <f ca="1">IFERROR(__xludf.DUMMYFUNCTION("googletranslate(D3943,""en"",""ja"")"),"ピーリングインジケーター")</f>
        <v>ピーリングインジケーター</v>
      </c>
      <c r="H3943" s="3" t="str">
        <f ca="1">IFERROR(__xludf.DUMMYFUNCTION("googletranslate(E3943,""en"",""ja"")"),"剥離の有無の目安です。")</f>
        <v>剥離の有無の目安です。</v>
      </c>
      <c r="I3943" s="3" t="str">
        <f ca="1">IFERROR(__xludf.DUMMYFUNCTION("googletranslate(F3943,""en"",""ja"")"),"ピーリングインジケーター")</f>
        <v>ピーリングインジケーター</v>
      </c>
    </row>
    <row r="3944" spans="1:9" ht="60">
      <c r="A3944" s="3" t="s">
        <v>1255</v>
      </c>
      <c r="B3944" s="3" t="s">
        <v>16299</v>
      </c>
      <c r="C3944" s="3" t="s">
        <v>16300</v>
      </c>
      <c r="D3944" s="3" t="s">
        <v>16301</v>
      </c>
      <c r="E3944" s="3" t="s">
        <v>16302</v>
      </c>
      <c r="F3944" s="3" t="s">
        <v>16303</v>
      </c>
      <c r="G3944" s="3" t="str">
        <f ca="1">IFERROR(__xludf.DUMMYFUNCTION("googletranslate(D3944,""en"",""ja"")"),"PEEP設定;陽圧終末呼気圧設定")</f>
        <v>PEEP設定;陽圧終末呼気圧設定</v>
      </c>
      <c r="H3944" s="3" t="str">
        <f ca="1">IFERROR(__xludf.DUMMYFUNCTION("googletranslate(E3944,""en"",""ja"")"),"呼気の終了時に肺胞圧が大気圧よりも高くなるように（つまり、気道内に陽圧が残るように）、肺に送られる圧力の量を決定および調整する装置の設定。")</f>
        <v>呼気の終了時に肺胞圧が大気圧よりも高くなるように（つまり、気道内に陽圧が残るように）、肺に送られる圧力の量を決定および調整する装置の設定。</v>
      </c>
      <c r="I3944" s="3" t="str">
        <f ca="1">IFERROR(__xludf.DUMMYFUNCTION("googletranslate(F3944,""en"",""ja"")"),"呼気陽圧装置の設定")</f>
        <v>呼気陽圧装置の設定</v>
      </c>
    </row>
    <row r="3945" spans="1:9">
      <c r="A3945" s="3" t="s">
        <v>490</v>
      </c>
      <c r="B3945" s="3" t="s">
        <v>16304</v>
      </c>
      <c r="C3945" s="3" t="s">
        <v>16305</v>
      </c>
      <c r="D3945" s="3" t="s">
        <v>16305</v>
      </c>
      <c r="E3945" s="3" t="s">
        <v>16306</v>
      </c>
      <c r="F3945" s="3" t="s">
        <v>16305</v>
      </c>
      <c r="G3945" s="3" t="str">
        <f ca="1">IFERROR(__xludf.DUMMYFUNCTION("googletranslate(D3945,""en"",""ja"")"),"最大呼気流量")</f>
        <v>最大呼気流量</v>
      </c>
      <c r="H3945" s="3" t="str">
        <f ca="1">IFERROR(__xludf.DUMMYFUNCTION("googletranslate(E3945,""en"",""ja"")"),"呼気の最大速度。")</f>
        <v>呼気の最大速度。</v>
      </c>
      <c r="I3945" s="3" t="str">
        <f ca="1">IFERROR(__xludf.DUMMYFUNCTION("googletranslate(F3945,""en"",""ja"")"),"最大呼気流量")</f>
        <v>最大呼気流量</v>
      </c>
    </row>
    <row r="3946" spans="1:9" ht="30">
      <c r="A3946" s="3" t="s">
        <v>81</v>
      </c>
      <c r="B3946" s="3" t="s">
        <v>16307</v>
      </c>
      <c r="C3946" s="3" t="s">
        <v>16308</v>
      </c>
      <c r="D3946" s="3" t="s">
        <v>16308</v>
      </c>
      <c r="E3946" s="3" t="s">
        <v>16309</v>
      </c>
      <c r="F3946" s="3" t="s">
        <v>16308</v>
      </c>
      <c r="G3946" s="3" t="str">
        <f ca="1">IFERROR(__xludf.DUMMYFUNCTION("googletranslate(D3946,""en"",""ja"")"),"心嚢液浸出インジケーター")</f>
        <v>心嚢液浸出インジケーター</v>
      </c>
      <c r="H3946" s="3" t="str">
        <f ca="1">IFERROR(__xludf.DUMMYFUNCTION("googletranslate(E3946,""en"",""ja"")"),"頭頂心膜と内臓心膜の間に滲出液があるかどうかの指標。")</f>
        <v>頭頂心膜と内臓心膜の間に滲出液があるかどうかの指標。</v>
      </c>
      <c r="I3946" s="3" t="str">
        <f ca="1">IFERROR(__xludf.DUMMYFUNCTION("googletranslate(F3946,""en"",""ja"")"),"心嚢液浸出インジケーター")</f>
        <v>心嚢液浸出インジケーター</v>
      </c>
    </row>
    <row r="3947" spans="1:9" ht="45">
      <c r="A3947" s="3" t="s">
        <v>81</v>
      </c>
      <c r="B3947" s="3" t="s">
        <v>16310</v>
      </c>
      <c r="C3947" s="3" t="s">
        <v>16311</v>
      </c>
      <c r="D3947" s="3" t="s">
        <v>16311</v>
      </c>
      <c r="E3947" s="3" t="s">
        <v>16312</v>
      </c>
      <c r="F3947" s="3" t="s">
        <v>16311</v>
      </c>
      <c r="G3947" s="3" t="str">
        <f ca="1">IFERROR(__xludf.DUMMYFUNCTION("googletranslate(D3947,""en"",""ja"")"),"心膜液のサイズ")</f>
        <v>心膜液のサイズ</v>
      </c>
      <c r="H3947" s="3" t="str">
        <f ca="1">IFERROR(__xludf.DUMMYFUNCTION("googletranslate(E3947,""en"",""ja"")"),"拡張期の間、頭頂心膜と内臓心膜の間の最大分離点で評価される心膜滲出液の全体的なサイズの定性的説明。")</f>
        <v>拡張期の間、頭頂心膜と内臓心膜の間の最大分離点で評価される心膜滲出液の全体的なサイズの定性的説明。</v>
      </c>
      <c r="I3947" s="3" t="str">
        <f ca="1">IFERROR(__xludf.DUMMYFUNCTION("googletranslate(F3947,""en"",""ja"")"),"心膜液のサイズ")</f>
        <v>心膜液のサイズ</v>
      </c>
    </row>
    <row r="3948" spans="1:9" ht="45">
      <c r="A3948" s="3" t="s">
        <v>490</v>
      </c>
      <c r="B3948" s="3" t="s">
        <v>16313</v>
      </c>
      <c r="C3948" s="3" t="s">
        <v>16314</v>
      </c>
      <c r="D3948" s="3" t="s">
        <v>16314</v>
      </c>
      <c r="E3948" s="3" t="s">
        <v>16315</v>
      </c>
      <c r="F3948" s="3" t="s">
        <v>16314</v>
      </c>
      <c r="G3948" s="3" t="str">
        <f ca="1">IFERROR(__xludf.DUMMYFUNCTION("googletranslate(D3948,""en"",""ja"")"),"予測最大呼気流量のパーセント")</f>
        <v>予測最大呼気流量のパーセント</v>
      </c>
      <c r="H3948" s="3" t="str">
        <f ca="1">IFERROR(__xludf.DUMMYFUNCTION("googletranslate(E3948,""en"",""ja"")"),"予測された正常値の比率として、最大吸入時に開始された最大強制呼気中に達成される最大流量。")</f>
        <v>予測された正常値の比率として、最大吸入時に開始された最大強制呼気中に達成される最大流量。</v>
      </c>
      <c r="I3948" s="3" t="str">
        <f ca="1">IFERROR(__xludf.DUMMYFUNCTION("googletranslate(F3948,""en"",""ja"")"),"予測最大呼気流量のパーセント")</f>
        <v>予測最大呼気流量のパーセント</v>
      </c>
    </row>
    <row r="3949" spans="1:9" ht="30">
      <c r="A3949" s="3" t="s">
        <v>490</v>
      </c>
      <c r="B3949" s="3" t="s">
        <v>16316</v>
      </c>
      <c r="C3949" s="3" t="s">
        <v>16317</v>
      </c>
      <c r="D3949" s="3" t="s">
        <v>16317</v>
      </c>
      <c r="E3949" s="3" t="s">
        <v>16318</v>
      </c>
      <c r="F3949" s="3" t="s">
        <v>16319</v>
      </c>
      <c r="G3949" s="3" t="str">
        <f ca="1">IFERROR(__xludf.DUMMYFUNCTION("googletranslate(D3949,""en"",""ja"")"),"PEF 可逆性")</f>
        <v>PEF 可逆性</v>
      </c>
      <c r="H3949" s="3" t="str">
        <f ca="1">IFERROR(__xludf.DUMMYFUNCTION("googletranslate(E3949,""en"",""ja"")"),"治療前のPEF値と比較した、気管支拡張薬投与後のPEFの変化。")</f>
        <v>治療前のPEF値と比較した、気管支拡張薬投与後のPEFの変化。</v>
      </c>
      <c r="I3949" s="3" t="str">
        <f ca="1">IFERROR(__xludf.DUMMYFUNCTION("googletranslate(F3949,""en"",""ja"")"),"ピーク呼気流量の可逆性")</f>
        <v>ピーク呼気流量の可逆性</v>
      </c>
    </row>
    <row r="3950" spans="1:9" ht="30">
      <c r="A3950" s="3" t="s">
        <v>490</v>
      </c>
      <c r="B3950" s="3" t="s">
        <v>16320</v>
      </c>
      <c r="C3950" s="3" t="s">
        <v>16321</v>
      </c>
      <c r="D3950" s="3" t="s">
        <v>16321</v>
      </c>
      <c r="E3950" s="3" t="s">
        <v>16322</v>
      </c>
      <c r="F3950" s="3" t="s">
        <v>16321</v>
      </c>
      <c r="G3950" s="3" t="str">
        <f ca="1">IFERROR(__xludf.DUMMYFUNCTION("googletranslate(D3950,""en"",""ja"")"),"ピーク呼気流量時間")</f>
        <v>ピーク呼気流量時間</v>
      </c>
      <c r="H3950" s="3" t="str">
        <f ca="1">IFERROR(__xludf.DUMMYFUNCTION("googletranslate(E3950,""en"",""ja"")"),"テストの開始から被験者が最大呼気ガス流量に達するまでの時間。")</f>
        <v>テストの開始から被験者が最大呼気ガス流量に達するまでの時間。</v>
      </c>
      <c r="I3950" s="3" t="str">
        <f ca="1">IFERROR(__xludf.DUMMYFUNCTION("googletranslate(F3950,""en"",""ja"")"),"ピーク呼気流量時間")</f>
        <v>ピーク呼気流量時間</v>
      </c>
    </row>
    <row r="3951" spans="1:9" ht="45">
      <c r="A3951" s="3" t="s">
        <v>6</v>
      </c>
      <c r="B3951" s="3" t="s">
        <v>16323</v>
      </c>
      <c r="C3951" s="3" t="s">
        <v>16324</v>
      </c>
      <c r="D3951" s="3" t="s">
        <v>16325</v>
      </c>
      <c r="E3951" s="3" t="s">
        <v>16326</v>
      </c>
      <c r="F3951" s="3" t="s">
        <v>16327</v>
      </c>
      <c r="G3951" s="3" t="str">
        <f ca="1">IFERROR(__xludf.DUMMYFUNCTION("googletranslate(D3951,""en"",""ja"")"),"ペルガー・ヒュートの異常。ペルガー・ヒューエット細胞; PHA")</f>
        <v>ペルガー・ヒュートの異常。ペルガー・ヒューエット細胞; PHA</v>
      </c>
      <c r="H3951" s="3" t="str">
        <f ca="1">IFERROR(__xludf.DUMMYFUNCTION("googletranslate(E3951,""en"",""ja"")"),"生物学的標本におけるペルガー・ヒュート異常（顆粒球の核が棒状、二葉状、ピーナッツ状、またはダンベル状に見える）の測定。")</f>
        <v>生物学的標本におけるペルガー・ヒュート異常（顆粒球の核が棒状、二葉状、ピーナッツ状、またはダンベル状に見える）の測定。</v>
      </c>
      <c r="I3951" s="3" t="str">
        <f ca="1">IFERROR(__xludf.DUMMYFUNCTION("googletranslate(F3951,""en"",""ja"")"),"Pelger Huet 異常測定")</f>
        <v>Pelger Huet 異常測定</v>
      </c>
    </row>
    <row r="3952" spans="1:9">
      <c r="A3952" s="3" t="s">
        <v>6</v>
      </c>
      <c r="B3952" s="3" t="s">
        <v>16328</v>
      </c>
      <c r="C3952" s="3" t="s">
        <v>16329</v>
      </c>
      <c r="D3952" s="3" t="s">
        <v>16329</v>
      </c>
      <c r="E3952" s="3" t="s">
        <v>16330</v>
      </c>
      <c r="F3952" s="3" t="s">
        <v>16331</v>
      </c>
      <c r="G3952" s="3" t="str">
        <f ca="1">IFERROR(__xludf.DUMMYFUNCTION("googletranslate(D3952,""en"",""ja"")"),"ペモリン")</f>
        <v>ペモリン</v>
      </c>
      <c r="H3952" s="3" t="str">
        <f ca="1">IFERROR(__xludf.DUMMYFUNCTION("googletranslate(E3952,""en"",""ja"")"),"生物学的標本中のペモリンの測定。")</f>
        <v>生物学的標本中のペモリンの測定。</v>
      </c>
      <c r="I3952" s="3" t="str">
        <f ca="1">IFERROR(__xludf.DUMMYFUNCTION("googletranslate(F3952,""en"",""ja"")"),"ペモリンの測定")</f>
        <v>ペモリンの測定</v>
      </c>
    </row>
    <row r="3953" spans="1:9">
      <c r="A3953" s="3" t="s">
        <v>6</v>
      </c>
      <c r="B3953" s="3" t="s">
        <v>16332</v>
      </c>
      <c r="C3953" s="3" t="s">
        <v>16333</v>
      </c>
      <c r="D3953" s="3" t="s">
        <v>16333</v>
      </c>
      <c r="E3953" s="3" t="s">
        <v>16334</v>
      </c>
      <c r="F3953" s="3" t="s">
        <v>16335</v>
      </c>
      <c r="G3953" s="3" t="str">
        <f ca="1">IFERROR(__xludf.DUMMYFUNCTION("googletranslate(D3953,""en"",""ja"")"),"ペンテドロン")</f>
        <v>ペンテドロン</v>
      </c>
      <c r="H3953" s="3" t="str">
        <f ca="1">IFERROR(__xludf.DUMMYFUNCTION("googletranslate(E3953,""en"",""ja"")"),"生物標本中のペンテドロンの測定。")</f>
        <v>生物標本中のペンテドロンの測定。</v>
      </c>
      <c r="I3953" s="3" t="str">
        <f ca="1">IFERROR(__xludf.DUMMYFUNCTION("googletranslate(F3953,""en"",""ja"")"),"ペンテドロン測定")</f>
        <v>ペンテドロン測定</v>
      </c>
    </row>
    <row r="3954" spans="1:9" ht="30">
      <c r="A3954" s="3" t="s">
        <v>2904</v>
      </c>
      <c r="B3954" s="3" t="s">
        <v>16336</v>
      </c>
      <c r="C3954" s="3" t="s">
        <v>16337</v>
      </c>
      <c r="D3954" s="3" t="s">
        <v>16337</v>
      </c>
      <c r="E3954" s="3" t="s">
        <v>16338</v>
      </c>
      <c r="F3954" s="3" t="s">
        <v>16339</v>
      </c>
      <c r="G3954" s="3" t="str">
        <f ca="1">IFERROR(__xludf.DUMMYFUNCTION("googletranslate(D3954,""en"",""ja"")"),"ペンタヌクレオチドマーカー名")</f>
        <v>ペンタヌクレオチドマーカー名</v>
      </c>
      <c r="H3954" s="3" t="str">
        <f ca="1">IFERROR(__xludf.DUMMYFUNCTION("googletranslate(E3954,""en"",""ja"")"),"アッセイキットに含まれるペンタヌクレオチドマーカーの文字通りの識別子。")</f>
        <v>アッセイキットに含まれるペンタヌクレオチドマーカーの文字通りの識別子。</v>
      </c>
      <c r="I3954" s="3" t="str">
        <f ca="1">IFERROR(__xludf.DUMMYFUNCTION("googletranslate(F3954,""en"",""ja"")"),"五塩基マーカー名")</f>
        <v>五塩基マーカー名</v>
      </c>
    </row>
    <row r="3955" spans="1:9">
      <c r="A3955" s="3" t="s">
        <v>6</v>
      </c>
      <c r="B3955" s="3" t="s">
        <v>16340</v>
      </c>
      <c r="C3955" s="3" t="s">
        <v>16341</v>
      </c>
      <c r="D3955" s="3" t="s">
        <v>16341</v>
      </c>
      <c r="E3955" s="3" t="s">
        <v>16342</v>
      </c>
      <c r="F3955" s="3" t="s">
        <v>16343</v>
      </c>
      <c r="G3955" s="3" t="str">
        <f ca="1">IFERROR(__xludf.DUMMYFUNCTION("googletranslate(D3955,""en"",""ja"")"),"ペンチロン")</f>
        <v>ペンチロン</v>
      </c>
      <c r="H3955" s="3" t="str">
        <f ca="1">IFERROR(__xludf.DUMMYFUNCTION("googletranslate(E3955,""en"",""ja"")"),"生物学的標本中のペンチロンの測定。")</f>
        <v>生物学的標本中のペンチロンの測定。</v>
      </c>
      <c r="I3955" s="3" t="str">
        <f ca="1">IFERROR(__xludf.DUMMYFUNCTION("googletranslate(F3955,""en"",""ja"")"),"ペンチロン測定")</f>
        <v>ペンチロン測定</v>
      </c>
    </row>
    <row r="3956" spans="1:9">
      <c r="A3956" s="3" t="s">
        <v>6</v>
      </c>
      <c r="B3956" s="3" t="s">
        <v>16344</v>
      </c>
      <c r="C3956" s="3" t="s">
        <v>16345</v>
      </c>
      <c r="D3956" s="3" t="s">
        <v>16345</v>
      </c>
      <c r="E3956" s="3" t="s">
        <v>16346</v>
      </c>
      <c r="F3956" s="3" t="s">
        <v>16347</v>
      </c>
      <c r="G3956" s="3" t="str">
        <f ca="1">IFERROR(__xludf.DUMMYFUNCTION("googletranslate(D3956,""en"",""ja"")"),"ペプシノーゲン")</f>
        <v>ペプシノーゲン</v>
      </c>
      <c r="H3956" s="3" t="str">
        <f ca="1">IFERROR(__xludf.DUMMYFUNCTION("googletranslate(E3956,""en"",""ja"")"),"生物学的標本中のペプシノーゲンの測定。")</f>
        <v>生物学的標本中のペプシノーゲンの測定。</v>
      </c>
      <c r="I3956" s="3" t="str">
        <f ca="1">IFERROR(__xludf.DUMMYFUNCTION("googletranslate(F3956,""en"",""ja"")"),"ペプシノーゲンの測定")</f>
        <v>ペプシノーゲンの測定</v>
      </c>
    </row>
    <row r="3957" spans="1:9">
      <c r="A3957" s="3" t="s">
        <v>6</v>
      </c>
      <c r="B3957" s="3" t="s">
        <v>16348</v>
      </c>
      <c r="C3957" s="3" t="s">
        <v>16349</v>
      </c>
      <c r="D3957" s="3" t="s">
        <v>16350</v>
      </c>
      <c r="E3957" s="3" t="s">
        <v>16351</v>
      </c>
      <c r="F3957" s="3" t="s">
        <v>16352</v>
      </c>
      <c r="G3957" s="3" t="str">
        <f ca="1">IFERROR(__xludf.DUMMYFUNCTION("googletranslate(D3957,""en"",""ja"")"),"ペプシノーゲン A; PGA")</f>
        <v>ペプシノーゲン A; PGA</v>
      </c>
      <c r="H3957" s="3" t="str">
        <f ca="1">IFERROR(__xludf.DUMMYFUNCTION("googletranslate(E3957,""en"",""ja"")"),"生物学的標本中のペプシノーゲン A の測定。")</f>
        <v>生物学的標本中のペプシノーゲン A の測定。</v>
      </c>
      <c r="I3957" s="3" t="str">
        <f ca="1">IFERROR(__xludf.DUMMYFUNCTION("googletranslate(F3957,""en"",""ja"")"),"ペプシノーゲン A の測定")</f>
        <v>ペプシノーゲン A の測定</v>
      </c>
    </row>
    <row r="3958" spans="1:9">
      <c r="A3958" s="3" t="s">
        <v>6</v>
      </c>
      <c r="B3958" s="3" t="s">
        <v>16353</v>
      </c>
      <c r="C3958" s="3" t="s">
        <v>16354</v>
      </c>
      <c r="D3958" s="3" t="s">
        <v>16355</v>
      </c>
      <c r="E3958" s="3" t="s">
        <v>16356</v>
      </c>
      <c r="F3958" s="3" t="s">
        <v>16357</v>
      </c>
      <c r="G3958" s="3" t="str">
        <f ca="1">IFERROR(__xludf.DUMMYFUNCTION("googletranslate(D3958,""en"",""ja"")"),"ペプシノーゲンC; PGC")</f>
        <v>ペプシノーゲンC; PGC</v>
      </c>
      <c r="H3958" s="3" t="str">
        <f ca="1">IFERROR(__xludf.DUMMYFUNCTION("googletranslate(E3958,""en"",""ja"")"),"生物学的標本中のペプシノーゲン C の測定。")</f>
        <v>生物学的標本中のペプシノーゲン C の測定。</v>
      </c>
      <c r="I3958" s="3" t="str">
        <f ca="1">IFERROR(__xludf.DUMMYFUNCTION("googletranslate(F3958,""en"",""ja"")"),"ペプシノーゲンCの測定")</f>
        <v>ペプシノーゲンCの測定</v>
      </c>
    </row>
    <row r="3959" spans="1:9">
      <c r="A3959" s="3" t="s">
        <v>6</v>
      </c>
      <c r="B3959" s="3" t="s">
        <v>16358</v>
      </c>
      <c r="C3959" s="3" t="s">
        <v>16359</v>
      </c>
      <c r="D3959" s="3" t="s">
        <v>16360</v>
      </c>
      <c r="E3959" s="3" t="s">
        <v>16361</v>
      </c>
      <c r="F3959" s="3" t="s">
        <v>16362</v>
      </c>
      <c r="G3959" s="3" t="str">
        <f ca="1">IFERROR(__xludf.DUMMYFUNCTION("googletranslate(D3959,""en"",""ja"")"),"ペプシノーゲン I; PGI")</f>
        <v>ペプシノーゲン I; PGI</v>
      </c>
      <c r="H3959" s="3" t="str">
        <f ca="1">IFERROR(__xludf.DUMMYFUNCTION("googletranslate(E3959,""en"",""ja"")"),"生物学的標本中のペプシノーゲン I の測定。")</f>
        <v>生物学的標本中のペプシノーゲン I の測定。</v>
      </c>
      <c r="I3959" s="3" t="str">
        <f ca="1">IFERROR(__xludf.DUMMYFUNCTION("googletranslate(F3959,""en"",""ja"")"),"ペプシノーゲン I の測定")</f>
        <v>ペプシノーゲン I の測定</v>
      </c>
    </row>
    <row r="3960" spans="1:9">
      <c r="A3960" s="3" t="s">
        <v>6</v>
      </c>
      <c r="B3960" s="3" t="s">
        <v>16363</v>
      </c>
      <c r="C3960" s="3" t="s">
        <v>16364</v>
      </c>
      <c r="D3960" s="3" t="s">
        <v>16365</v>
      </c>
      <c r="E3960" s="3" t="s">
        <v>16366</v>
      </c>
      <c r="F3960" s="3" t="s">
        <v>16367</v>
      </c>
      <c r="G3960" s="3" t="str">
        <f ca="1">IFERROR(__xludf.DUMMYFUNCTION("googletranslate(D3960,""en"",""ja"")"),"ペプシノーゲン II; PGII")</f>
        <v>ペプシノーゲン II; PGII</v>
      </c>
      <c r="H3960" s="3" t="str">
        <f ca="1">IFERROR(__xludf.DUMMYFUNCTION("googletranslate(E3960,""en"",""ja"")"),"生物学的標本中のペプシノーゲン II の測定。")</f>
        <v>生物学的標本中のペプシノーゲン II の測定。</v>
      </c>
      <c r="I3960" s="3" t="str">
        <f ca="1">IFERROR(__xludf.DUMMYFUNCTION("googletranslate(F3960,""en"",""ja"")"),"ペプシノーゲン II の測定")</f>
        <v>ペプシノーゲン II の測定</v>
      </c>
    </row>
    <row r="3961" spans="1:9" ht="45">
      <c r="A3961" s="3" t="s">
        <v>67</v>
      </c>
      <c r="B3961" s="3" t="s">
        <v>16368</v>
      </c>
      <c r="C3961" s="3" t="s">
        <v>16369</v>
      </c>
      <c r="D3961" s="3" t="s">
        <v>16369</v>
      </c>
      <c r="E3961" s="3" t="s">
        <v>16370</v>
      </c>
      <c r="F3961" s="3" t="s">
        <v>16371</v>
      </c>
      <c r="G3961" s="3" t="str">
        <f ca="1">IFERROR(__xludf.DUMMYFUNCTION("googletranslate(D3961,""en"",""ja"")"),"ペプトストレプトコッカス")</f>
        <v>ペプトストレプトコッカス</v>
      </c>
      <c r="H3961" s="3" t="str">
        <f ca="1">IFERROR(__xludf.DUMMYFUNCTION("googletranslate(E3961,""en"",""ja"")"),"生物学的標本において、種レベルには割り当てられていないが、ペプトストレプトコッカス属レベルに割り当てられている生物の測定値。")</f>
        <v>生物学的標本において、種レベルには割り当てられていないが、ペプトストレプトコッカス属レベルに割り当てられている生物の測定値。</v>
      </c>
      <c r="I3961" s="3" t="str">
        <f ca="1">IFERROR(__xludf.DUMMYFUNCTION("googletranslate(F3961,""en"",""ja"")"),"ペプトストレプトコッカス測定")</f>
        <v>ペプトストレプトコッカス測定</v>
      </c>
    </row>
    <row r="3962" spans="1:9" ht="45">
      <c r="A3962" s="3" t="s">
        <v>6</v>
      </c>
      <c r="B3962" s="3" t="s">
        <v>16372</v>
      </c>
      <c r="C3962" s="3" t="s">
        <v>16373</v>
      </c>
      <c r="D3962" s="3" t="s">
        <v>16373</v>
      </c>
      <c r="E3962" s="3" t="s">
        <v>16374</v>
      </c>
      <c r="F3962" s="3" t="s">
        <v>16375</v>
      </c>
      <c r="G3962" s="3" t="str">
        <f ca="1">IFERROR(__xludf.DUMMYFUNCTION("googletranslate(D3962,""en"",""ja"")"),"増殖中の赤血球/全細胞")</f>
        <v>増殖中の赤血球/全細胞</v>
      </c>
      <c r="H3962" s="3" t="str">
        <f ca="1">IFERROR(__xludf.DUMMYFUNCTION("googletranslate(E3962,""en"",""ja"")"),"生物学的標本の全細胞に対する増殖赤血球系細胞の相対的な測定値 (比率またはパーセンテージ)。")</f>
        <v>生物学的標本の全細胞に対する増殖赤血球系細胞の相対的な測定値 (比率またはパーセンテージ)。</v>
      </c>
      <c r="I3962" s="3" t="str">
        <f ca="1">IFERROR(__xludf.DUMMYFUNCTION("googletranslate(F3962,""en"",""ja"")"),"増殖赤血球細胞対全細胞比の測定")</f>
        <v>増殖赤血球細胞対全細胞比の測定</v>
      </c>
    </row>
    <row r="3963" spans="1:9" ht="30">
      <c r="A3963" s="3" t="s">
        <v>6</v>
      </c>
      <c r="B3963" s="3" t="s">
        <v>16376</v>
      </c>
      <c r="C3963" s="3" t="s">
        <v>16377</v>
      </c>
      <c r="D3963" s="3" t="s">
        <v>16378</v>
      </c>
      <c r="E3963" s="3" t="s">
        <v>16379</v>
      </c>
      <c r="F3963" s="3" t="s">
        <v>16380</v>
      </c>
      <c r="G3963" s="3" t="str">
        <f ca="1">IFERROR(__xludf.DUMMYFUNCTION("googletranslate(D3963,""en"",""ja"")"),"OSF2;骨芽細胞特異的因子 2;ペリオスチン;投稿")</f>
        <v>OSF2;骨芽細胞特異的因子 2;ペリオスチン;投稿</v>
      </c>
      <c r="H3963" s="3" t="str">
        <f ca="1">IFERROR(__xludf.DUMMYFUNCTION("googletranslate(E3963,""en"",""ja"")"),"生物学的標本中のペリオスチンの測定。")</f>
        <v>生物学的標本中のペリオスチンの測定。</v>
      </c>
      <c r="I3963" s="3" t="str">
        <f ca="1">IFERROR(__xludf.DUMMYFUNCTION("googletranslate(F3963,""en"",""ja"")"),"ペリオスチンの測定")</f>
        <v>ペリオスチンの測定</v>
      </c>
    </row>
    <row r="3964" spans="1:9" ht="30">
      <c r="A3964" s="3" t="s">
        <v>103</v>
      </c>
      <c r="B3964" s="3" t="s">
        <v>16381</v>
      </c>
      <c r="C3964" s="3" t="s">
        <v>16382</v>
      </c>
      <c r="D3964" s="3" t="s">
        <v>16383</v>
      </c>
      <c r="E3964" s="3" t="s">
        <v>16384</v>
      </c>
      <c r="F3964" s="3" t="s">
        <v>16385</v>
      </c>
      <c r="G3964" s="3" t="str">
        <f ca="1">IFERROR(__xludf.DUMMYFUNCTION("googletranslate(D3964,""en"",""ja"")"),"perk 発現;リン酸化ERKの発現")</f>
        <v>perk 発現;リン酸化ERKの発現</v>
      </c>
      <c r="H3964" s="3" t="str">
        <f ca="1">IFERROR(__xludf.DUMMYFUNCTION("googletranslate(E3964,""en"",""ja"")"),"生物学的標本における細胞のリン酸化 ERK 発現の測定。")</f>
        <v>生物学的標本における細胞のリン酸化 ERK 発現の測定。</v>
      </c>
      <c r="I3964" s="3" t="str">
        <f ca="1">IFERROR(__xludf.DUMMYFUNCTION("googletranslate(F3964,""en"",""ja"")"),"perK発現測定")</f>
        <v>perK発現測定</v>
      </c>
    </row>
    <row r="3965" spans="1:9">
      <c r="A3965" s="3" t="s">
        <v>6</v>
      </c>
      <c r="B3965" s="3" t="s">
        <v>16386</v>
      </c>
      <c r="C3965" s="3" t="s">
        <v>16387</v>
      </c>
      <c r="D3965" s="3" t="s">
        <v>16387</v>
      </c>
      <c r="E3965" s="3" t="s">
        <v>16388</v>
      </c>
      <c r="F3965" s="3" t="s">
        <v>16389</v>
      </c>
      <c r="G3965" s="3" t="str">
        <f ca="1">IFERROR(__xludf.DUMMYFUNCTION("googletranslate(D3965,""en"",""ja"")"),"ペルフェナジン")</f>
        <v>ペルフェナジン</v>
      </c>
      <c r="H3965" s="3" t="str">
        <f ca="1">IFERROR(__xludf.DUMMYFUNCTION("googletranslate(E3965,""en"",""ja"")"),"生物学的標本中のペルフェナジンの測定。")</f>
        <v>生物学的標本中のペルフェナジンの測定。</v>
      </c>
      <c r="I3965" s="3" t="str">
        <f ca="1">IFERROR(__xludf.DUMMYFUNCTION("googletranslate(F3965,""en"",""ja"")"),"ペルフェナジンの測定")</f>
        <v>ペルフェナジンの測定</v>
      </c>
    </row>
    <row r="3966" spans="1:9" ht="45">
      <c r="A3966" s="3" t="s">
        <v>6</v>
      </c>
      <c r="B3966" s="3" t="s">
        <v>16390</v>
      </c>
      <c r="C3966" s="3" t="s">
        <v>16391</v>
      </c>
      <c r="D3966" s="3" t="s">
        <v>16391</v>
      </c>
      <c r="E3966" s="3" t="s">
        <v>16392</v>
      </c>
      <c r="F3966" s="3" t="s">
        <v>16393</v>
      </c>
      <c r="G3966" s="3" t="str">
        <f ca="1">IFERROR(__xludf.DUMMYFUNCTION("googletranslate(D3966,""en"",""ja"")"),"8-イソ-PGF2α/クレアチニン")</f>
        <v>8-イソ-PGF2α/クレアチニン</v>
      </c>
      <c r="H3966" s="3" t="str">
        <f ca="1">IFERROR(__xludf.DUMMYFUNCTION("googletranslate(E3966,""en"",""ja"")"),"生物学的標本中のクレアチニンに対するプロスタグランジン F2 アルファ アイソフォーム 8 の相対測定値 (比率またはパーセンテージ)。")</f>
        <v>生物学的標本中のクレアチニンに対するプロスタグランジン F2 アルファ アイソフォーム 8 の相対測定値 (比率またはパーセンテージ)。</v>
      </c>
      <c r="I3966" s="3" t="str">
        <f ca="1">IFERROR(__xludf.DUMMYFUNCTION("googletranslate(F3966,""en"",""ja"")"),"8-Iso-プロスタグランジン F2 アルファとクレアチニンの比率の測定")</f>
        <v>8-Iso-プロスタグランジン F2 アルファとクレアチニンの比率の測定</v>
      </c>
    </row>
    <row r="3967" spans="1:9" ht="30">
      <c r="A3967" s="3" t="s">
        <v>6</v>
      </c>
      <c r="B3967" s="3" t="s">
        <v>16394</v>
      </c>
      <c r="C3967" s="3" t="s">
        <v>16395</v>
      </c>
      <c r="D3967" s="3" t="s">
        <v>16396</v>
      </c>
      <c r="E3967" s="3" t="s">
        <v>16397</v>
      </c>
      <c r="F3967" s="3" t="s">
        <v>16398</v>
      </c>
      <c r="G3967" s="3" t="str">
        <f ca="1">IFERROR(__xludf.DUMMYFUNCTION("googletranslate(D3967,""en"",""ja"")"),"PFCT;血小板機能の終了時間")</f>
        <v>PFCT;血小板機能の終了時間</v>
      </c>
      <c r="H3967" s="3" t="str">
        <f ca="1">IFERROR(__xludf.DUMMYFUNCTION("googletranslate(E3967,""en"",""ja"")"),"生物学的標本における血小板機能の閉鎖時間の測定。")</f>
        <v>生物学的標本における血小板機能の閉鎖時間の測定。</v>
      </c>
      <c r="I3967" s="3" t="str">
        <f ca="1">IFERROR(__xludf.DUMMYFUNCTION("googletranslate(F3967,""en"",""ja"")"),"血小板機能閉鎖時間の測定")</f>
        <v>血小板機能閉鎖時間の測定</v>
      </c>
    </row>
    <row r="3968" spans="1:9" ht="30">
      <c r="A3968" s="3" t="s">
        <v>6</v>
      </c>
      <c r="B3968" s="3" t="s">
        <v>16399</v>
      </c>
      <c r="C3968" s="3" t="s">
        <v>16400</v>
      </c>
      <c r="D3968" s="3" t="s">
        <v>16400</v>
      </c>
      <c r="E3968" s="3" t="s">
        <v>16401</v>
      </c>
      <c r="F3968" s="3" t="s">
        <v>16402</v>
      </c>
      <c r="G3968" s="3" t="str">
        <f ca="1">IFERROR(__xludf.DUMMYFUNCTION("googletranslate(D3968,""en"",""ja"")"),"プロスタグランジン")</f>
        <v>プロスタグランジン</v>
      </c>
      <c r="H3968" s="3" t="str">
        <f ca="1">IFERROR(__xludf.DUMMYFUNCTION("googletranslate(E3968,""en"",""ja"")"),"生物学的標本中の総プロスタグランジンの測定。")</f>
        <v>生物学的標本中の総プロスタグランジンの測定。</v>
      </c>
      <c r="I3968" s="3" t="str">
        <f ca="1">IFERROR(__xludf.DUMMYFUNCTION("googletranslate(F3968,""en"",""ja"")"),"プロスタグランジンの測定")</f>
        <v>プロスタグランジンの測定</v>
      </c>
    </row>
    <row r="3969" spans="1:9" ht="30">
      <c r="A3969" s="3" t="s">
        <v>6</v>
      </c>
      <c r="B3969" s="3" t="s">
        <v>16403</v>
      </c>
      <c r="C3969" s="3" t="s">
        <v>16404</v>
      </c>
      <c r="D3969" s="3" t="s">
        <v>16405</v>
      </c>
      <c r="E3969" s="3" t="s">
        <v>16406</v>
      </c>
      <c r="F3969" s="3" t="s">
        <v>16407</v>
      </c>
      <c r="G3969" s="3" t="str">
        <f ca="1">IFERROR(__xludf.DUMMYFUNCTION("googletranslate(D3969,""en"",""ja"")"),"血小板顆粒球凝集;血小板顆粒球凝集体")</f>
        <v>血小板顆粒球凝集;血小板顆粒球凝集体</v>
      </c>
      <c r="H3969" s="3" t="str">
        <f ca="1">IFERROR(__xludf.DUMMYFUNCTION("googletranslate(E3969,""en"",""ja"")"),"生物学的標本中の血小板と顆粒球から構成される凝集体の測定。")</f>
        <v>生物学的標本中の血小板と顆粒球から構成される凝集体の測定。</v>
      </c>
      <c r="I3969" s="3" t="str">
        <f ca="1">IFERROR(__xludf.DUMMYFUNCTION("googletranslate(F3969,""en"",""ja"")"),"血小板顆粒球凝集体測定")</f>
        <v>血小板顆粒球凝集体測定</v>
      </c>
    </row>
    <row r="3970" spans="1:9" ht="30">
      <c r="A3970" s="3" t="s">
        <v>6</v>
      </c>
      <c r="B3970" s="3" t="s">
        <v>16408</v>
      </c>
      <c r="C3970" s="3" t="s">
        <v>16409</v>
      </c>
      <c r="D3970" s="3" t="s">
        <v>16409</v>
      </c>
      <c r="E3970" s="3" t="s">
        <v>16410</v>
      </c>
      <c r="F3970" s="3" t="s">
        <v>16411</v>
      </c>
      <c r="G3970" s="3" t="str">
        <f ca="1">IFERROR(__xludf.DUMMYFUNCTION("googletranslate(D3970,""en"",""ja"")"),"プロスタグランジン D2")</f>
        <v>プロスタグランジン D2</v>
      </c>
      <c r="H3970" s="3" t="str">
        <f ca="1">IFERROR(__xludf.DUMMYFUNCTION("googletranslate(E3970,""en"",""ja"")"),"生物学的標本中のプロスタグランジン D2 の測定。")</f>
        <v>生物学的標本中のプロスタグランジン D2 の測定。</v>
      </c>
      <c r="I3970" s="3" t="str">
        <f ca="1">IFERROR(__xludf.DUMMYFUNCTION("googletranslate(F3970,""en"",""ja"")"),"プロスタグランジンD2測定")</f>
        <v>プロスタグランジンD2測定</v>
      </c>
    </row>
    <row r="3971" spans="1:9" ht="30">
      <c r="A3971" s="3" t="s">
        <v>6</v>
      </c>
      <c r="B3971" s="3" t="s">
        <v>16412</v>
      </c>
      <c r="C3971" s="3" t="s">
        <v>16413</v>
      </c>
      <c r="D3971" s="3" t="s">
        <v>16413</v>
      </c>
      <c r="E3971" s="3" t="s">
        <v>16414</v>
      </c>
      <c r="F3971" s="3" t="s">
        <v>16415</v>
      </c>
      <c r="G3971" s="3" t="str">
        <f ca="1">IFERROR(__xludf.DUMMYFUNCTION("googletranslate(D3971,""en"",""ja"")"),"プロスタグランジン D2 受容体 2")</f>
        <v>プロスタグランジン D2 受容体 2</v>
      </c>
      <c r="H3971" s="3" t="str">
        <f ca="1">IFERROR(__xludf.DUMMYFUNCTION("googletranslate(E3971,""en"",""ja"")"),"生体試料中のプロスタグランジン D2 受容体 2 の測定。")</f>
        <v>生体試料中のプロスタグランジン D2 受容体 2 の測定。</v>
      </c>
      <c r="I3971" s="3" t="str">
        <f ca="1">IFERROR(__xludf.DUMMYFUNCTION("googletranslate(F3971,""en"",""ja"")"),"プロスタグランジン D2 受容体 2 の測定")</f>
        <v>プロスタグランジン D2 受容体 2 の測定</v>
      </c>
    </row>
    <row r="3972" spans="1:9" ht="30">
      <c r="A3972" s="3" t="s">
        <v>6</v>
      </c>
      <c r="B3972" s="3" t="s">
        <v>16416</v>
      </c>
      <c r="C3972" s="3" t="s">
        <v>16417</v>
      </c>
      <c r="D3972" s="3" t="s">
        <v>16418</v>
      </c>
      <c r="E3972" s="3" t="s">
        <v>16419</v>
      </c>
      <c r="F3972" s="3" t="s">
        <v>16420</v>
      </c>
      <c r="G3972" s="3" t="str">
        <f ca="1">IFERROR(__xludf.DUMMYFUNCTION("googletranslate(D3972,""en"",""ja"")"),"ベータトレースタンパク質;プロスタグランジン D2 合成酵素")</f>
        <v>ベータトレースタンパク質;プロスタグランジン D2 合成酵素</v>
      </c>
      <c r="H3972" s="3" t="str">
        <f ca="1">IFERROR(__xludf.DUMMYFUNCTION("googletranslate(E3972,""en"",""ja"")"),"生物学的標本中のプロスタグランジン D2 シンターゼの測定。")</f>
        <v>生物学的標本中のプロスタグランジン D2 シンターゼの測定。</v>
      </c>
      <c r="I3972" s="3" t="str">
        <f ca="1">IFERROR(__xludf.DUMMYFUNCTION("googletranslate(F3972,""en"",""ja"")"),"プロスタグランジンD2合成酵素の測定")</f>
        <v>プロスタグランジンD2合成酵素の測定</v>
      </c>
    </row>
    <row r="3973" spans="1:9" ht="30">
      <c r="A3973" s="3" t="s">
        <v>6</v>
      </c>
      <c r="B3973" s="3" t="s">
        <v>16421</v>
      </c>
      <c r="C3973" s="3" t="s">
        <v>16422</v>
      </c>
      <c r="D3973" s="3" t="s">
        <v>16422</v>
      </c>
      <c r="E3973" s="3" t="s">
        <v>16423</v>
      </c>
      <c r="F3973" s="3" t="s">
        <v>16424</v>
      </c>
      <c r="G3973" s="3" t="str">
        <f ca="1">IFERROR(__xludf.DUMMYFUNCTION("googletranslate(D3973,""en"",""ja"")"),"プロスタグランジン E1")</f>
        <v>プロスタグランジン E1</v>
      </c>
      <c r="H3973" s="3" t="str">
        <f ca="1">IFERROR(__xludf.DUMMYFUNCTION("googletranslate(E3973,""en"",""ja"")"),"生物学的標本中のプロスタグランジン E1 の測定。")</f>
        <v>生物学的標本中のプロスタグランジン E1 の測定。</v>
      </c>
      <c r="I3973" s="3" t="str">
        <f ca="1">IFERROR(__xludf.DUMMYFUNCTION("googletranslate(F3973,""en"",""ja"")"),"プロスタグランジンE1測定")</f>
        <v>プロスタグランジンE1測定</v>
      </c>
    </row>
    <row r="3974" spans="1:9" ht="30">
      <c r="A3974" s="3" t="s">
        <v>6</v>
      </c>
      <c r="B3974" s="3" t="s">
        <v>16425</v>
      </c>
      <c r="C3974" s="3" t="s">
        <v>16426</v>
      </c>
      <c r="D3974" s="3" t="s">
        <v>16426</v>
      </c>
      <c r="E3974" s="3" t="s">
        <v>16427</v>
      </c>
      <c r="F3974" s="3" t="s">
        <v>16428</v>
      </c>
      <c r="G3974" s="3" t="str">
        <f ca="1">IFERROR(__xludf.DUMMYFUNCTION("googletranslate(D3974,""en"",""ja"")"),"プロスタグランジン E2")</f>
        <v>プロスタグランジン E2</v>
      </c>
      <c r="H3974" s="3" t="str">
        <f ca="1">IFERROR(__xludf.DUMMYFUNCTION("googletranslate(E3974,""en"",""ja"")"),"生物学的標本中のプロスタグランジン E2 の測定。")</f>
        <v>生物学的標本中のプロスタグランジン E2 の測定。</v>
      </c>
      <c r="I3974" s="3" t="str">
        <f ca="1">IFERROR(__xludf.DUMMYFUNCTION("googletranslate(F3974,""en"",""ja"")"),"プロスタグランジンE2測定")</f>
        <v>プロスタグランジンE2測定</v>
      </c>
    </row>
    <row r="3975" spans="1:9" ht="30">
      <c r="A3975" s="3" t="s">
        <v>6</v>
      </c>
      <c r="B3975" s="3" t="s">
        <v>16429</v>
      </c>
      <c r="C3975" s="3" t="s">
        <v>16430</v>
      </c>
      <c r="D3975" s="3" t="s">
        <v>16430</v>
      </c>
      <c r="E3975" s="3" t="s">
        <v>16431</v>
      </c>
      <c r="F3975" s="3" t="s">
        <v>16432</v>
      </c>
      <c r="G3975" s="3" t="str">
        <f ca="1">IFERROR(__xludf.DUMMYFUNCTION("googletranslate(D3975,""en"",""ja"")"),"プロスタグランジン E シンターゼ")</f>
        <v>プロスタグランジン E シンターゼ</v>
      </c>
      <c r="H3975" s="3" t="str">
        <f ca="1">IFERROR(__xludf.DUMMYFUNCTION("googletranslate(E3975,""en"",""ja"")"),"生物学的標本中のプロスタグランジン E シンターゼの測定。")</f>
        <v>生物学的標本中のプロスタグランジン E シンターゼの測定。</v>
      </c>
      <c r="I3975" s="3" t="str">
        <f ca="1">IFERROR(__xludf.DUMMYFUNCTION("googletranslate(F3975,""en"",""ja"")"),"プロスタグランジンE合成酵素の測定")</f>
        <v>プロスタグランジンE合成酵素の測定</v>
      </c>
    </row>
    <row r="3976" spans="1:9" ht="30">
      <c r="A3976" s="3" t="s">
        <v>6</v>
      </c>
      <c r="B3976" s="3" t="s">
        <v>16433</v>
      </c>
      <c r="C3976" s="3" t="s">
        <v>16434</v>
      </c>
      <c r="D3976" s="3" t="s">
        <v>16434</v>
      </c>
      <c r="E3976" s="3" t="s">
        <v>16435</v>
      </c>
      <c r="F3976" s="3" t="s">
        <v>16436</v>
      </c>
      <c r="G3976" s="3" t="str">
        <f ca="1">IFERROR(__xludf.DUMMYFUNCTION("googletranslate(D3976,""en"",""ja"")"),"プロスタグランジン F1 アルファ")</f>
        <v>プロスタグランジン F1 アルファ</v>
      </c>
      <c r="H3976" s="3" t="str">
        <f ca="1">IFERROR(__xludf.DUMMYFUNCTION("googletranslate(E3976,""en"",""ja"")"),"生物学的標本中のプロスタグランジン F1 アルファの測定。")</f>
        <v>生物学的標本中のプロスタグランジン F1 アルファの測定。</v>
      </c>
      <c r="I3976" s="3" t="str">
        <f ca="1">IFERROR(__xludf.DUMMYFUNCTION("googletranslate(F3976,""en"",""ja"")"),"プロスタグランジン F1 アルファの測定")</f>
        <v>プロスタグランジン F1 アルファの測定</v>
      </c>
    </row>
    <row r="3977" spans="1:9" ht="30">
      <c r="A3977" s="3" t="s">
        <v>6</v>
      </c>
      <c r="B3977" s="3" t="s">
        <v>16437</v>
      </c>
      <c r="C3977" s="3" t="s">
        <v>16438</v>
      </c>
      <c r="D3977" s="3" t="s">
        <v>16438</v>
      </c>
      <c r="E3977" s="3" t="s">
        <v>16439</v>
      </c>
      <c r="F3977" s="3" t="s">
        <v>16440</v>
      </c>
      <c r="G3977" s="3" t="str">
        <f ca="1">IFERROR(__xludf.DUMMYFUNCTION("googletranslate(D3977,""en"",""ja"")"),"プロスタグランジン F2 アルファ")</f>
        <v>プロスタグランジン F2 アルファ</v>
      </c>
      <c r="H3977" s="3" t="str">
        <f ca="1">IFERROR(__xludf.DUMMYFUNCTION("googletranslate(E3977,""en"",""ja"")"),"生物学的標本中のプロスタグランジン F2 アルファの測定。")</f>
        <v>生物学的標本中のプロスタグランジン F2 アルファの測定。</v>
      </c>
      <c r="I3977" s="3" t="str">
        <f ca="1">IFERROR(__xludf.DUMMYFUNCTION("googletranslate(F3977,""en"",""ja"")"),"プロスタグランジン F2 アルファの測定")</f>
        <v>プロスタグランジン F2 アルファの測定</v>
      </c>
    </row>
    <row r="3978" spans="1:9" ht="30">
      <c r="A3978" s="3" t="s">
        <v>6</v>
      </c>
      <c r="B3978" s="3" t="s">
        <v>16441</v>
      </c>
      <c r="C3978" s="3" t="s">
        <v>16442</v>
      </c>
      <c r="D3978" s="3" t="s">
        <v>16442</v>
      </c>
      <c r="E3978" s="3" t="s">
        <v>16443</v>
      </c>
      <c r="F3978" s="3" t="s">
        <v>16444</v>
      </c>
      <c r="G3978" s="3" t="str">
        <f ca="1">IFERROR(__xludf.DUMMYFUNCTION("googletranslate(D3978,""en"",""ja"")"),"8-イソ-プロスタグランジン F2 アルファ")</f>
        <v>8-イソ-プロスタグランジン F2 アルファ</v>
      </c>
      <c r="H3978" s="3" t="str">
        <f ca="1">IFERROR(__xludf.DUMMYFUNCTION("googletranslate(E3978,""en"",""ja"")"),"生物学的標本中のプロスタグランジン F2 α アイソフォーム 8 の測定。")</f>
        <v>生物学的標本中のプロスタグランジン F2 α アイソフォーム 8 の測定。</v>
      </c>
      <c r="I3978" s="3" t="str">
        <f ca="1">IFERROR(__xludf.DUMMYFUNCTION("googletranslate(F3978,""en"",""ja"")"),"8-イソ-プロスタグランジン F2 アルファの測定")</f>
        <v>8-イソ-プロスタグランジン F2 アルファの測定</v>
      </c>
    </row>
    <row r="3979" spans="1:9" ht="30">
      <c r="A3979" s="3" t="s">
        <v>81</v>
      </c>
      <c r="B3979" s="3" t="s">
        <v>16445</v>
      </c>
      <c r="C3979" s="3" t="s">
        <v>16446</v>
      </c>
      <c r="D3979" s="3" t="s">
        <v>16446</v>
      </c>
      <c r="E3979" s="3" t="s">
        <v>16447</v>
      </c>
      <c r="F3979" s="3" t="s">
        <v>16446</v>
      </c>
      <c r="G3979" s="3" t="str">
        <f ca="1">IFERROR(__xludf.DUMMYFUNCTION("googletranslate(D3979,""en"",""ja"")"),"ピーク圧力勾配")</f>
        <v>ピーク圧力勾配</v>
      </c>
      <c r="H3979" s="3" t="str">
        <f ca="1">IFERROR(__xludf.DUMMYFUNCTION("googletranslate(E3979,""en"",""ja"")"),"構造物の 2 点間に存在する最大圧力勾配を表す値。")</f>
        <v>構造物の 2 点間に存在する最大圧力勾配を表す値。</v>
      </c>
      <c r="I3979" s="3" t="str">
        <f ca="1">IFERROR(__xludf.DUMMYFUNCTION("googletranslate(F3979,""en"",""ja"")"),"ピーク圧力勾配")</f>
        <v>ピーク圧力勾配</v>
      </c>
    </row>
    <row r="3980" spans="1:9" ht="45">
      <c r="A3980" s="3" t="s">
        <v>51</v>
      </c>
      <c r="B3980" s="3" t="s">
        <v>16448</v>
      </c>
      <c r="C3980" s="3" t="s">
        <v>16449</v>
      </c>
      <c r="D3980" s="3" t="s">
        <v>16449</v>
      </c>
      <c r="E3980" s="3" t="s">
        <v>16450</v>
      </c>
      <c r="F3980" s="3" t="s">
        <v>16449</v>
      </c>
      <c r="G3980" s="3" t="str">
        <f ca="1">IFERROR(__xludf.DUMMYFUNCTION("googletranslate(D3980,""en"",""ja"")"),"pH")</f>
        <v>pH</v>
      </c>
      <c r="H3980" s="3" t="str">
        <f ca="1">IFERROR(__xludf.DUMMYFUNCTION("googletranslate(E3980,""en"",""ja"")"),"ヒドロニウムイオン濃度の負の対数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980" s="3" t="str">
        <f ca="1">IFERROR(__xludf.DUMMYFUNCTION("googletranslate(F3980,""en"",""ja"")"),"pH")</f>
        <v>pH</v>
      </c>
    </row>
    <row r="3981" spans="1:9" ht="45">
      <c r="A3981" s="3" t="s">
        <v>6</v>
      </c>
      <c r="B3981" s="3" t="s">
        <v>16448</v>
      </c>
      <c r="C3981" s="3" t="s">
        <v>16449</v>
      </c>
      <c r="D3981" s="3" t="s">
        <v>16449</v>
      </c>
      <c r="E3981" s="3" t="s">
        <v>16450</v>
      </c>
      <c r="F3981" s="3" t="s">
        <v>16449</v>
      </c>
      <c r="G3981" s="3" t="str">
        <f ca="1">IFERROR(__xludf.DUMMYFUNCTION("googletranslate(D3981,""en"",""ja"")"),"pH")</f>
        <v>pH</v>
      </c>
      <c r="H3981" s="3" t="str">
        <f ca="1">IFERROR(__xludf.DUMMYFUNCTION("googletranslate(E3981,""en"",""ja"")"),"ヒドロニウムイオン濃度の負の対数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981" s="3" t="str">
        <f ca="1">IFERROR(__xludf.DUMMYFUNCTION("googletranslate(F3981,""en"",""ja"")"),"pH")</f>
        <v>pH</v>
      </c>
    </row>
    <row r="3982" spans="1:9" ht="30">
      <c r="A3982" s="3" t="s">
        <v>6</v>
      </c>
      <c r="B3982" s="3" t="s">
        <v>16451</v>
      </c>
      <c r="C3982" s="3" t="s">
        <v>16452</v>
      </c>
      <c r="D3982" s="3" t="s">
        <v>16452</v>
      </c>
      <c r="E3982" s="3" t="s">
        <v>16453</v>
      </c>
      <c r="F3982" s="3" t="s">
        <v>16454</v>
      </c>
      <c r="G3982" s="3" t="str">
        <f ca="1">IFERROR(__xludf.DUMMYFUNCTION("googletranslate(D3982,""en"",""ja"")"),"体温に合わせてpHを調整")</f>
        <v>体温に合わせてpHを調整</v>
      </c>
      <c r="H3982" s="3" t="str">
        <f ca="1">IFERROR(__xludf.DUMMYFUNCTION("googletranslate(E3982,""en"",""ja"")"),"体温に合わせて調整された生体試料の pH の測定。")</f>
        <v>体温に合わせて調整された生体試料の pH の測定。</v>
      </c>
      <c r="I3982" s="3" t="str">
        <f ca="1">IFERROR(__xludf.DUMMYFUNCTION("googletranslate(F3982,""en"",""ja"")"),"体温測定用にpH調整済み")</f>
        <v>体温測定用にpH調整済み</v>
      </c>
    </row>
    <row r="3983" spans="1:9" ht="45">
      <c r="A3983" s="3" t="s">
        <v>155</v>
      </c>
      <c r="B3983" s="3" t="s">
        <v>16455</v>
      </c>
      <c r="C3983" s="3" t="s">
        <v>16456</v>
      </c>
      <c r="D3983" s="3" t="s">
        <v>16456</v>
      </c>
      <c r="E3983" s="3" t="s">
        <v>16457</v>
      </c>
      <c r="F3983" s="3" t="s">
        <v>16458</v>
      </c>
      <c r="G3983" s="3" t="str">
        <f ca="1">IFERROR(__xludf.DUMMYFUNCTION("googletranslate(D3983,""en"",""ja"")"),"生理学的コンプライアンス")</f>
        <v>生理学的コンプライアンス</v>
      </c>
      <c r="H3983" s="3" t="str">
        <f ca="1">IFERROR(__xludf.DUMMYFUNCTION("googletranslate(E3983,""en"",""ja"")"),"弾性器官の伸張性を反映する指数で、圧力の単位変化あたりの体積の変化 (dV/dP) として定義されます。")</f>
        <v>弾性器官の伸張性を反映する指数で、圧力の単位変化あたりの体積の変化 (dV/dP) として定義されます。</v>
      </c>
      <c r="I3983" s="3" t="str">
        <f ca="1">IFERROR(__xludf.DUMMYFUNCTION("googletranslate(F3983,""en"",""ja"")"),"拡張性の指標")</f>
        <v>拡張性の指標</v>
      </c>
    </row>
    <row r="3984" spans="1:9">
      <c r="A3984" s="3" t="s">
        <v>6</v>
      </c>
      <c r="B3984" s="3" t="s">
        <v>16459</v>
      </c>
      <c r="C3984" s="3" t="s">
        <v>16460</v>
      </c>
      <c r="D3984" s="3" t="s">
        <v>16460</v>
      </c>
      <c r="E3984" s="3" t="s">
        <v>16461</v>
      </c>
      <c r="F3984" s="3" t="s">
        <v>16462</v>
      </c>
      <c r="G3984" s="3" t="str">
        <f ca="1">IFERROR(__xludf.DUMMYFUNCTION("googletranslate(D3984,""en"",""ja"")"),"フェニルアラニン")</f>
        <v>フェニルアラニン</v>
      </c>
      <c r="H3984" s="3" t="str">
        <f ca="1">IFERROR(__xludf.DUMMYFUNCTION("googletranslate(E3984,""en"",""ja"")"),"生物学的標本中のフェニルアラニンの測定。")</f>
        <v>生物学的標本中のフェニルアラニンの測定。</v>
      </c>
      <c r="I3984" s="3" t="str">
        <f ca="1">IFERROR(__xludf.DUMMYFUNCTION("googletranslate(F3984,""en"",""ja"")"),"フェニルアラニンの測定")</f>
        <v>フェニルアラニンの測定</v>
      </c>
    </row>
    <row r="3985" spans="1:9" ht="45">
      <c r="A3985" s="3" t="s">
        <v>51</v>
      </c>
      <c r="B3985" s="3" t="s">
        <v>16463</v>
      </c>
      <c r="C3985" s="3" t="s">
        <v>16464</v>
      </c>
      <c r="D3985" s="3" t="s">
        <v>16465</v>
      </c>
      <c r="E3985" s="3" t="s">
        <v>16466</v>
      </c>
      <c r="F3985" s="3" t="s">
        <v>16467</v>
      </c>
      <c r="G3985" s="3" t="str">
        <f ca="1">IFERROR(__xludf.DUMMYFUNCTION("googletranslate(D3985,""en"",""ja"")"),"石炭酸;ヒドロキシベンゼン;オキシベンゼン;フェニック酸;フェノール;フェニル酸")</f>
        <v>石炭酸;ヒドロキシベンゼン;オキシベンゼン;フェニック酸;フェノール;フェニル酸</v>
      </c>
      <c r="H3985" s="3" t="str">
        <f ca="1">IFERROR(__xludf.DUMMYFUNCTION("googletranslate(E3985,""en"",""ja"")"),"試料中のフェノールの測定。")</f>
        <v>試料中のフェノールの測定。</v>
      </c>
      <c r="I3985" s="3" t="str">
        <f ca="1">IFERROR(__xludf.DUMMYFUNCTION("googletranslate(F3985,""en"",""ja"")"),"フェノール測定")</f>
        <v>フェノール測定</v>
      </c>
    </row>
    <row r="3986" spans="1:9" ht="30">
      <c r="A3986" s="3" t="s">
        <v>6</v>
      </c>
      <c r="B3986" s="3" t="s">
        <v>16468</v>
      </c>
      <c r="C3986" s="3" t="s">
        <v>16469</v>
      </c>
      <c r="D3986" s="3" t="s">
        <v>16470</v>
      </c>
      <c r="E3986" s="3" t="s">
        <v>16471</v>
      </c>
      <c r="F3986" s="3" t="s">
        <v>16472</v>
      </c>
      <c r="G3986" s="3" t="str">
        <f ca="1">IFERROR(__xludf.DUMMYFUNCTION("googletranslate(D3986,""en"",""ja"")"),"ジベンゾチアジン;フェノチアジン")</f>
        <v>ジベンゾチアジン;フェノチアジン</v>
      </c>
      <c r="H3986" s="3" t="str">
        <f ca="1">IFERROR(__xludf.DUMMYFUNCTION("googletranslate(E3986,""en"",""ja"")"),"生物学的標本中に存在するフェノチアジンの測定。")</f>
        <v>生物学的標本中に存在するフェノチアジンの測定。</v>
      </c>
      <c r="I3986" s="3" t="str">
        <f ca="1">IFERROR(__xludf.DUMMYFUNCTION("googletranslate(F3986,""en"",""ja"")"),"フェノチアジンの測定")</f>
        <v>フェノチアジンの測定</v>
      </c>
    </row>
    <row r="3987" spans="1:9">
      <c r="A3987" s="3" t="s">
        <v>6</v>
      </c>
      <c r="B3987" s="3" t="s">
        <v>16473</v>
      </c>
      <c r="C3987" s="3" t="s">
        <v>16474</v>
      </c>
      <c r="D3987" s="3" t="s">
        <v>16474</v>
      </c>
      <c r="E3987" s="3" t="s">
        <v>16475</v>
      </c>
      <c r="F3987" s="3" t="s">
        <v>16476</v>
      </c>
      <c r="G3987" s="3" t="str">
        <f ca="1">IFERROR(__xludf.DUMMYFUNCTION("googletranslate(D3987,""en"",""ja"")"),"フェニトイン")</f>
        <v>フェニトイン</v>
      </c>
      <c r="H3987" s="3" t="str">
        <f ca="1">IFERROR(__xludf.DUMMYFUNCTION("googletranslate(E3987,""en"",""ja"")"),"生物学的標本中のフェニトインの測定。")</f>
        <v>生物学的標本中のフェニトインの測定。</v>
      </c>
      <c r="I3987" s="3" t="str">
        <f ca="1">IFERROR(__xludf.DUMMYFUNCTION("googletranslate(F3987,""en"",""ja"")"),"フェニトインの測定")</f>
        <v>フェニトインの測定</v>
      </c>
    </row>
    <row r="3988" spans="1:9" ht="30">
      <c r="A3988" s="3" t="s">
        <v>6</v>
      </c>
      <c r="B3988" s="3" t="s">
        <v>16477</v>
      </c>
      <c r="C3988" s="3" t="s">
        <v>16478</v>
      </c>
      <c r="D3988" s="3" t="s">
        <v>16478</v>
      </c>
      <c r="E3988" s="3" t="s">
        <v>16479</v>
      </c>
      <c r="F3988" s="3" t="s">
        <v>16480</v>
      </c>
      <c r="G3988" s="3" t="str">
        <f ca="1">IFERROR(__xludf.DUMMYFUNCTION("googletranslate(D3988,""en"",""ja"")"),"フェニルアラニン/チロシン")</f>
        <v>フェニルアラニン/チロシン</v>
      </c>
      <c r="H3988" s="3" t="str">
        <f ca="1">IFERROR(__xludf.DUMMYFUNCTION("googletranslate(E3988,""en"",""ja"")"),"生物学的標本中のフェニルアラニンとチロシンの相対測定値 (比)。")</f>
        <v>生物学的標本中のフェニルアラニンとチロシンの相対測定値 (比)。</v>
      </c>
      <c r="I3988" s="3" t="str">
        <f ca="1">IFERROR(__xludf.DUMMYFUNCTION("googletranslate(F3988,""en"",""ja"")"),"フェニルアラニンとチロシンの比率の測定")</f>
        <v>フェニルアラニンとチロシンの比率の測定</v>
      </c>
    </row>
    <row r="3989" spans="1:9" ht="30">
      <c r="A3989" s="3" t="s">
        <v>51</v>
      </c>
      <c r="B3989" s="3" t="s">
        <v>16481</v>
      </c>
      <c r="C3989" s="3" t="s">
        <v>16482</v>
      </c>
      <c r="D3989" s="3" t="s">
        <v>16483</v>
      </c>
      <c r="E3989" s="3" t="s">
        <v>16484</v>
      </c>
      <c r="F3989" s="3" t="s">
        <v>16485</v>
      </c>
      <c r="G3989" s="3" t="str">
        <f ca="1">IFERROR(__xludf.DUMMYFUNCTION("googletranslate(D3989,""en"",""ja"")"),"2-アミノ-1-メチル-6-フェニルイミダゾ[4,5-b]ピリジン; PhIP")</f>
        <v>2-アミノ-1-メチル-6-フェニルイミダゾ[4,5-b]ピリジン; PhIP</v>
      </c>
      <c r="H3989" s="3" t="str">
        <f ca="1">IFERROR(__xludf.DUMMYFUNCTION("googletranslate(E3989,""en"",""ja"")"),"検体中の PhIP (2-アミノ-1-メチル-6-フェニルイミダゾ[4,5-b]ピリジン)の測定。")</f>
        <v>検体中の PhIP (2-アミノ-1-メチル-6-フェニルイミダゾ[4,5-b]ピリジン)の測定。</v>
      </c>
      <c r="I3989" s="3" t="str">
        <f ca="1">IFERROR(__xludf.DUMMYFUNCTION("googletranslate(F3989,""en"",""ja"")"),"PhIP測定")</f>
        <v>PhIP測定</v>
      </c>
    </row>
    <row r="3990" spans="1:9" ht="30">
      <c r="A3990" s="3" t="s">
        <v>6</v>
      </c>
      <c r="B3990" s="3" t="s">
        <v>16486</v>
      </c>
      <c r="C3990" s="3" t="s">
        <v>16487</v>
      </c>
      <c r="D3990" s="3" t="s">
        <v>16487</v>
      </c>
      <c r="E3990" s="3" t="s">
        <v>16488</v>
      </c>
      <c r="F3990" s="3" t="s">
        <v>16489</v>
      </c>
      <c r="G3990" s="3" t="str">
        <f ca="1">IFERROR(__xludf.DUMMYFUNCTION("googletranslate(D3990,""en"",""ja"")"),"フェノバルビタール")</f>
        <v>フェノバルビタール</v>
      </c>
      <c r="H3990" s="3" t="str">
        <f ca="1">IFERROR(__xludf.DUMMYFUNCTION("googletranslate(E3990,""en"",""ja"")"),"生物学的標本中に存在するフェノバルビタールの測定。")</f>
        <v>生物学的標本中に存在するフェノバルビタールの測定。</v>
      </c>
      <c r="I3990" s="3" t="str">
        <f ca="1">IFERROR(__xludf.DUMMYFUNCTION("googletranslate(F3990,""en"",""ja"")"),"フェノバルビタールの測定")</f>
        <v>フェノバルビタールの測定</v>
      </c>
    </row>
    <row r="3991" spans="1:9" ht="30">
      <c r="A3991" s="3" t="s">
        <v>6</v>
      </c>
      <c r="B3991" s="3" t="s">
        <v>16490</v>
      </c>
      <c r="C3991" s="3" t="s">
        <v>16491</v>
      </c>
      <c r="D3991" s="3" t="s">
        <v>16491</v>
      </c>
      <c r="E3991" s="3" t="s">
        <v>16492</v>
      </c>
      <c r="F3991" s="3" t="s">
        <v>16493</v>
      </c>
      <c r="G3991" s="3" t="str">
        <f ca="1">IFERROR(__xludf.DUMMYFUNCTION("googletranslate(D3991,""en"",""ja"")"),"フェンジメトラジン")</f>
        <v>フェンジメトラジン</v>
      </c>
      <c r="H3991" s="3" t="str">
        <f ca="1">IFERROR(__xludf.DUMMYFUNCTION("googletranslate(E3991,""en"",""ja"")"),"生物学的標本中のフェンジメトラジンの測定。")</f>
        <v>生物学的標本中のフェンジメトラジンの測定。</v>
      </c>
      <c r="I3991" s="3" t="str">
        <f ca="1">IFERROR(__xludf.DUMMYFUNCTION("googletranslate(F3991,""en"",""ja"")"),"フェンジメトラジンの測定")</f>
        <v>フェンジメトラジンの測定</v>
      </c>
    </row>
    <row r="3992" spans="1:9" ht="30">
      <c r="A3992" s="3" t="s">
        <v>6</v>
      </c>
      <c r="B3992" s="3" t="s">
        <v>16494</v>
      </c>
      <c r="C3992" s="3" t="s">
        <v>16495</v>
      </c>
      <c r="D3992" s="3" t="s">
        <v>16496</v>
      </c>
      <c r="E3992" s="3" t="s">
        <v>16497</v>
      </c>
      <c r="F3992" s="3" t="s">
        <v>16498</v>
      </c>
      <c r="G3992" s="3" t="str">
        <f ca="1">IFERROR(__xludf.DUMMYFUNCTION("googletranslate(D3992,""en"",""ja"")"),"フェニルケトン;フェニルケトン")</f>
        <v>フェニルケトン;フェニルケトン</v>
      </c>
      <c r="H3992" s="3" t="str">
        <f ca="1">IFERROR(__xludf.DUMMYFUNCTION("googletranslate(E3992,""en"",""ja"")"),"生体試料中の総フェニルケトンの測定")</f>
        <v>生体試料中の総フェニルケトンの測定</v>
      </c>
      <c r="I3992" s="3" t="str">
        <f ca="1">IFERROR(__xludf.DUMMYFUNCTION("googletranslate(F3992,""en"",""ja"")"),"フェニルケトンの測定")</f>
        <v>フェニルケトンの測定</v>
      </c>
    </row>
    <row r="3993" spans="1:9" ht="30">
      <c r="A3993" s="3" t="s">
        <v>6</v>
      </c>
      <c r="B3993" s="3" t="s">
        <v>16499</v>
      </c>
      <c r="C3993" s="3" t="s">
        <v>16500</v>
      </c>
      <c r="D3993" s="3" t="s">
        <v>16500</v>
      </c>
      <c r="E3993" s="3" t="s">
        <v>16501</v>
      </c>
      <c r="F3993" s="3" t="s">
        <v>16502</v>
      </c>
      <c r="G3993" s="3" t="str">
        <f ca="1">IFERROR(__xludf.DUMMYFUNCTION("googletranslate(D3993,""en"",""ja"")"),"フェンメトラジン")</f>
        <v>フェンメトラジン</v>
      </c>
      <c r="H3993" s="3" t="str">
        <f ca="1">IFERROR(__xludf.DUMMYFUNCTION("googletranslate(E3993,""en"",""ja"")"),"生物学的標本中のフェンメトラジンの測定。")</f>
        <v>生物学的標本中のフェンメトラジンの測定。</v>
      </c>
      <c r="I3993" s="3" t="str">
        <f ca="1">IFERROR(__xludf.DUMMYFUNCTION("googletranslate(F3993,""en"",""ja"")"),"フェンメトラジンの測定")</f>
        <v>フェンメトラジンの測定</v>
      </c>
    </row>
    <row r="3994" spans="1:9" ht="30">
      <c r="A3994" s="3" t="s">
        <v>6</v>
      </c>
      <c r="B3994" s="3" t="s">
        <v>16503</v>
      </c>
      <c r="C3994" s="3" t="s">
        <v>16504</v>
      </c>
      <c r="D3994" s="3" t="s">
        <v>16505</v>
      </c>
      <c r="E3994" s="3" t="s">
        <v>16506</v>
      </c>
      <c r="F3994" s="3" t="s">
        <v>16507</v>
      </c>
      <c r="G3994" s="3" t="str">
        <f ca="1">IFERROR(__xludf.DUMMYFUNCTION("googletranslate(D3994,""en"",""ja"")"),"フェニルピルビン酸;フェニルピルビン酸; PPA;ピーピー; PPYR")</f>
        <v>フェニルピルビン酸;フェニルピルビン酸; PPA;ピーピー; PPYR</v>
      </c>
      <c r="H3994" s="3" t="str">
        <f ca="1">IFERROR(__xludf.DUMMYFUNCTION("googletranslate(E3994,""en"",""ja"")"),"生物学的標本中のフェニルピルビン酸の測定。")</f>
        <v>生物学的標本中のフェニルピルビン酸の測定。</v>
      </c>
      <c r="I3994" s="3" t="str">
        <f ca="1">IFERROR(__xludf.DUMMYFUNCTION("googletranslate(F3994,""en"",""ja"")"),"ピルビン酸フェニル酸の測定")</f>
        <v>ピルビン酸フェニル酸の測定</v>
      </c>
    </row>
    <row r="3995" spans="1:9">
      <c r="A3995" s="3" t="s">
        <v>6</v>
      </c>
      <c r="B3995" s="3" t="s">
        <v>16508</v>
      </c>
      <c r="C3995" s="3" t="s">
        <v>16509</v>
      </c>
      <c r="D3995" s="3" t="s">
        <v>16509</v>
      </c>
      <c r="E3995" s="3" t="s">
        <v>16510</v>
      </c>
      <c r="F3995" s="3" t="s">
        <v>16511</v>
      </c>
      <c r="G3995" s="3" t="str">
        <f ca="1">IFERROR(__xludf.DUMMYFUNCTION("googletranslate(D3995,""en"",""ja"")"),"フェナゾシン")</f>
        <v>フェナゾシン</v>
      </c>
      <c r="H3995" s="3" t="str">
        <f ca="1">IFERROR(__xludf.DUMMYFUNCTION("googletranslate(E3995,""en"",""ja"")"),"生物学的標本中のフェナゾシンの測定。")</f>
        <v>生物学的標本中のフェナゾシンの測定。</v>
      </c>
      <c r="I3995" s="3" t="str">
        <f ca="1">IFERROR(__xludf.DUMMYFUNCTION("googletranslate(F3995,""en"",""ja"")"),"フェナゾシンの測定")</f>
        <v>フェナゾシンの測定</v>
      </c>
    </row>
    <row r="3996" spans="1:9" ht="30">
      <c r="A3996" s="3" t="s">
        <v>6</v>
      </c>
      <c r="B3996" s="3" t="s">
        <v>16512</v>
      </c>
      <c r="C3996" s="3" t="s">
        <v>16513</v>
      </c>
      <c r="D3996" s="3" t="s">
        <v>16514</v>
      </c>
      <c r="E3996" s="3" t="s">
        <v>16515</v>
      </c>
      <c r="F3996" s="3" t="s">
        <v>16516</v>
      </c>
      <c r="G3996" s="3" t="str">
        <f ca="1">IFERROR(__xludf.DUMMYFUNCTION("googletranslate(D3996,""en"",""ja"")"),"無機リン酸塩;リン酸塩;リン")</f>
        <v>無機リン酸塩;リン酸塩;リン</v>
      </c>
      <c r="H3996" s="3" t="str">
        <f ca="1">IFERROR(__xludf.DUMMYFUNCTION("googletranslate(E3996,""en"",""ja"")"),"生物学的標本中のリン酸塩の測定。")</f>
        <v>生物学的標本中のリン酸塩の測定。</v>
      </c>
      <c r="I3996" s="3" t="str">
        <f ca="1">IFERROR(__xludf.DUMMYFUNCTION("googletranslate(F3996,""en"",""ja"")"),"リン酸塩の測定")</f>
        <v>リン酸塩の測定</v>
      </c>
    </row>
    <row r="3997" spans="1:9" ht="45">
      <c r="A3997" s="3" t="s">
        <v>6</v>
      </c>
      <c r="B3997" s="3" t="s">
        <v>16517</v>
      </c>
      <c r="C3997" s="3" t="s">
        <v>16518</v>
      </c>
      <c r="D3997" s="3" t="s">
        <v>16518</v>
      </c>
      <c r="E3997" s="3" t="s">
        <v>16519</v>
      </c>
      <c r="F3997" s="3" t="s">
        <v>16520</v>
      </c>
      <c r="G3997" s="3" t="str">
        <f ca="1">IFERROR(__xludf.DUMMYFUNCTION("googletranslate(D3997,""en"",""ja"")"),"リン酸クリアランス")</f>
        <v>リン酸クリアランス</v>
      </c>
      <c r="H3997" s="3" t="str">
        <f ca="1">IFERROR(__xludf.DUMMYFUNCTION("googletranslate(E3997,""en"",""ja"")"),"指定された時間単位 (例: 1 分) の尿の排泄によってリン酸塩が除去される血清または血漿の量の測定値。")</f>
        <v>指定された時間単位 (例: 1 分) の尿の排泄によってリン酸塩が除去される血清または血漿の量の測定値。</v>
      </c>
      <c r="I3997" s="3" t="str">
        <f ca="1">IFERROR(__xludf.DUMMYFUNCTION("googletranslate(F3997,""en"",""ja"")"),"リン酸クリアランス測定")</f>
        <v>リン酸クリアランス測定</v>
      </c>
    </row>
    <row r="3998" spans="1:9" ht="30">
      <c r="A3998" s="3" t="s">
        <v>6</v>
      </c>
      <c r="B3998" s="3" t="s">
        <v>16521</v>
      </c>
      <c r="C3998" s="3" t="s">
        <v>16522</v>
      </c>
      <c r="D3998" s="3" t="s">
        <v>16522</v>
      </c>
      <c r="E3998" s="3" t="s">
        <v>16523</v>
      </c>
      <c r="F3998" s="3" t="s">
        <v>16524</v>
      </c>
      <c r="G3998" s="3" t="str">
        <f ca="1">IFERROR(__xludf.DUMMYFUNCTION("googletranslate(D3998,""en"",""ja"")"),"リン酸塩/クレアチニン")</f>
        <v>リン酸塩/クレアチニン</v>
      </c>
      <c r="H3998" s="3" t="str">
        <f ca="1">IFERROR(__xludf.DUMMYFUNCTION("googletranslate(E3998,""en"",""ja"")"),"生物学的標本中のクレアチニンに対するリン酸塩の相対測定値 (比率またはパーセンテージ)。")</f>
        <v>生物学的標本中のクレアチニンに対するリン酸塩の相対測定値 (比率またはパーセンテージ)。</v>
      </c>
      <c r="I3998" s="3" t="str">
        <f ca="1">IFERROR(__xludf.DUMMYFUNCTION("googletranslate(F3998,""en"",""ja"")"),"リン酸塩とクレアチニンの比率の測定")</f>
        <v>リン酸塩とクレアチニンの比率の測定</v>
      </c>
    </row>
    <row r="3999" spans="1:9" ht="45">
      <c r="A3999" s="3" t="s">
        <v>6</v>
      </c>
      <c r="B3999" s="3" t="s">
        <v>16525</v>
      </c>
      <c r="C3999" s="3" t="s">
        <v>16526</v>
      </c>
      <c r="D3999" s="3" t="s">
        <v>16526</v>
      </c>
      <c r="E3999" s="3" t="s">
        <v>16527</v>
      </c>
      <c r="F3999" s="3" t="s">
        <v>16526</v>
      </c>
      <c r="G3999" s="3" t="str">
        <f ca="1">IFERROR(__xludf.DUMMYFUNCTION("googletranslate(D3999,""en"",""ja"")"),"リン排泄率")</f>
        <v>リン排泄率</v>
      </c>
      <c r="H3999" s="3" t="str">
        <f ca="1">IFERROR(__xludf.DUMMYFUNCTION("googletranslate(E3999,""en"",""ja"")"),"規定の時間 (例: 1 時間) にわたって生物学的標本中に排泄されるリンの量の測定。")</f>
        <v>規定の時間 (例: 1 時間) にわたって生物学的標本中に排泄されるリンの量の測定。</v>
      </c>
      <c r="I3999" s="3" t="str">
        <f ca="1">IFERROR(__xludf.DUMMYFUNCTION("googletranslate(F3999,""en"",""ja"")"),"リン排泄率")</f>
        <v>リン排泄率</v>
      </c>
    </row>
    <row r="4000" spans="1:9">
      <c r="A4000" s="3" t="s">
        <v>6</v>
      </c>
      <c r="B4000" s="3" t="s">
        <v>16528</v>
      </c>
      <c r="C4000" s="3" t="s">
        <v>16529</v>
      </c>
      <c r="D4000" s="3" t="s">
        <v>16529</v>
      </c>
      <c r="E4000" s="3" t="s">
        <v>16530</v>
      </c>
      <c r="F4000" s="3" t="s">
        <v>16531</v>
      </c>
      <c r="G4000" s="3" t="str">
        <f ca="1">IFERROR(__xludf.DUMMYFUNCTION("googletranslate(D4000,""en"",""ja"")"),"リン脂質")</f>
        <v>リン脂質</v>
      </c>
      <c r="H4000" s="3" t="str">
        <f ca="1">IFERROR(__xludf.DUMMYFUNCTION("googletranslate(E4000,""en"",""ja"")"),"生物学的標本中のリン脂質の測定。")</f>
        <v>生物学的標本中のリン脂質の測定。</v>
      </c>
      <c r="I4000" s="3" t="str">
        <f ca="1">IFERROR(__xludf.DUMMYFUNCTION("googletranslate(F4000,""en"",""ja"")"),"リン脂質の測定")</f>
        <v>リン脂質の測定</v>
      </c>
    </row>
    <row r="4001" spans="1:9" ht="60">
      <c r="A4001" s="3" t="s">
        <v>67</v>
      </c>
      <c r="B4001" s="3" t="s">
        <v>16532</v>
      </c>
      <c r="C4001" s="3" t="s">
        <v>16533</v>
      </c>
      <c r="D4001" s="3" t="s">
        <v>16534</v>
      </c>
      <c r="E4001" s="3" t="s">
        <v>16535</v>
      </c>
      <c r="F4001" s="3" t="s">
        <v>16536</v>
      </c>
      <c r="G4001" s="3" t="str">
        <f ca="1">IFERROR(__xludf.DUMMYFUNCTION("googletranslate(D4001,""en"",""ja"")"),"プラスモディウム ヒスチジン リッチ プロテイン 2;マラリア原虫ヒスチジンリッチプロテイン II")</f>
        <v>プラスモディウム ヒスチジン リッチ プロテイン 2;マラリア原虫ヒスチジンリッチプロテイン II</v>
      </c>
      <c r="H4001" s="3" t="str">
        <f ca="1">IFERROR(__xludf.DUMMYFUNCTION("googletranslate(E4001,""en"",""ja"")"),"生物学的標本中のマラリア原虫ヒスチジンリッチタンパク質 2 の測定。")</f>
        <v>生物学的標本中のマラリア原虫ヒスチジンリッチタンパク質 2 の測定。</v>
      </c>
      <c r="I4001" s="3" t="str">
        <f ca="1">IFERROR(__xludf.DUMMYFUNCTION("googletranslate(F4001,""en"",""ja"")"),"マラリア原虫ヒスチジンリッチプロテイン 2 の測定")</f>
        <v>マラリア原虫ヒスチジンリッチプロテイン 2 の測定</v>
      </c>
    </row>
    <row r="4002" spans="1:9" ht="30">
      <c r="A4002" s="3" t="s">
        <v>6</v>
      </c>
      <c r="B4002" s="3" t="s">
        <v>16537</v>
      </c>
      <c r="C4002" s="3" t="s">
        <v>16538</v>
      </c>
      <c r="D4002" s="3" t="s">
        <v>16539</v>
      </c>
      <c r="E4002" s="3" t="s">
        <v>16540</v>
      </c>
      <c r="F4002" s="3" t="s">
        <v>16541</v>
      </c>
      <c r="G4002" s="3" t="str">
        <f ca="1">IFERROR(__xludf.DUMMYFUNCTION("googletranslate(D4002,""en"",""ja"")"),"フェンテルミン。フェニル-tert-ブチルアミン")</f>
        <v>フェンテルミン。フェニル-tert-ブチルアミン</v>
      </c>
      <c r="H4002" s="3" t="str">
        <f ca="1">IFERROR(__xludf.DUMMYFUNCTION("googletranslate(E4002,""en"",""ja"")"),"生物学的標本中のフェンテルミンの測定。")</f>
        <v>生物学的標本中のフェンテルミンの測定。</v>
      </c>
      <c r="I4002" s="3" t="str">
        <f ca="1">IFERROR(__xludf.DUMMYFUNCTION("googletranslate(F4002,""en"",""ja"")"),"フェンテルミン測定")</f>
        <v>フェンテルミン測定</v>
      </c>
    </row>
    <row r="4003" spans="1:9" ht="30">
      <c r="A4003" s="3" t="s">
        <v>503</v>
      </c>
      <c r="B4003" s="3" t="s">
        <v>16542</v>
      </c>
      <c r="C4003" s="3" t="s">
        <v>16543</v>
      </c>
      <c r="D4003" s="3" t="s">
        <v>16543</v>
      </c>
      <c r="E4003" s="3" t="s">
        <v>16544</v>
      </c>
      <c r="F4003" s="3" t="s">
        <v>16543</v>
      </c>
      <c r="G4003" s="3" t="str">
        <f ca="1">IFERROR(__xludf.DUMMYFUNCTION("googletranslate(D4003,""en"",""ja"")"),"身体活動 ライフスタイル")</f>
        <v>身体活動 ライフスタイル</v>
      </c>
      <c r="H4003" s="3" t="str">
        <f ca="1">IFERROR(__xludf.DUMMYFUNCTION("googletranslate(E4003,""en"",""ja"")"),"身体活動に関する被験者のライフスタイルの説明。")</f>
        <v>身体活動に関する被験者のライフスタイルの説明。</v>
      </c>
      <c r="I4003" s="3" t="str">
        <f ca="1">IFERROR(__xludf.DUMMYFUNCTION("googletranslate(F4003,""en"",""ja"")"),"身体活動 ライフスタイル")</f>
        <v>身体活動 ライフスタイル</v>
      </c>
    </row>
    <row r="4004" spans="1:9" ht="30">
      <c r="A4004" s="3" t="s">
        <v>6</v>
      </c>
      <c r="B4004" s="3" t="s">
        <v>16545</v>
      </c>
      <c r="C4004" s="3" t="s">
        <v>16546</v>
      </c>
      <c r="D4004" s="3" t="s">
        <v>16546</v>
      </c>
      <c r="E4004" s="3" t="s">
        <v>16547</v>
      </c>
      <c r="F4004" s="3" t="s">
        <v>16548</v>
      </c>
      <c r="G4004" s="3" t="str">
        <f ca="1">IFERROR(__xludf.DUMMYFUNCTION("googletranslate(D4004,""en"",""ja"")"),"プロコラーゲン I 型カルボキシタームペプチド")</f>
        <v>プロコラーゲン I 型カルボキシタームペプチド</v>
      </c>
      <c r="H4004" s="3" t="str">
        <f ca="1">IFERROR(__xludf.DUMMYFUNCTION("googletranslate(E4004,""en"",""ja"")"),"生物学的標本中のプロコラーゲン-1 カルボキシ末端ペプチドの測定。")</f>
        <v>生物学的標本中のプロコラーゲン-1 カルボキシ末端ペプチドの測定。</v>
      </c>
      <c r="I4004" s="3" t="str">
        <f ca="1">IFERROR(__xludf.DUMMYFUNCTION("googletranslate(F4004,""en"",""ja"")"),"プロコラーゲン I 型カルボキシ末端ペプチドの測定")</f>
        <v>プロコラーゲン I 型カルボキシ末端ペプチドの測定</v>
      </c>
    </row>
    <row r="4005" spans="1:9">
      <c r="A4005" s="3" t="s">
        <v>490</v>
      </c>
      <c r="B4005" s="3" t="s">
        <v>16549</v>
      </c>
      <c r="C4005" s="3" t="s">
        <v>16550</v>
      </c>
      <c r="D4005" s="3" t="s">
        <v>16550</v>
      </c>
      <c r="E4005" s="3" t="s">
        <v>16551</v>
      </c>
      <c r="F4005" s="3" t="s">
        <v>16552</v>
      </c>
      <c r="G4005" s="3" t="str">
        <f ca="1">IFERROR(__xludf.DUMMYFUNCTION("googletranslate(D4005,""en"",""ja"")"),"ピーク吸気流量")</f>
        <v>ピーク吸気流量</v>
      </c>
      <c r="H4005" s="3" t="str">
        <f ca="1">IFERROR(__xludf.DUMMYFUNCTION("googletranslate(E4005,""en"",""ja"")"),"最大吸入速度。")</f>
        <v>最大吸入速度。</v>
      </c>
      <c r="I4005" s="3" t="str">
        <f ca="1">IFERROR(__xludf.DUMMYFUNCTION("googletranslate(F4005,""en"",""ja"")"),"ピーク吸気流量")</f>
        <v>ピーク吸気流量</v>
      </c>
    </row>
    <row r="4006" spans="1:9">
      <c r="A4006" s="3" t="s">
        <v>6</v>
      </c>
      <c r="B4006" s="3" t="s">
        <v>16553</v>
      </c>
      <c r="C4006" s="3" t="s">
        <v>16554</v>
      </c>
      <c r="D4006" s="3" t="s">
        <v>16554</v>
      </c>
      <c r="E4006" s="3" t="s">
        <v>16555</v>
      </c>
      <c r="F4006" s="3" t="s">
        <v>16556</v>
      </c>
      <c r="G4006" s="3" t="str">
        <f ca="1">IFERROR(__xludf.DUMMYFUNCTION("googletranslate(D4006,""en"",""ja"")"),"ピモジド")</f>
        <v>ピモジド</v>
      </c>
      <c r="H4006" s="3" t="str">
        <f ca="1">IFERROR(__xludf.DUMMYFUNCTION("googletranslate(E4006,""en"",""ja"")"),"生物学的標本中のピモジドの測定。")</f>
        <v>生物学的標本中のピモジドの測定。</v>
      </c>
      <c r="I4006" s="3" t="str">
        <f ca="1">IFERROR(__xludf.DUMMYFUNCTION("googletranslate(F4006,""en"",""ja"")"),"ピモジドの測定")</f>
        <v>ピモジドの測定</v>
      </c>
    </row>
    <row r="4007" spans="1:9">
      <c r="A4007" s="3" t="s">
        <v>6</v>
      </c>
      <c r="B4007" s="3" t="s">
        <v>16557</v>
      </c>
      <c r="C4007" s="3" t="s">
        <v>16558</v>
      </c>
      <c r="D4007" s="3" t="s">
        <v>16558</v>
      </c>
      <c r="E4007" s="3" t="s">
        <v>16559</v>
      </c>
      <c r="F4007" s="3" t="s">
        <v>16560</v>
      </c>
      <c r="G4007" s="3" t="str">
        <f ca="1">IFERROR(__xludf.DUMMYFUNCTION("googletranslate(D4007,""en"",""ja"")"),"ピプラドロール")</f>
        <v>ピプラドロール</v>
      </c>
      <c r="H4007" s="3" t="str">
        <f ca="1">IFERROR(__xludf.DUMMYFUNCTION("googletranslate(E4007,""en"",""ja"")"),"生物学的標本中のピプラドロールの測定。")</f>
        <v>生物学的標本中のピプラドロールの測定。</v>
      </c>
      <c r="I4007" s="3" t="str">
        <f ca="1">IFERROR(__xludf.DUMMYFUNCTION("googletranslate(F4007,""en"",""ja"")"),"ピプラドロールの測定")</f>
        <v>ピプラドロールの測定</v>
      </c>
    </row>
    <row r="4008" spans="1:9" ht="90">
      <c r="A4008" s="3" t="s">
        <v>6</v>
      </c>
      <c r="B4008" s="3" t="s">
        <v>16561</v>
      </c>
      <c r="C4008" s="3" t="s">
        <v>16562</v>
      </c>
      <c r="D4008" s="3" t="s">
        <v>16563</v>
      </c>
      <c r="E4008" s="3" t="s">
        <v>16564</v>
      </c>
      <c r="F4008" s="3" t="s">
        <v>16565</v>
      </c>
      <c r="G4008" s="3" t="str">
        <f ca="1">IFERROR(__xludf.DUMMYFUNCTION("googletranslate(D4008,""en"",""ja"")"),"DCP;デス-ガンマカルボキシプロトロンビン; PIVKA-II;ビタミンKの欠如により誘導されるタンパク質-II;ビタミンKの欠如/アンタゴニスト-IIによって誘導されるタンパク質")</f>
        <v>DCP;デス-ガンマカルボキシプロトロンビン; PIVKA-II;ビタミンKの欠如により誘導されるタンパク質-II;ビタミンKの欠如/アンタゴニスト-IIによって誘導されるタンパク質</v>
      </c>
      <c r="H4008" s="3" t="str">
        <f ca="1">IFERROR(__xludf.DUMMYFUNCTION("googletranslate(E4008,""en"",""ja"")"),"生物学的標本におけるビタミン K 欠如 II によって誘導されるタンパク質の測定。")</f>
        <v>生物学的標本におけるビタミン K 欠如 II によって誘導されるタンパク質の測定。</v>
      </c>
      <c r="I4008" s="3" t="str">
        <f ca="1">IFERROR(__xludf.DUMMYFUNCTION("googletranslate(F4008,""en"",""ja"")"),"ビタミンK欠損II測定によるタンパク質誘導")</f>
        <v>ビタミンK欠損II測定によるタンパク質誘導</v>
      </c>
    </row>
    <row r="4009" spans="1:9" ht="30">
      <c r="A4009" s="3" t="s">
        <v>1255</v>
      </c>
      <c r="B4009" s="3" t="s">
        <v>16566</v>
      </c>
      <c r="C4009" s="3" t="s">
        <v>16567</v>
      </c>
      <c r="D4009" s="3" t="s">
        <v>16567</v>
      </c>
      <c r="E4009" s="3" t="s">
        <v>16568</v>
      </c>
      <c r="F4009" s="3" t="s">
        <v>16569</v>
      </c>
      <c r="G4009" s="3" t="str">
        <f ca="1">IFERROR(__xludf.DUMMYFUNCTION("googletranslate(D4009,""en"",""ja"")"),"X 軸のピクセル間隔")</f>
        <v>X 軸のピクセル間隔</v>
      </c>
      <c r="H4009" s="3" t="str">
        <f ca="1">IFERROR(__xludf.DUMMYFUNCTION("googletranslate(E4009,""en"",""ja"")"),"X 軸に沿って位置する 2 つの隣接するピクセルの中心間の距離の測定値。")</f>
        <v>X 軸に沿って位置する 2 つの隣接するピクセルの中心間の距離の測定値。</v>
      </c>
      <c r="I4009" s="3" t="str">
        <f ca="1">IFERROR(__xludf.DUMMYFUNCTION("googletranslate(F4009,""en"",""ja"")"),"水平方向のピクセル間隔")</f>
        <v>水平方向のピクセル間隔</v>
      </c>
    </row>
    <row r="4010" spans="1:9" ht="30">
      <c r="A4010" s="3" t="s">
        <v>1255</v>
      </c>
      <c r="B4010" s="3" t="s">
        <v>16570</v>
      </c>
      <c r="C4010" s="3" t="s">
        <v>16571</v>
      </c>
      <c r="D4010" s="3" t="s">
        <v>16571</v>
      </c>
      <c r="E4010" s="3" t="s">
        <v>16572</v>
      </c>
      <c r="F4010" s="3" t="s">
        <v>16573</v>
      </c>
      <c r="G4010" s="3" t="str">
        <f ca="1">IFERROR(__xludf.DUMMYFUNCTION("googletranslate(D4010,""en"",""ja"")"),"Y 軸のピクセル間隔")</f>
        <v>Y 軸のピクセル間隔</v>
      </c>
      <c r="H4010" s="3" t="str">
        <f ca="1">IFERROR(__xludf.DUMMYFUNCTION("googletranslate(E4010,""en"",""ja"")"),"Y 軸に沿って位置する 2 つの隣接するピクセルの中心間の距離の測定値。")</f>
        <v>Y 軸に沿って位置する 2 つの隣接するピクセルの中心間の距離の測定値。</v>
      </c>
      <c r="I4010" s="3" t="str">
        <f ca="1">IFERROR(__xludf.DUMMYFUNCTION("googletranslate(F4010,""en"",""ja"")"),"垂直方向のピクセル間隔")</f>
        <v>垂直方向のピクセル間隔</v>
      </c>
    </row>
    <row r="4011" spans="1:9" ht="30">
      <c r="A4011" s="3" t="s">
        <v>67</v>
      </c>
      <c r="B4011" s="3" t="s">
        <v>16574</v>
      </c>
      <c r="C4011" s="3" t="s">
        <v>16575</v>
      </c>
      <c r="D4011" s="3" t="s">
        <v>16575</v>
      </c>
      <c r="E4011" s="3" t="s">
        <v>16576</v>
      </c>
      <c r="F4011" s="3" t="s">
        <v>16577</v>
      </c>
      <c r="G4011" s="3" t="str">
        <f ca="1">IFERROR(__xludf.DUMMYFUNCTION("googletranslate(D4011,""en"",""ja"")"),"ニューモシスチス・ジロベシ")</f>
        <v>ニューモシスチス・ジロベシ</v>
      </c>
      <c r="H4011" s="3" t="str">
        <f ca="1">IFERROR(__xludf.DUMMYFUNCTION("googletranslate(E4011,""en"",""ja"")"),"生物学的標本におけるニューモシスティス ジロベシの測定。")</f>
        <v>生物学的標本におけるニューモシスティス ジロベシの測定。</v>
      </c>
      <c r="I4011" s="3" t="str">
        <f ca="1">IFERROR(__xludf.DUMMYFUNCTION("googletranslate(F4011,""en"",""ja"")"),"ニューモシスチス・ジロベシの測定")</f>
        <v>ニューモシスチス・ジロベシの測定</v>
      </c>
    </row>
    <row r="4012" spans="1:9" ht="30">
      <c r="A4012" s="3" t="s">
        <v>67</v>
      </c>
      <c r="B4012" s="3" t="s">
        <v>16578</v>
      </c>
      <c r="C4012" s="3" t="s">
        <v>16579</v>
      </c>
      <c r="D4012" s="3" t="s">
        <v>16579</v>
      </c>
      <c r="E4012" s="3" t="s">
        <v>16580</v>
      </c>
      <c r="F4012" s="3" t="s">
        <v>16581</v>
      </c>
      <c r="G4012" s="3" t="str">
        <f ca="1">IFERROR(__xludf.DUMMYFUNCTION("googletranslate(D4012,""en"",""ja"")"),"ニューモシスチス・ジロベシ抗原")</f>
        <v>ニューモシスチス・ジロベシ抗原</v>
      </c>
      <c r="H4012" s="3" t="str">
        <f ca="1">IFERROR(__xludf.DUMMYFUNCTION("googletranslate(E4012,""en"",""ja"")"),"生物学的標本中のニューモシスティス ジロベシ抗原の測定。")</f>
        <v>生物学的標本中のニューモシスティス ジロベシ抗原の測定。</v>
      </c>
      <c r="I4012" s="3" t="str">
        <f ca="1">IFERROR(__xludf.DUMMYFUNCTION("googletranslate(F4012,""en"",""ja"")"),"ニューモシスチス・ジロベシ抗原測定")</f>
        <v>ニューモシスチス・ジロベシ抗原測定</v>
      </c>
    </row>
    <row r="4013" spans="1:9" ht="30">
      <c r="A4013" s="3" t="s">
        <v>67</v>
      </c>
      <c r="B4013" s="3" t="s">
        <v>16582</v>
      </c>
      <c r="C4013" s="3" t="s">
        <v>16583</v>
      </c>
      <c r="D4013" s="3" t="s">
        <v>16583</v>
      </c>
      <c r="E4013" s="3" t="s">
        <v>16584</v>
      </c>
      <c r="F4013" s="3" t="s">
        <v>16585</v>
      </c>
      <c r="G4013" s="3" t="str">
        <f ca="1">IFERROR(__xludf.DUMMYFUNCTION("googletranslate(D4013,""en"",""ja"")"),"ニューモシスチス・ジロベシのDNA")</f>
        <v>ニューモシスチス・ジロベシのDNA</v>
      </c>
      <c r="H4013" s="3" t="str">
        <f ca="1">IFERROR(__xludf.DUMMYFUNCTION("googletranslate(E4013,""en"",""ja"")"),"生物学的標本中のニューモシスティス ジロベシ DNA の測定。")</f>
        <v>生物学的標本中のニューモシスティス ジロベシ DNA の測定。</v>
      </c>
      <c r="I4013" s="3" t="str">
        <f ca="1">IFERROR(__xludf.DUMMYFUNCTION("googletranslate(F4013,""en"",""ja"")"),"ニューモシスティス ジロベシ DNA 測定")</f>
        <v>ニューモシスティス ジロベシ DNA 測定</v>
      </c>
    </row>
    <row r="4014" spans="1:9" ht="30">
      <c r="A4014" s="3" t="s">
        <v>81</v>
      </c>
      <c r="B4014" s="3" t="s">
        <v>16586</v>
      </c>
      <c r="C4014" s="3" t="s">
        <v>16587</v>
      </c>
      <c r="D4014" s="3" t="s">
        <v>16587</v>
      </c>
      <c r="E4014" s="3" t="s">
        <v>16588</v>
      </c>
      <c r="F4014" s="3" t="s">
        <v>16587</v>
      </c>
      <c r="G4014" s="3" t="str">
        <f ca="1">IFERROR(__xludf.DUMMYFUNCTION("googletranslate(D4014,""en"",""ja"")"),"ピークA速度")</f>
        <v>ピークA速度</v>
      </c>
      <c r="H4014" s="3" t="str">
        <f ca="1">IFERROR(__xludf.DUMMYFUNCTION("googletranslate(E4014,""en"",""ja"")"),"心室拡張期後期（心室が活発に満たされている状態）の心臓弁を通過する血流のピーク速度。")</f>
        <v>心室拡張期後期（心室が活発に満たされている状態）の心臓弁を通過する血流のピーク速度。</v>
      </c>
      <c r="I4014" s="3" t="str">
        <f ca="1">IFERROR(__xludf.DUMMYFUNCTION("googletranslate(F4014,""en"",""ja"")"),"ピークA速度")</f>
        <v>ピークA速度</v>
      </c>
    </row>
    <row r="4015" spans="1:9" ht="30">
      <c r="A4015" s="3" t="s">
        <v>81</v>
      </c>
      <c r="B4015" s="3" t="s">
        <v>16589</v>
      </c>
      <c r="C4015" s="3" t="s">
        <v>16590</v>
      </c>
      <c r="D4015" s="3" t="s">
        <v>16590</v>
      </c>
      <c r="E4015" s="3" t="s">
        <v>16591</v>
      </c>
      <c r="F4015" s="3" t="s">
        <v>16590</v>
      </c>
      <c r="G4015" s="3" t="str">
        <f ca="1">IFERROR(__xludf.DUMMYFUNCTION("googletranslate(D4015,""en"",""ja"")"),"ピーク E 速度")</f>
        <v>ピーク E 速度</v>
      </c>
      <c r="H4015" s="3" t="str">
        <f ca="1">IFERROR(__xludf.DUMMYFUNCTION("googletranslate(E4015,""en"",""ja"")"),"心室拡張期初期（心室の受動的充填）中の心臓弁を通過する血流のピーク速度。")</f>
        <v>心室拡張期初期（心室の受動的充填）中の心臓弁を通過する血流のピーク速度。</v>
      </c>
      <c r="I4015" s="3" t="str">
        <f ca="1">IFERROR(__xludf.DUMMYFUNCTION("googletranslate(F4015,""en"",""ja"")"),"ピーク E 速度")</f>
        <v>ピーク E 速度</v>
      </c>
    </row>
    <row r="4016" spans="1:9" ht="30">
      <c r="A4016" s="3" t="s">
        <v>6</v>
      </c>
      <c r="B4016" s="3" t="s">
        <v>16592</v>
      </c>
      <c r="C4016" s="3" t="s">
        <v>16593</v>
      </c>
      <c r="D4016" s="3" t="s">
        <v>16593</v>
      </c>
      <c r="E4016" s="3" t="s">
        <v>16594</v>
      </c>
      <c r="F4016" s="3" t="s">
        <v>16595</v>
      </c>
      <c r="G4016" s="3" t="str">
        <f ca="1">IFERROR(__xludf.DUMMYFUNCTION("googletranslate(D4016,""en"",""ja"")"),"ピルビン酸キナーゼ筋肉アイソザイム")</f>
        <v>ピルビン酸キナーゼ筋肉アイソザイム</v>
      </c>
      <c r="H4016" s="3" t="str">
        <f ca="1">IFERROR(__xludf.DUMMYFUNCTION("googletranslate(E4016,""en"",""ja"")"),"生物学的標本中の総ピルビン酸キナーゼ筋肉アイソザイム (M1 および M2) の測定。")</f>
        <v>生物学的標本中の総ピルビン酸キナーゼ筋肉アイソザイム (M1 および M2) の測定。</v>
      </c>
      <c r="I4016" s="3" t="str">
        <f ca="1">IFERROR(__xludf.DUMMYFUNCTION("googletranslate(F4016,""en"",""ja"")"),"ピルビン酸キナーゼ筋肉アイソザイム測定")</f>
        <v>ピルビン酸キナーゼ筋肉アイソザイム測定</v>
      </c>
    </row>
    <row r="4017" spans="1:9" ht="30">
      <c r="A4017" s="3" t="s">
        <v>6</v>
      </c>
      <c r="B4017" s="3" t="s">
        <v>16596</v>
      </c>
      <c r="C4017" s="3" t="s">
        <v>16597</v>
      </c>
      <c r="D4017" s="3" t="s">
        <v>16597</v>
      </c>
      <c r="E4017" s="3" t="s">
        <v>16598</v>
      </c>
      <c r="F4017" s="3" t="s">
        <v>16599</v>
      </c>
      <c r="G4017" s="3" t="str">
        <f ca="1">IFERROR(__xludf.DUMMYFUNCTION("googletranslate(D4017,""en"",""ja"")"),"ピルビン酸キナーゼアイソザイム M1")</f>
        <v>ピルビン酸キナーゼアイソザイム M1</v>
      </c>
      <c r="H4017" s="3" t="str">
        <f ca="1">IFERROR(__xludf.DUMMYFUNCTION("googletranslate(E4017,""en"",""ja"")"),"生物学的標本中のピルビン酸キナーゼアイソザイム M1 の測定。")</f>
        <v>生物学的標本中のピルビン酸キナーゼアイソザイム M1 の測定。</v>
      </c>
      <c r="I4017" s="3" t="str">
        <f ca="1">IFERROR(__xludf.DUMMYFUNCTION("googletranslate(F4017,""en"",""ja"")"),"ピルビン酸キナーゼアイソザイムM1の測定")</f>
        <v>ピルビン酸キナーゼアイソザイムM1の測定</v>
      </c>
    </row>
    <row r="4018" spans="1:9" ht="30">
      <c r="A4018" s="3" t="s">
        <v>6</v>
      </c>
      <c r="B4018" s="3" t="s">
        <v>16600</v>
      </c>
      <c r="C4018" s="3" t="s">
        <v>16601</v>
      </c>
      <c r="D4018" s="3" t="s">
        <v>16601</v>
      </c>
      <c r="E4018" s="3" t="s">
        <v>16602</v>
      </c>
      <c r="F4018" s="3" t="s">
        <v>16603</v>
      </c>
      <c r="G4018" s="3" t="str">
        <f ca="1">IFERROR(__xludf.DUMMYFUNCTION("googletranslate(D4018,""en"",""ja"")"),"ピルビン酸キナーゼアイソザイム M2")</f>
        <v>ピルビン酸キナーゼアイソザイム M2</v>
      </c>
      <c r="H4018" s="3" t="str">
        <f ca="1">IFERROR(__xludf.DUMMYFUNCTION("googletranslate(E4018,""en"",""ja"")"),"生物学的標本中のピルビン酸キナーゼアイソザイム M2 の測定。")</f>
        <v>生物学的標本中のピルビン酸キナーゼアイソザイム M2 の測定。</v>
      </c>
      <c r="I4018" s="3" t="str">
        <f ca="1">IFERROR(__xludf.DUMMYFUNCTION("googletranslate(F4018,""en"",""ja"")"),"ピルビン酸キナーゼアイソザイムM2の測定")</f>
        <v>ピルビン酸キナーゼアイソザイムM2の測定</v>
      </c>
    </row>
    <row r="4019" spans="1:9" ht="30">
      <c r="A4019" s="3" t="s">
        <v>67</v>
      </c>
      <c r="B4019" s="3" t="s">
        <v>16604</v>
      </c>
      <c r="C4019" s="3" t="s">
        <v>16605</v>
      </c>
      <c r="D4019" s="3" t="s">
        <v>16605</v>
      </c>
      <c r="E4019" s="3" t="s">
        <v>16606</v>
      </c>
      <c r="F4019" s="3" t="s">
        <v>16607</v>
      </c>
      <c r="G4019" s="3" t="str">
        <f ca="1">IFERROR(__xludf.DUMMYFUNCTION("googletranslate(D4019,""en"",""ja"")"),"Plasmodium knowlesi、無性愛者")</f>
        <v>Plasmodium knowlesi、無性愛者</v>
      </c>
      <c r="H4019" s="3" t="str">
        <f ca="1">IFERROR(__xludf.DUMMYFUNCTION("googletranslate(E4019,""en"",""ja"")"),"生物学的標本における無性複製段階における Plasmodium knowlesi の測定。")</f>
        <v>生物学的標本における無性複製段階における Plasmodium knowlesi の測定。</v>
      </c>
      <c r="I4019" s="3" t="str">
        <f ca="1">IFERROR(__xludf.DUMMYFUNCTION("googletranslate(F4019,""en"",""ja"")"),"無性マラリア原虫の測定")</f>
        <v>無性マラリア原虫の測定</v>
      </c>
    </row>
    <row r="4020" spans="1:9" ht="30">
      <c r="A4020" s="3" t="s">
        <v>67</v>
      </c>
      <c r="B4020" s="3" t="s">
        <v>16608</v>
      </c>
      <c r="C4020" s="3" t="s">
        <v>16609</v>
      </c>
      <c r="D4020" s="3" t="s">
        <v>16609</v>
      </c>
      <c r="E4020" s="3" t="s">
        <v>16610</v>
      </c>
      <c r="F4020" s="3" t="s">
        <v>16611</v>
      </c>
      <c r="G4020" s="3" t="str">
        <f ca="1">IFERROR(__xludf.DUMMYFUNCTION("googletranslate(D4020,""en"",""ja"")"),"マラリア原虫、性的")</f>
        <v>マラリア原虫、性的</v>
      </c>
      <c r="H4020" s="3" t="str">
        <f ca="1">IFERROR(__xludf.DUMMYFUNCTION("googletranslate(E4020,""en"",""ja"")"),"生物学的標本における有性複製段階における Plasmodium knowlesi の測定。")</f>
        <v>生物学的標本における有性複製段階における Plasmodium knowlesi の測定。</v>
      </c>
      <c r="I4020" s="3" t="str">
        <f ca="1">IFERROR(__xludf.DUMMYFUNCTION("googletranslate(F4020,""en"",""ja"")"),"性的マラリア原虫の測定")</f>
        <v>性的マラリア原虫の測定</v>
      </c>
    </row>
    <row r="4021" spans="1:9" ht="30">
      <c r="A4021" s="3" t="s">
        <v>6</v>
      </c>
      <c r="B4021" s="3" t="s">
        <v>16612</v>
      </c>
      <c r="C4021" s="3" t="s">
        <v>16613</v>
      </c>
      <c r="D4021" s="3" t="s">
        <v>16613</v>
      </c>
      <c r="E4021" s="3" t="s">
        <v>16614</v>
      </c>
      <c r="F4021" s="3" t="s">
        <v>16615</v>
      </c>
      <c r="G4021" s="3" t="str">
        <f ca="1">IFERROR(__xludf.DUMMYFUNCTION("googletranslate(D4021,""en"",""ja"")"),"ホスホリパーゼA2")</f>
        <v>ホスホリパーゼA2</v>
      </c>
      <c r="H4021" s="3" t="str">
        <f ca="1">IFERROR(__xludf.DUMMYFUNCTION("googletranslate(E4021,""en"",""ja"")"),"生物学的検体中の総ホスホリパーゼ A2 の測定。")</f>
        <v>生物学的検体中の総ホスホリパーゼ A2 の測定。</v>
      </c>
      <c r="I4021" s="3" t="str">
        <f ca="1">IFERROR(__xludf.DUMMYFUNCTION("googletranslate(F4021,""en"",""ja"")"),"ホスホリパーゼA2の測定")</f>
        <v>ホスホリパーゼA2の測定</v>
      </c>
    </row>
    <row r="4022" spans="1:9" ht="30">
      <c r="A4022" s="3" t="s">
        <v>6</v>
      </c>
      <c r="B4022" s="3" t="s">
        <v>16616</v>
      </c>
      <c r="C4022" s="3" t="s">
        <v>16617</v>
      </c>
      <c r="D4022" s="3" t="s">
        <v>16617</v>
      </c>
      <c r="E4022" s="3" t="s">
        <v>16618</v>
      </c>
      <c r="F4022" s="3" t="s">
        <v>16619</v>
      </c>
      <c r="G4022" s="3" t="str">
        <f ca="1">IFERROR(__xludf.DUMMYFUNCTION("googletranslate(D4022,""en"",""ja"")"),"血小板凝集曲線の種類")</f>
        <v>血小板凝集曲線の種類</v>
      </c>
      <c r="H4022" s="3" t="str">
        <f ca="1">IFERROR(__xludf.DUMMYFUNCTION("googletranslate(E4022,""en"",""ja"")"),"血小板凝集の結果として形成される曲線パターンの分類。")</f>
        <v>血小板凝集の結果として形成される曲線パターンの分類。</v>
      </c>
      <c r="I4022" s="3" t="str">
        <f ca="1">IFERROR(__xludf.DUMMYFUNCTION("googletranslate(F4022,""en"",""ja"")"),"血小板凝集測定曲線の種類")</f>
        <v>血小板凝集測定曲線の種類</v>
      </c>
    </row>
    <row r="4023" spans="1:9" ht="30">
      <c r="A4023" s="3" t="s">
        <v>6</v>
      </c>
      <c r="B4023" s="3" t="s">
        <v>16620</v>
      </c>
      <c r="C4023" s="3" t="s">
        <v>16621</v>
      </c>
      <c r="D4023" s="3" t="s">
        <v>16621</v>
      </c>
      <c r="E4023" s="3" t="s">
        <v>16622</v>
      </c>
      <c r="F4023" s="3" t="s">
        <v>16623</v>
      </c>
      <c r="G4023" s="3" t="str">
        <f ca="1">IFERROR(__xludf.DUMMYFUNCTION("googletranslate(D4023,""en"",""ja"")"),"血小板凝集の平均振幅")</f>
        <v>血小板凝集の平均振幅</v>
      </c>
      <c r="H4023" s="3" t="str">
        <f ca="1">IFERROR(__xludf.DUMMYFUNCTION("googletranslate(E4023,""en"",""ja"")"),"生物学的標本における血小板凝集の大きさの測定値の平均。")</f>
        <v>生物学的標本における血小板凝集の大きさの測定値の平均。</v>
      </c>
      <c r="I4023" s="3" t="str">
        <f ca="1">IFERROR(__xludf.DUMMYFUNCTION("googletranslate(F4023,""en"",""ja"")"),"血小板凝集測定の平均振幅")</f>
        <v>血小板凝集測定の平均振幅</v>
      </c>
    </row>
    <row r="4024" spans="1:9" ht="45">
      <c r="A4024" s="3" t="s">
        <v>6</v>
      </c>
      <c r="B4024" s="3" t="s">
        <v>16624</v>
      </c>
      <c r="C4024" s="3" t="s">
        <v>16625</v>
      </c>
      <c r="D4024" s="3" t="s">
        <v>16625</v>
      </c>
      <c r="E4024" s="3" t="s">
        <v>16626</v>
      </c>
      <c r="F4024" s="3" t="s">
        <v>16627</v>
      </c>
      <c r="G4024" s="3" t="str">
        <f ca="1">IFERROR(__xludf.DUMMYFUNCTION("googletranslate(D4024,""en"",""ja"")"),"血小板凝集平均曲線の種類")</f>
        <v>血小板凝集平均曲線の種類</v>
      </c>
      <c r="H4024" s="3" t="str">
        <f ca="1">IFERROR(__xludf.DUMMYFUNCTION("googletranslate(E4024,""en"",""ja"")"),"血小板凝集曲線測定の平均結果として形成される曲線パターンの分類。")</f>
        <v>血小板凝集曲線測定の平均結果として形成される曲線パターンの分類。</v>
      </c>
      <c r="I4024" s="3" t="str">
        <f ca="1">IFERROR(__xludf.DUMMYFUNCTION("googletranslate(F4024,""en"",""ja"")"),"血小板凝集測定の平均曲線の種類")</f>
        <v>血小板凝集測定の平均曲線の種類</v>
      </c>
    </row>
    <row r="4025" spans="1:9" ht="30">
      <c r="A4025" s="3" t="s">
        <v>6</v>
      </c>
      <c r="B4025" s="3" t="s">
        <v>16628</v>
      </c>
      <c r="C4025" s="3" t="s">
        <v>16629</v>
      </c>
      <c r="D4025" s="3" t="s">
        <v>16629</v>
      </c>
      <c r="E4025" s="3" t="s">
        <v>16630</v>
      </c>
      <c r="F4025" s="3" t="s">
        <v>16631</v>
      </c>
      <c r="G4025" s="3" t="str">
        <f ca="1">IFERROR(__xludf.DUMMYFUNCTION("googletranslate(D4025,""en"",""ja"")"),"血小板")</f>
        <v>血小板</v>
      </c>
      <c r="H4025" s="3" t="str">
        <f ca="1">IFERROR(__xludf.DUMMYFUNCTION("googletranslate(E4025,""en"",""ja"")"),"生物学的標本中の血小板 (無核血小板) の測定。")</f>
        <v>生物学的標本中の血小板 (無核血小板) の測定。</v>
      </c>
      <c r="I4025" s="3" t="str">
        <f ca="1">IFERROR(__xludf.DUMMYFUNCTION("googletranslate(F4025,""en"",""ja"")"),"血小板数")</f>
        <v>血小板数</v>
      </c>
    </row>
    <row r="4026" spans="1:9" ht="30">
      <c r="A4026" s="3" t="s">
        <v>103</v>
      </c>
      <c r="B4026" s="3" t="s">
        <v>16628</v>
      </c>
      <c r="C4026" s="3" t="s">
        <v>16629</v>
      </c>
      <c r="D4026" s="3" t="s">
        <v>16629</v>
      </c>
      <c r="E4026" s="3" t="s">
        <v>16630</v>
      </c>
      <c r="F4026" s="3" t="s">
        <v>16631</v>
      </c>
      <c r="G4026" s="3" t="str">
        <f ca="1">IFERROR(__xludf.DUMMYFUNCTION("googletranslate(D4026,""en"",""ja"")"),"血小板")</f>
        <v>血小板</v>
      </c>
      <c r="H4026" s="3" t="str">
        <f ca="1">IFERROR(__xludf.DUMMYFUNCTION("googletranslate(E4026,""en"",""ja"")"),"生物学的標本中の血小板 (無核血小板) の測定。")</f>
        <v>生物学的標本中の血小板 (無核血小板) の測定。</v>
      </c>
      <c r="I4026" s="3" t="str">
        <f ca="1">IFERROR(__xludf.DUMMYFUNCTION("googletranslate(F4026,""en"",""ja"")"),"血小板数")</f>
        <v>血小板数</v>
      </c>
    </row>
    <row r="4027" spans="1:9" ht="30">
      <c r="A4027" s="3" t="s">
        <v>6</v>
      </c>
      <c r="B4027" s="3" t="s">
        <v>16632</v>
      </c>
      <c r="C4027" s="3" t="s">
        <v>16633</v>
      </c>
      <c r="D4027" s="3" t="s">
        <v>16634</v>
      </c>
      <c r="E4027" s="3" t="s">
        <v>16635</v>
      </c>
      <c r="F4027" s="3" t="s">
        <v>16636</v>
      </c>
      <c r="G4027" s="3" t="str">
        <f ca="1">IFERROR(__xludf.DUMMYFUNCTION("googletranslate(D4027,""en"",""ja"")"),"血小板凝集;血小板機能")</f>
        <v>血小板凝集;血小板機能</v>
      </c>
      <c r="H4027" s="3" t="str">
        <f ca="1">IFERROR(__xludf.DUMMYFUNCTION("googletranslate(E4027,""en"",""ja"")"),"生体サンプル中の接着分子を介した血小板相互の結合の測定。")</f>
        <v>生体サンプル中の接着分子を介した血小板相互の結合の測定。</v>
      </c>
      <c r="I4027" s="3" t="str">
        <f ca="1">IFERROR(__xludf.DUMMYFUNCTION("googletranslate(F4027,""en"",""ja"")"),"血小板凝集測定")</f>
        <v>血小板凝集測定</v>
      </c>
    </row>
    <row r="4028" spans="1:9" ht="30">
      <c r="A4028" s="3" t="s">
        <v>6</v>
      </c>
      <c r="B4028" s="3" t="s">
        <v>16637</v>
      </c>
      <c r="C4028" s="3" t="s">
        <v>16638</v>
      </c>
      <c r="D4028" s="3" t="s">
        <v>16638</v>
      </c>
      <c r="E4028" s="3" t="s">
        <v>16639</v>
      </c>
      <c r="F4028" s="3" t="s">
        <v>16640</v>
      </c>
      <c r="G4028" s="3" t="str">
        <f ca="1">IFERROR(__xludf.DUMMYFUNCTION("googletranslate(D4028,""en"",""ja"")"),"血小板、無顆粒")</f>
        <v>血小板、無顆粒</v>
      </c>
      <c r="H4028" s="3" t="str">
        <f ca="1">IFERROR(__xludf.DUMMYFUNCTION("googletranslate(E4028,""en"",""ja"")"),"生物学的標本中の無顆粒血小板の測定。")</f>
        <v>生物学的標本中の無顆粒血小板の測定。</v>
      </c>
      <c r="I4028" s="3" t="str">
        <f ca="1">IFERROR(__xludf.DUMMYFUNCTION("googletranslate(F4028,""en"",""ja"")"),"無顆粒血小板数")</f>
        <v>無顆粒血小板数</v>
      </c>
    </row>
    <row r="4029" spans="1:9" ht="30">
      <c r="A4029" s="3" t="s">
        <v>6</v>
      </c>
      <c r="B4029" s="3" t="s">
        <v>16641</v>
      </c>
      <c r="C4029" s="3" t="s">
        <v>16642</v>
      </c>
      <c r="D4029" s="3" t="s">
        <v>16642</v>
      </c>
      <c r="E4029" s="3" t="s">
        <v>16643</v>
      </c>
      <c r="F4029" s="3" t="s">
        <v>16644</v>
      </c>
      <c r="G4029" s="3" t="str">
        <f ca="1">IFERROR(__xludf.DUMMYFUNCTION("googletranslate(D4029,""en"",""ja"")"),"奇妙な血小板")</f>
        <v>奇妙な血小板</v>
      </c>
      <c r="H4029" s="3" t="str">
        <f ca="1">IFERROR(__xludf.DUMMYFUNCTION("googletranslate(E4029,""en"",""ja"")"),"生物学的標本中の奇妙な血小板（異常な形態と形状を持つ大きな血小板）の測定。")</f>
        <v>生物学的標本中の奇妙な血小板（異常な形態と形状を持つ大きな血小板）の測定。</v>
      </c>
      <c r="I4029" s="3" t="str">
        <f ca="1">IFERROR(__xludf.DUMMYFUNCTION("googletranslate(F4029,""en"",""ja"")"),"異常な血小板数")</f>
        <v>異常な血小板数</v>
      </c>
    </row>
    <row r="4030" spans="1:9" ht="30">
      <c r="A4030" s="3" t="s">
        <v>6</v>
      </c>
      <c r="B4030" s="3" t="s">
        <v>16645</v>
      </c>
      <c r="C4030" s="3" t="s">
        <v>16646</v>
      </c>
      <c r="D4030" s="3" t="s">
        <v>16647</v>
      </c>
      <c r="E4030" s="3" t="s">
        <v>16648</v>
      </c>
      <c r="F4030" s="3" t="s">
        <v>16649</v>
      </c>
      <c r="G4030" s="3" t="str">
        <f ca="1">IFERROR(__xludf.DUMMYFUNCTION("googletranslate(D4030,""en"",""ja"")"),"血小板の凝集; PLT の塊")</f>
        <v>血小板の凝集; PLT の塊</v>
      </c>
      <c r="H4030" s="3" t="str">
        <f ca="1">IFERROR(__xludf.DUMMYFUNCTION("googletranslate(E4030,""en"",""ja"")"),"生物学的標本中の血小板凝集塊の測定。")</f>
        <v>生物学的標本中の血小板凝集塊の測定。</v>
      </c>
      <c r="I4030" s="3" t="str">
        <f ca="1">IFERROR(__xludf.DUMMYFUNCTION("googletranslate(F4030,""en"",""ja"")"),"血小板凝集数")</f>
        <v>血小板凝集数</v>
      </c>
    </row>
    <row r="4031" spans="1:9" ht="30">
      <c r="A4031" s="3" t="s">
        <v>6</v>
      </c>
      <c r="B4031" s="3" t="s">
        <v>16650</v>
      </c>
      <c r="C4031" s="3" t="s">
        <v>16651</v>
      </c>
      <c r="D4031" s="3" t="s">
        <v>16651</v>
      </c>
      <c r="E4031" s="3" t="s">
        <v>16652</v>
      </c>
      <c r="F4031" s="3" t="s">
        <v>16653</v>
      </c>
      <c r="G4031" s="3" t="str">
        <f ca="1">IFERROR(__xludf.DUMMYFUNCTION("googletranslate(D4031,""en"",""ja"")"),"血小板、推定値")</f>
        <v>血小板、推定値</v>
      </c>
      <c r="H4031" s="3" t="str">
        <f ca="1">IFERROR(__xludf.DUMMYFUNCTION("googletranslate(E4031,""en"",""ja"")"),"生物学的標本中の血小板 (無核血小板) の推定測定値。")</f>
        <v>生物学的標本中の血小板 (無核血小板) の推定測定値。</v>
      </c>
      <c r="I4031" s="3" t="str">
        <f ca="1">IFERROR(__xludf.DUMMYFUNCTION("googletranslate(F4031,""en"",""ja"")"),"血小板の推定測定値")</f>
        <v>血小板の推定測定値</v>
      </c>
    </row>
    <row r="4032" spans="1:9" ht="30">
      <c r="A4032" s="3" t="s">
        <v>6</v>
      </c>
      <c r="B4032" s="3" t="s">
        <v>16654</v>
      </c>
      <c r="C4032" s="3" t="s">
        <v>16655</v>
      </c>
      <c r="D4032" s="3" t="s">
        <v>16655</v>
      </c>
      <c r="E4032" s="3" t="s">
        <v>16656</v>
      </c>
      <c r="F4032" s="3" t="s">
        <v>16657</v>
      </c>
      <c r="G4032" s="3" t="str">
        <f ca="1">IFERROR(__xludf.DUMMYFUNCTION("googletranslate(D4032,""en"",""ja"")"),"巨大血小板")</f>
        <v>巨大血小板</v>
      </c>
      <c r="H4032" s="3" t="str">
        <f ca="1">IFERROR(__xludf.DUMMYFUNCTION("googletranslate(E4032,""en"",""ja"")"),"生物学的標本中の巨大な（直径 7 μm を超える）血小板の測定。")</f>
        <v>生物学的標本中の巨大な（直径 7 μm を超える）血小板の測定。</v>
      </c>
      <c r="I4032" s="3" t="str">
        <f ca="1">IFERROR(__xludf.DUMMYFUNCTION("googletranslate(F4032,""en"",""ja"")"),"巨大な血小板数")</f>
        <v>巨大な血小板数</v>
      </c>
    </row>
    <row r="4033" spans="1:9" ht="30">
      <c r="A4033" s="3" t="s">
        <v>6</v>
      </c>
      <c r="B4033" s="3" t="s">
        <v>16658</v>
      </c>
      <c r="C4033" s="3" t="s">
        <v>16659</v>
      </c>
      <c r="D4033" s="3" t="s">
        <v>16660</v>
      </c>
      <c r="E4033" s="3" t="s">
        <v>16661</v>
      </c>
      <c r="F4033" s="3" t="s">
        <v>16662</v>
      </c>
      <c r="G4033" s="3" t="str">
        <f ca="1">IFERROR(__xludf.DUMMYFUNCTION("googletranslate(D4033,""en"",""ja"")"),"血小板ヘマトクリット;血小板クリット値")</f>
        <v>血小板ヘマトクリット;血小板クリット値</v>
      </c>
      <c r="H4033" s="3" t="str">
        <f ca="1">IFERROR(__xludf.DUMMYFUNCTION("googletranslate(E4033,""en"",""ja"")"),"血小板によって取り込まれる血液量の割合の相対的な測定値 (比率またはパーセンテージ)。")</f>
        <v>血小板によって取り込まれる血液量の割合の相対的な測定値 (比率またはパーセンテージ)。</v>
      </c>
      <c r="I4033" s="3" t="str">
        <f ca="1">IFERROR(__xludf.DUMMYFUNCTION("googletranslate(F4033,""en"",""ja"")"),"血小板ヘマトクリット測定")</f>
        <v>血小板ヘマトクリット測定</v>
      </c>
    </row>
    <row r="4034" spans="1:9" ht="30">
      <c r="A4034" s="3" t="s">
        <v>6</v>
      </c>
      <c r="B4034" s="3" t="s">
        <v>16663</v>
      </c>
      <c r="C4034" s="3" t="s">
        <v>16664</v>
      </c>
      <c r="D4034" s="3" t="s">
        <v>16665</v>
      </c>
      <c r="E4034" s="3" t="s">
        <v>16666</v>
      </c>
      <c r="F4034" s="3" t="s">
        <v>16667</v>
      </c>
      <c r="G4034" s="3" t="str">
        <f ca="1">IFERROR(__xludf.DUMMYFUNCTION("googletranslate(D4034,""en"",""ja"")"),"未熟血小板;網状血小板")</f>
        <v>未熟血小板;網状血小板</v>
      </c>
      <c r="H4034" s="3" t="str">
        <f ca="1">IFERROR(__xludf.DUMMYFUNCTION("googletranslate(E4034,""en"",""ja"")"),"生物学的標本中の未熟な血小板の測定。")</f>
        <v>生物学的標本中の未熟な血小板の測定。</v>
      </c>
      <c r="I4034" s="3" t="str">
        <f ca="1">IFERROR(__xludf.DUMMYFUNCTION("googletranslate(F4034,""en"",""ja"")"),"未熟血小板数")</f>
        <v>未熟血小板数</v>
      </c>
    </row>
    <row r="4035" spans="1:9" ht="30">
      <c r="A4035" s="3" t="s">
        <v>6</v>
      </c>
      <c r="B4035" s="3" t="s">
        <v>16668</v>
      </c>
      <c r="C4035" s="3" t="s">
        <v>16669</v>
      </c>
      <c r="D4035" s="3" t="s">
        <v>16669</v>
      </c>
      <c r="E4035" s="3" t="s">
        <v>16670</v>
      </c>
      <c r="F4035" s="3" t="s">
        <v>16671</v>
      </c>
      <c r="G4035" s="3" t="str">
        <f ca="1">IFERROR(__xludf.DUMMYFUNCTION("googletranslate(D4035,""en"",""ja"")"),"大きな血小板")</f>
        <v>大きな血小板</v>
      </c>
      <c r="H4035" s="3" t="str">
        <f ca="1">IFERROR(__xludf.DUMMYFUNCTION("googletranslate(E4035,""en"",""ja"")"),"生物学的標本中の大きな（直径 4 μm ～ 7 μm）血小板の測定。")</f>
        <v>生物学的標本中の大きな（直径 4 μm ～ 7 μm）血小板の測定。</v>
      </c>
      <c r="I4035" s="3" t="str">
        <f ca="1">IFERROR(__xludf.DUMMYFUNCTION("googletranslate(F4035,""en"",""ja"")"),"血小板数が多い")</f>
        <v>血小板数が多い</v>
      </c>
    </row>
    <row r="4036" spans="1:9" ht="30">
      <c r="A4036" s="3" t="s">
        <v>103</v>
      </c>
      <c r="B4036" s="3" t="s">
        <v>16672</v>
      </c>
      <c r="C4036" s="3" t="s">
        <v>16673</v>
      </c>
      <c r="D4036" s="3" t="s">
        <v>16674</v>
      </c>
      <c r="E4036" s="3" t="s">
        <v>16675</v>
      </c>
      <c r="F4036" s="3" t="s">
        <v>16676</v>
      </c>
      <c r="G4036" s="3" t="str">
        <f ca="1">IFERROR(__xludf.DUMMYFUNCTION("googletranslate(D4036,""en"",""ja"")"),"血小板部分集団")</f>
        <v>血小板部分集団</v>
      </c>
      <c r="H4036" s="3" t="str">
        <f ca="1">IFERROR(__xludf.DUMMYFUNCTION("googletranslate(E4036,""en"",""ja"")"),"生物学的標本中の血小板の部分集団の測定。")</f>
        <v>生物学的標本中の血小板の部分集団の測定。</v>
      </c>
      <c r="I4036" s="3" t="str">
        <f ca="1">IFERROR(__xludf.DUMMYFUNCTION("googletranslate(F4036,""en"",""ja"")"),"血小板部分集団数")</f>
        <v>血小板部分集団数</v>
      </c>
    </row>
    <row r="4037" spans="1:9" ht="45">
      <c r="A4037" s="3" t="s">
        <v>6</v>
      </c>
      <c r="B4037" s="3" t="s">
        <v>16677</v>
      </c>
      <c r="C4037" s="3" t="s">
        <v>16678</v>
      </c>
      <c r="D4037" s="3" t="s">
        <v>16678</v>
      </c>
      <c r="E4037" s="3" t="s">
        <v>16679</v>
      </c>
      <c r="F4037" s="3" t="s">
        <v>16680</v>
      </c>
      <c r="G4037" s="3" t="str">
        <f ca="1">IFERROR(__xludf.DUMMYFUNCTION("googletranslate(D4037,""en"",""ja"")"),"血小板サテリズム")</f>
        <v>血小板サテリズム</v>
      </c>
      <c r="H4037" s="3" t="str">
        <f ca="1">IFERROR(__xludf.DUMMYFUNCTION("googletranslate(E4037,""en"",""ja"")"),"生物学的標本における血小板サテライト現象（細胞の周囲で血小板がロゼット化すること）の検査または評価。")</f>
        <v>生物学的標本における血小板サテライト現象（細胞の周囲で血小板がロゼット化すること）の検査または評価。</v>
      </c>
      <c r="I4037" s="3" t="str">
        <f ca="1">IFERROR(__xludf.DUMMYFUNCTION("googletranslate(F4037,""en"",""ja"")"),"血小板衛星性評価")</f>
        <v>血小板衛星性評価</v>
      </c>
    </row>
    <row r="4038" spans="1:9" ht="105">
      <c r="A4038" s="3" t="s">
        <v>6</v>
      </c>
      <c r="B4038" s="3" t="s">
        <v>16681</v>
      </c>
      <c r="C4038" s="3" t="s">
        <v>16682</v>
      </c>
      <c r="D4038" s="3" t="s">
        <v>16683</v>
      </c>
      <c r="E4038" s="3" t="s">
        <v>16684</v>
      </c>
      <c r="F4038" s="3" t="s">
        <v>16685</v>
      </c>
      <c r="G4038" s="3" t="str">
        <f ca="1">IFERROR(__xludf.DUMMYFUNCTION("googletranslate(D4038,""en"",""ja"")"),"単球活性化抗原 Mo3;プラスミノーゲン活性化因子ウロキナーゼ受容体。プラスミノーゲン活性化因子、ウロキナーゼ受容体。可溶性CD87; UPAR;ウロキナーゼ プラスミノーゲン アクチベーター受容体")</f>
        <v>単球活性化抗原 Mo3;プラスミノーゲン活性化因子ウロキナーゼ受容体。プラスミノーゲン活性化因子、ウロキナーゼ受容体。可溶性CD87; UPAR;ウロキナーゼ プラスミノーゲン アクチベーター受容体</v>
      </c>
      <c r="H4038" s="3" t="str">
        <f ca="1">IFERROR(__xludf.DUMMYFUNCTION("googletranslate(E4038,""en"",""ja"")"),"検体中のプラスミノーゲン活性化因子ウロキナーゼ受容体の測定。")</f>
        <v>検体中のプラスミノーゲン活性化因子ウロキナーゼ受容体の測定。</v>
      </c>
      <c r="I4038" s="3" t="str">
        <f ca="1">IFERROR(__xludf.DUMMYFUNCTION("googletranslate(F4038,""en"",""ja"")"),"プラスミノーゲンアクチベーターウロキナーゼ受容体測定")</f>
        <v>プラスミノーゲンアクチベーターウロキナーゼ受容体測定</v>
      </c>
    </row>
    <row r="4039" spans="1:9" ht="30">
      <c r="A4039" s="3" t="s">
        <v>6</v>
      </c>
      <c r="B4039" s="3" t="s">
        <v>16686</v>
      </c>
      <c r="C4039" s="3" t="s">
        <v>16687</v>
      </c>
      <c r="D4039" s="3" t="s">
        <v>16688</v>
      </c>
      <c r="E4039" s="3" t="s">
        <v>16689</v>
      </c>
      <c r="F4039" s="3" t="s">
        <v>16690</v>
      </c>
      <c r="G4039" s="3" t="str">
        <f ca="1">IFERROR(__xludf.DUMMYFUNCTION("googletranslate(D4039,""en"",""ja"")"),"PGF;豚。胎盤成長因子; PLGF")</f>
        <v>PGF;豚。胎盤成長因子; PLGF</v>
      </c>
      <c r="H4039" s="3" t="str">
        <f ca="1">IFERROR(__xludf.DUMMYFUNCTION("googletranslate(E4039,""en"",""ja"")"),"生物学的標本中の胎盤成長因子の測定。")</f>
        <v>生物学的標本中の胎盤成長因子の測定。</v>
      </c>
      <c r="I4039" s="3" t="str">
        <f ca="1">IFERROR(__xludf.DUMMYFUNCTION("googletranslate(F4039,""en"",""ja"")"),"胎盤成長因子の測定")</f>
        <v>胎盤成長因子の測定</v>
      </c>
    </row>
    <row r="4040" spans="1:9" ht="30">
      <c r="A4040" s="3" t="s">
        <v>6</v>
      </c>
      <c r="B4040" s="3" t="s">
        <v>16691</v>
      </c>
      <c r="C4040" s="3" t="s">
        <v>16692</v>
      </c>
      <c r="D4040" s="3" t="s">
        <v>16692</v>
      </c>
      <c r="E4040" s="3" t="s">
        <v>16693</v>
      </c>
      <c r="F4040" s="3" t="s">
        <v>16694</v>
      </c>
      <c r="G4040" s="3" t="str">
        <f ca="1">IFERROR(__xludf.DUMMYFUNCTION("googletranslate(D4040,""en"",""ja"")"),"プラスミノーゲン")</f>
        <v>プラスミノーゲン</v>
      </c>
      <c r="H4040" s="3" t="str">
        <f ca="1">IFERROR(__xludf.DUMMYFUNCTION("googletranslate(E4040,""en"",""ja"")"),"生物学的標本中のプラスミノーゲン (抗原) の測定。")</f>
        <v>生物学的標本中のプラスミノーゲン (抗原) の測定。</v>
      </c>
      <c r="I4040" s="3" t="str">
        <f ca="1">IFERROR(__xludf.DUMMYFUNCTION("googletranslate(F4040,""en"",""ja"")"),"プラスミノーゲンの測定")</f>
        <v>プラスミノーゲンの測定</v>
      </c>
    </row>
    <row r="4041" spans="1:9" ht="30">
      <c r="A4041" s="3" t="s">
        <v>67</v>
      </c>
      <c r="B4041" s="3" t="s">
        <v>16695</v>
      </c>
      <c r="C4041" s="3" t="s">
        <v>16696</v>
      </c>
      <c r="D4041" s="3" t="s">
        <v>16696</v>
      </c>
      <c r="E4041" s="3" t="s">
        <v>16697</v>
      </c>
      <c r="F4041" s="3" t="s">
        <v>16698</v>
      </c>
      <c r="G4041" s="3" t="str">
        <f ca="1">IFERROR(__xludf.DUMMYFUNCTION("googletranslate(D4041,""en"",""ja"")"),"乳酸プラスモジウムデヒドロゲナーゼ")</f>
        <v>乳酸プラスモジウムデヒドロゲナーゼ</v>
      </c>
      <c r="H4041" s="3" t="str">
        <f ca="1">IFERROR(__xludf.DUMMYFUNCTION("googletranslate(E4041,""en"",""ja"")"),"生物学的標本中のプラスモジウム乳酸デヒドロゲナーゼの測定。")</f>
        <v>生物学的標本中のプラスモジウム乳酸デヒドロゲナーゼの測定。</v>
      </c>
      <c r="I4041" s="3" t="str">
        <f ca="1">IFERROR(__xludf.DUMMYFUNCTION("googletranslate(F4041,""en"",""ja"")"),"乳酸プラスモジウムデヒドロゲナーゼの測定")</f>
        <v>乳酸プラスモジウムデヒドロゲナーゼの測定</v>
      </c>
    </row>
    <row r="4042" spans="1:9" ht="30">
      <c r="A4042" s="3" t="s">
        <v>185</v>
      </c>
      <c r="B4042" s="3" t="s">
        <v>16699</v>
      </c>
      <c r="C4042" s="3" t="s">
        <v>16700</v>
      </c>
      <c r="D4042" s="3" t="s">
        <v>16701</v>
      </c>
      <c r="E4042" s="3" t="s">
        <v>16702</v>
      </c>
      <c r="F4042" s="3" t="s">
        <v>16700</v>
      </c>
      <c r="G4042" s="3" t="str">
        <f ca="1">IFERROR(__xludf.DUMMYFUNCTION("googletranslate(D4042,""en"",""ja"")"),"一次病変の最大直径。原発巣の最長直径")</f>
        <v>一次病変の最大直径。原発巣の最長直径</v>
      </c>
      <c r="H4042" s="3" t="str">
        <f ca="1">IFERROR(__xludf.DUMMYFUNCTION("googletranslate(E4042,""en"",""ja"")"),"原発病変であると判定された病変の最長直径。")</f>
        <v>原発病変であると判定された病変の最長直径。</v>
      </c>
      <c r="I4042" s="3" t="str">
        <f ca="1">IFERROR(__xludf.DUMMYFUNCTION("googletranslate(F4042,""en"",""ja"")"),"原発巣の最長直径")</f>
        <v>原発巣の最長直径</v>
      </c>
    </row>
    <row r="4043" spans="1:9" ht="30">
      <c r="A4043" s="3" t="s">
        <v>185</v>
      </c>
      <c r="B4043" s="3" t="s">
        <v>16703</v>
      </c>
      <c r="C4043" s="3" t="s">
        <v>16704</v>
      </c>
      <c r="D4043" s="3" t="s">
        <v>16704</v>
      </c>
      <c r="E4043" s="3" t="s">
        <v>16705</v>
      </c>
      <c r="F4043" s="3" t="s">
        <v>16704</v>
      </c>
      <c r="G4043" s="3" t="str">
        <f ca="1">IFERROR(__xludf.DUMMYFUNCTION("googletranslate(D4043,""en"",""ja"")"),"原発巣の解剖学的位置")</f>
        <v>原発巣の解剖学的位置</v>
      </c>
      <c r="H4043" s="3" t="str">
        <f ca="1">IFERROR(__xludf.DUMMYFUNCTION("googletranslate(E4043,""en"",""ja"")"),"原発病変であると判断された病変の解剖学的位置。")</f>
        <v>原発病変であると判断された病変の解剖学的位置。</v>
      </c>
      <c r="I4043" s="3" t="str">
        <f ca="1">IFERROR(__xludf.DUMMYFUNCTION("googletranslate(F4043,""en"",""ja"")"),"原発巣の解剖学的位置")</f>
        <v>原発巣の解剖学的位置</v>
      </c>
    </row>
    <row r="4044" spans="1:9" ht="45">
      <c r="A4044" s="3" t="s">
        <v>159</v>
      </c>
      <c r="B4044" s="3" t="s">
        <v>16706</v>
      </c>
      <c r="C4044" s="3" t="s">
        <v>16707</v>
      </c>
      <c r="D4044" s="3" t="s">
        <v>16707</v>
      </c>
      <c r="E4044" s="3" t="s">
        <v>16708</v>
      </c>
      <c r="F4044" s="3" t="s">
        <v>16709</v>
      </c>
      <c r="G4044" s="3" t="str">
        <f ca="1">IFERROR(__xludf.DUMMYFUNCTION("googletranslate(D4044,""en"",""ja"")"),"手掌把握反射")</f>
        <v>手掌把握反射</v>
      </c>
      <c r="H4044" s="3" t="str">
        <f ca="1">IFERROR(__xludf.DUMMYFUNCTION("googletranslate(E4044,""en"",""ja"")"),"手のひらに触れられたときに指をつかむという新生児の不随意の原始的な反応。この反射は生後6か月まで存在します。")</f>
        <v>手のひらに触れられたときに指をつかむという新生児の不随意の原始的な反応。この反射は生後6か月まで存在します。</v>
      </c>
      <c r="I4044" s="3" t="str">
        <f ca="1">IFERROR(__xludf.DUMMYFUNCTION("googletranslate(F4044,""en"",""ja"")"),"把握反射")</f>
        <v>把握反射</v>
      </c>
    </row>
    <row r="4045" spans="1:9" ht="30">
      <c r="A4045" s="3" t="s">
        <v>490</v>
      </c>
      <c r="B4045" s="3" t="s">
        <v>16710</v>
      </c>
      <c r="C4045" s="3" t="s">
        <v>16711</v>
      </c>
      <c r="D4045" s="3" t="s">
        <v>16711</v>
      </c>
      <c r="E4045" s="3" t="s">
        <v>16712</v>
      </c>
      <c r="F4045" s="3" t="s">
        <v>16711</v>
      </c>
      <c r="G4045" s="3" t="str">
        <f ca="1">IFERROR(__xludf.DUMMYFUNCTION("googletranslate(D4045,""en"",""ja"")"),"肺リアクタンス")</f>
        <v>肺リアクタンス</v>
      </c>
      <c r="H4045" s="3" t="str">
        <f ca="1">IFERROR(__xludf.DUMMYFUNCTION("googletranslate(E4045,""en"",""ja"")"),"受動的呼気に必要な肺のエネルギー貯蔵能力の測定値。")</f>
        <v>受動的呼気に必要な肺のエネルギー貯蔵能力の測定値。</v>
      </c>
      <c r="I4045" s="3" t="str">
        <f ca="1">IFERROR(__xludf.DUMMYFUNCTION("googletranslate(F4045,""en"",""ja"")"),"肺リアクタンス")</f>
        <v>肺リアクタンス</v>
      </c>
    </row>
    <row r="4046" spans="1:9" ht="30">
      <c r="A4046" s="3" t="s">
        <v>6</v>
      </c>
      <c r="B4046" s="3" t="s">
        <v>16713</v>
      </c>
      <c r="C4046" s="3" t="s">
        <v>16714</v>
      </c>
      <c r="D4046" s="3" t="s">
        <v>16715</v>
      </c>
      <c r="E4046" s="3" t="s">
        <v>16716</v>
      </c>
      <c r="F4046" s="3" t="s">
        <v>16717</v>
      </c>
      <c r="G4046" s="3" t="str">
        <f ca="1">IFERROR(__xludf.DUMMYFUNCTION("googletranslate(D4046,""en"",""ja"")"),"活性型ビタミンB6;リン酸ピリドキサール")</f>
        <v>活性型ビタミンB6;リン酸ピリドキサール</v>
      </c>
      <c r="H4046" s="3" t="str">
        <f ca="1">IFERROR(__xludf.DUMMYFUNCTION("googletranslate(E4046,""en"",""ja"")"),"生物学的標本中のピリドキサールリン酸の測定。")</f>
        <v>生物学的標本中のピリドキサールリン酸の測定。</v>
      </c>
      <c r="I4046" s="3" t="str">
        <f ca="1">IFERROR(__xludf.DUMMYFUNCTION("googletranslate(F4046,""en"",""ja"")"),"ピリドキサールリン酸の測定")</f>
        <v>ピリドキサールリン酸の測定</v>
      </c>
    </row>
    <row r="4047" spans="1:9" ht="30">
      <c r="A4047" s="3" t="s">
        <v>6</v>
      </c>
      <c r="B4047" s="3" t="s">
        <v>16718</v>
      </c>
      <c r="C4047" s="3" t="s">
        <v>16719</v>
      </c>
      <c r="D4047" s="3" t="s">
        <v>16719</v>
      </c>
      <c r="E4047" s="3" t="s">
        <v>16720</v>
      </c>
      <c r="F4047" s="3" t="s">
        <v>16721</v>
      </c>
      <c r="G4047" s="3" t="str">
        <f ca="1">IFERROR(__xludf.DUMMYFUNCTION("googletranslate(D4047,""en"",""ja"")"),"リン脂質スクランブラーゼ 1")</f>
        <v>リン脂質スクランブラーゼ 1</v>
      </c>
      <c r="H4047" s="3" t="str">
        <f ca="1">IFERROR(__xludf.DUMMYFUNCTION("googletranslate(E4047,""en"",""ja"")"),"生体試料中のリン脂質スクランブラーゼ 1 の測定。")</f>
        <v>生体試料中のリン脂質スクランブラーゼ 1 の測定。</v>
      </c>
      <c r="I4047" s="3" t="str">
        <f ca="1">IFERROR(__xludf.DUMMYFUNCTION("googletranslate(F4047,""en"",""ja"")"),"リン脂質スクランブラーゼ 1 の測定")</f>
        <v>リン脂質スクランブラーゼ 1 の測定</v>
      </c>
    </row>
    <row r="4048" spans="1:9" ht="45">
      <c r="A4048" s="3" t="s">
        <v>6</v>
      </c>
      <c r="B4048" s="3" t="s">
        <v>16722</v>
      </c>
      <c r="C4048" s="3" t="s">
        <v>16723</v>
      </c>
      <c r="D4048" s="3" t="s">
        <v>16723</v>
      </c>
      <c r="E4048" s="3" t="s">
        <v>16724</v>
      </c>
      <c r="F4048" s="3" t="s">
        <v>16725</v>
      </c>
      <c r="G4048" s="3" t="str">
        <f ca="1">IFERROR(__xludf.DUMMYFUNCTION("googletranslate(D4048,""en"",""ja"")"),"未熟形質細胞/全細胞数")</f>
        <v>未熟形質細胞/全細胞数</v>
      </c>
      <c r="H4048" s="3" t="str">
        <f ca="1">IFERROR(__xludf.DUMMYFUNCTION("googletranslate(E4048,""en"",""ja"")"),"生物学的標本の全細胞に対する未熟形質細胞 (形質細胞) の相対的な測定値 (比率またはパーセンテージ)。")</f>
        <v>生物学的標本の全細胞に対する未熟形質細胞 (形質細胞) の相対的な測定値 (比率またはパーセンテージ)。</v>
      </c>
      <c r="I4048" s="3" t="str">
        <f ca="1">IFERROR(__xludf.DUMMYFUNCTION("googletranslate(F4048,""en"",""ja"")"),"全細胞に対する未熟形質細胞の比率の測定")</f>
        <v>全細胞に対する未熟形質細胞の比率の測定</v>
      </c>
    </row>
    <row r="4049" spans="1:9" ht="30">
      <c r="A4049" s="3" t="s">
        <v>6</v>
      </c>
      <c r="B4049" s="3" t="s">
        <v>16726</v>
      </c>
      <c r="C4049" s="3" t="s">
        <v>16727</v>
      </c>
      <c r="D4049" s="3" t="s">
        <v>16727</v>
      </c>
      <c r="E4049" s="3" t="s">
        <v>16728</v>
      </c>
      <c r="F4049" s="3" t="s">
        <v>16729</v>
      </c>
      <c r="G4049" s="3" t="str">
        <f ca="1">IFERROR(__xludf.DUMMYFUNCTION("googletranslate(D4049,""en"",""ja"")"),"未熟形質細胞")</f>
        <v>未熟形質細胞</v>
      </c>
      <c r="H4049" s="3" t="str">
        <f ca="1">IFERROR(__xludf.DUMMYFUNCTION("googletranslate(E4049,""en"",""ja"")"),"生物学的標本中の未熟形質細胞の測定。")</f>
        <v>生物学的標本中の未熟形質細胞の測定。</v>
      </c>
      <c r="I4049" s="3" t="str">
        <f ca="1">IFERROR(__xludf.DUMMYFUNCTION("googletranslate(F4049,""en"",""ja"")"),"未熟形質細胞数")</f>
        <v>未熟形質細胞数</v>
      </c>
    </row>
    <row r="4050" spans="1:9" ht="30">
      <c r="A4050" s="3" t="s">
        <v>6</v>
      </c>
      <c r="B4050" s="3" t="s">
        <v>16730</v>
      </c>
      <c r="C4050" s="3" t="s">
        <v>16731</v>
      </c>
      <c r="D4050" s="3" t="s">
        <v>16731</v>
      </c>
      <c r="E4050" s="3" t="s">
        <v>16732</v>
      </c>
      <c r="F4050" s="3" t="s">
        <v>16733</v>
      </c>
      <c r="G4050" s="3" t="str">
        <f ca="1">IFERROR(__xludf.DUMMYFUNCTION("googletranslate(D4050,""en"",""ja"")"),"未熟形質細胞/リンパ球")</f>
        <v>未熟形質細胞/リンパ球</v>
      </c>
      <c r="H4050" s="3" t="str">
        <f ca="1">IFERROR(__xludf.DUMMYFUNCTION("googletranslate(E4050,""en"",""ja"")"),"生物学的標本中の全リンパ球に対する未熟形質細胞の相対測定値 (比率またはパーセンテージ)。")</f>
        <v>生物学的標本中の全リンパ球に対する未熟形質細胞の相対測定値 (比率またはパーセンテージ)。</v>
      </c>
      <c r="I4050" s="3" t="str">
        <f ca="1">IFERROR(__xludf.DUMMYFUNCTION("googletranslate(F4050,""en"",""ja"")"),"未熟形質細胞とリンパ球の比率の測定")</f>
        <v>未熟形質細胞とリンパ球の比率の測定</v>
      </c>
    </row>
    <row r="4051" spans="1:9" ht="30">
      <c r="A4051" s="3" t="s">
        <v>6</v>
      </c>
      <c r="B4051" s="3" t="s">
        <v>16734</v>
      </c>
      <c r="C4051" s="3" t="s">
        <v>16735</v>
      </c>
      <c r="D4051" s="3" t="s">
        <v>16736</v>
      </c>
      <c r="E4051" s="3" t="s">
        <v>16737</v>
      </c>
      <c r="F4051" s="3" t="s">
        <v>16738</v>
      </c>
      <c r="G4051" s="3" t="str">
        <f ca="1">IFERROR(__xludf.DUMMYFUNCTION("googletranslate(D4051,""en"",""ja"")"),"成熟形質細胞;形質細胞;形質細胞")</f>
        <v>成熟形質細胞;形質細胞;形質細胞</v>
      </c>
      <c r="H4051" s="3" t="str">
        <f ca="1">IFERROR(__xludf.DUMMYFUNCTION("googletranslate(E4051,""en"",""ja"")"),"生物学的標本中の成熟形質細胞 (形質細胞) の測定。")</f>
        <v>生物学的標本中の成熟形質細胞 (形質細胞) の測定。</v>
      </c>
      <c r="I4051" s="3" t="str">
        <f ca="1">IFERROR(__xludf.DUMMYFUNCTION("googletranslate(F4051,""en"",""ja"")"),"成熟形質細胞数")</f>
        <v>成熟形質細胞数</v>
      </c>
    </row>
    <row r="4052" spans="1:9" ht="45">
      <c r="A4052" s="3" t="s">
        <v>6</v>
      </c>
      <c r="B4052" s="3" t="s">
        <v>16739</v>
      </c>
      <c r="C4052" s="3" t="s">
        <v>16740</v>
      </c>
      <c r="D4052" s="3" t="s">
        <v>16740</v>
      </c>
      <c r="E4052" s="3" t="s">
        <v>16741</v>
      </c>
      <c r="F4052" s="3" t="s">
        <v>16742</v>
      </c>
      <c r="G4052" s="3" t="str">
        <f ca="1">IFERROR(__xludf.DUMMYFUNCTION("googletranslate(D4052,""en"",""ja"")"),"成熟形質細胞/全細胞数")</f>
        <v>成熟形質細胞/全細胞数</v>
      </c>
      <c r="H4052" s="3" t="str">
        <f ca="1">IFERROR(__xludf.DUMMYFUNCTION("googletranslate(E4052,""en"",""ja"")"),"生物学的標本 (骨髄標本など) の全細胞に対する成熟形質細胞 (形質細胞) の相対的な測定値 (比率またはパーセンテージ)。")</f>
        <v>生物学的標本 (骨髄標本など) の全細胞に対する成熟形質細胞 (形質細胞) の相対的な測定値 (比率またはパーセンテージ)。</v>
      </c>
      <c r="I4052" s="3" t="str">
        <f ca="1">IFERROR(__xludf.DUMMYFUNCTION("googletranslate(F4052,""en"",""ja"")"),"成熟形質細胞と全細胞の比率の測定")</f>
        <v>成熟形質細胞と全細胞の比率の測定</v>
      </c>
    </row>
    <row r="4053" spans="1:9" ht="45">
      <c r="A4053" s="3" t="s">
        <v>6</v>
      </c>
      <c r="B4053" s="3" t="s">
        <v>16743</v>
      </c>
      <c r="C4053" s="3" t="s">
        <v>16744</v>
      </c>
      <c r="D4053" s="3" t="s">
        <v>16744</v>
      </c>
      <c r="E4053" s="3" t="s">
        <v>16745</v>
      </c>
      <c r="F4053" s="3" t="s">
        <v>16746</v>
      </c>
      <c r="G4053" s="3" t="str">
        <f ca="1">IFERROR(__xludf.DUMMYFUNCTION("googletranslate(D4053,""en"",""ja"")"),"成熟形質細胞/リンパ球")</f>
        <v>成熟形質細胞/リンパ球</v>
      </c>
      <c r="H4053" s="3" t="str">
        <f ca="1">IFERROR(__xludf.DUMMYFUNCTION("googletranslate(E4053,""en"",""ja"")"),"生物学的標本中のすべてのリンパ球に対する成熟形質細胞 (形質細胞) の相対的な測定値 (比率またはパーセンテージ)。")</f>
        <v>生物学的標本中のすべてのリンパ球に対する成熟形質細胞 (形質細胞) の相対的な測定値 (比率またはパーセンテージ)。</v>
      </c>
      <c r="I4053" s="3" t="str">
        <f ca="1">IFERROR(__xludf.DUMMYFUNCTION("googletranslate(F4053,""en"",""ja"")"),"成熟形質細胞とリンパ球の比率の測定")</f>
        <v>成熟形質細胞とリンパ球の比率の測定</v>
      </c>
    </row>
    <row r="4054" spans="1:9" ht="30">
      <c r="A4054" s="3" t="s">
        <v>67</v>
      </c>
      <c r="B4054" s="3" t="s">
        <v>16747</v>
      </c>
      <c r="C4054" s="3" t="s">
        <v>16748</v>
      </c>
      <c r="D4054" s="3" t="s">
        <v>16749</v>
      </c>
      <c r="E4054" s="3" t="s">
        <v>16750</v>
      </c>
      <c r="F4054" s="3" t="s">
        <v>16751</v>
      </c>
      <c r="G4054" s="3" t="str">
        <f ca="1">IFERROR(__xludf.DUMMYFUNCTION("googletranslate(D4054,""en"",""ja"")"),"マラリア;マラリア原虫")</f>
        <v>マラリア;マラリア原虫</v>
      </c>
      <c r="H4054" s="3" t="str">
        <f ca="1">IFERROR(__xludf.DUMMYFUNCTION("googletranslate(E4054,""en"",""ja"")"),"Plasmodium 属に属する原虫の存在を検出するための生物学的標本の検査。")</f>
        <v>Plasmodium 属に属する原虫の存在を検出するための生物学的標本の検査。</v>
      </c>
      <c r="I4054" s="3" t="str">
        <f ca="1">IFERROR(__xludf.DUMMYFUNCTION("googletranslate(F4054,""en"",""ja"")"),"マラリア原虫の測定")</f>
        <v>マラリア原虫の測定</v>
      </c>
    </row>
    <row r="4055" spans="1:9" ht="45">
      <c r="A4055" s="3" t="s">
        <v>6</v>
      </c>
      <c r="B4055" s="3" t="s">
        <v>16752</v>
      </c>
      <c r="C4055" s="3" t="s">
        <v>16753</v>
      </c>
      <c r="D4055" s="3" t="s">
        <v>16754</v>
      </c>
      <c r="E4055" s="3" t="s">
        <v>16755</v>
      </c>
      <c r="F4055" s="3" t="s">
        <v>16756</v>
      </c>
      <c r="G4055" s="3" t="str">
        <f ca="1">IFERROR(__xludf.DUMMYFUNCTION("googletranslate(D4055,""en"",""ja"")"),"モノクローナル形質細胞;単型形質細胞;腫瘍性形質細胞")</f>
        <v>モノクローナル形質細胞;単型形質細胞;腫瘍性形質細胞</v>
      </c>
      <c r="H4055" s="3" t="str">
        <f ca="1">IFERROR(__xludf.DUMMYFUNCTION("googletranslate(E4055,""en"",""ja"")"),"生物学的標本中の腫瘍性形質細胞の測定。")</f>
        <v>生物学的標本中の腫瘍性形質細胞の測定。</v>
      </c>
      <c r="I4055" s="3" t="str">
        <f ca="1">IFERROR(__xludf.DUMMYFUNCTION("googletranslate(F4055,""en"",""ja"")"),"腫瘍性形質細胞数")</f>
        <v>腫瘍性形質細胞数</v>
      </c>
    </row>
    <row r="4056" spans="1:9" ht="45">
      <c r="A4056" s="3" t="s">
        <v>103</v>
      </c>
      <c r="B4056" s="3" t="s">
        <v>16752</v>
      </c>
      <c r="C4056" s="3" t="s">
        <v>16753</v>
      </c>
      <c r="D4056" s="3" t="s">
        <v>16754</v>
      </c>
      <c r="E4056" s="3" t="s">
        <v>16755</v>
      </c>
      <c r="F4056" s="3" t="s">
        <v>16756</v>
      </c>
      <c r="G4056" s="3" t="str">
        <f ca="1">IFERROR(__xludf.DUMMYFUNCTION("googletranslate(D4056,""en"",""ja"")"),"モノクローナル形質細胞;単型形質細胞;腫瘍性形質細胞")</f>
        <v>モノクローナル形質細胞;単型形質細胞;腫瘍性形質細胞</v>
      </c>
      <c r="H4056" s="3" t="str">
        <f ca="1">IFERROR(__xludf.DUMMYFUNCTION("googletranslate(E4056,""en"",""ja"")"),"生物学的標本中の腫瘍性形質細胞の測定。")</f>
        <v>生物学的標本中の腫瘍性形質細胞の測定。</v>
      </c>
      <c r="I4056" s="3" t="str">
        <f ca="1">IFERROR(__xludf.DUMMYFUNCTION("googletranslate(F4056,""en"",""ja"")"),"腫瘍性形質細胞数")</f>
        <v>腫瘍性形質細胞数</v>
      </c>
    </row>
    <row r="4057" spans="1:9" ht="30">
      <c r="A4057" s="3" t="s">
        <v>103</v>
      </c>
      <c r="B4057" s="3" t="s">
        <v>16757</v>
      </c>
      <c r="C4057" s="3" t="s">
        <v>16758</v>
      </c>
      <c r="D4057" s="3" t="s">
        <v>16758</v>
      </c>
      <c r="E4057" s="3" t="s">
        <v>16759</v>
      </c>
      <c r="F4057" s="3" t="s">
        <v>16760</v>
      </c>
      <c r="G4057" s="3" t="str">
        <f ca="1">IFERROR(__xludf.DUMMYFUNCTION("googletranslate(D4057,""en"",""ja"")"),"腫瘍性形質細胞/全細胞")</f>
        <v>腫瘍性形質細胞/全細胞</v>
      </c>
      <c r="H4057" s="3" t="str">
        <f ca="1">IFERROR(__xludf.DUMMYFUNCTION("googletranslate(E4057,""en"",""ja"")"),"生物学的標本の全細胞に対する腫瘍性形質細胞の相対的な測定値 (比率またはパーセンテージ)。")</f>
        <v>生物学的標本の全細胞に対する腫瘍性形質細胞の相対的な測定値 (比率またはパーセンテージ)。</v>
      </c>
      <c r="I4057" s="3" t="str">
        <f ca="1">IFERROR(__xludf.DUMMYFUNCTION("googletranslate(F4057,""en"",""ja"")"),"腫瘍性形質細胞と全細胞の比率の測定")</f>
        <v>腫瘍性形質細胞と全細胞の比率の測定</v>
      </c>
    </row>
    <row r="4058" spans="1:9" ht="45">
      <c r="A4058" s="3" t="s">
        <v>6</v>
      </c>
      <c r="B4058" s="3" t="s">
        <v>16761</v>
      </c>
      <c r="C4058" s="3" t="s">
        <v>16762</v>
      </c>
      <c r="D4058" s="3" t="s">
        <v>15973</v>
      </c>
      <c r="E4058" s="3" t="s">
        <v>15974</v>
      </c>
      <c r="F4058" s="3" t="s">
        <v>15975</v>
      </c>
      <c r="G4058" s="3" t="str">
        <f ca="1">IFERROR(__xludf.DUMMYFUNCTION("googletranslate(D4058,""en"",""ja"")"),"プラズマブラスト;前駆体形質細胞")</f>
        <v>プラズマブラスト;前駆体形質細胞</v>
      </c>
      <c r="H4058" s="3" t="str">
        <f ca="1">IFERROR(__xludf.DUMMYFUNCTION("googletranslate(E4058,""en"",""ja"")"),"生物学的標本中の前駆体（芽球期）形質細胞（抗原刺激により B 細胞に由来する抗体分泌細胞）の測定。")</f>
        <v>生物学的標本中の前駆体（芽球期）形質細胞（抗原刺激により B 細胞に由来する抗体分泌細胞）の測定。</v>
      </c>
      <c r="I4058" s="3" t="str">
        <f ca="1">IFERROR(__xludf.DUMMYFUNCTION("googletranslate(F4058,""en"",""ja"")"),"前駆体形質細胞数")</f>
        <v>前駆体形質細胞数</v>
      </c>
    </row>
    <row r="4059" spans="1:9" ht="60">
      <c r="A4059" s="3" t="s">
        <v>6</v>
      </c>
      <c r="B4059" s="3" t="s">
        <v>16763</v>
      </c>
      <c r="C4059" s="3" t="s">
        <v>16764</v>
      </c>
      <c r="D4059" s="3" t="s">
        <v>16764</v>
      </c>
      <c r="E4059" s="3" t="s">
        <v>16765</v>
      </c>
      <c r="F4059" s="3" t="s">
        <v>16766</v>
      </c>
      <c r="G4059" s="3" t="str">
        <f ca="1">IFERROR(__xludf.DUMMYFUNCTION("googletranslate(D4059,""en"",""ja"")"),"前駆体形質細胞/リンパ球")</f>
        <v>前駆体形質細胞/リンパ球</v>
      </c>
      <c r="H4059" s="3" t="str">
        <f ca="1">IFERROR(__xludf.DUMMYFUNCTION("googletranslate(E4059,""en"",""ja"")"),"生物学的標本中のすべてのリンパ球に対する前駆体 (芽球期) 形質細胞 (抗原刺激によって B 細胞に由来する抗体分泌細胞) の相対測定値 (比率またはパーセンテージ)。")</f>
        <v>生物学的標本中のすべてのリンパ球に対する前駆体 (芽球期) 形質細胞 (抗原刺激によって B 細胞に由来する抗体分泌細胞) の相対測定値 (比率またはパーセンテージ)。</v>
      </c>
      <c r="I4059" s="3" t="str">
        <f ca="1">IFERROR(__xludf.DUMMYFUNCTION("googletranslate(F4059,""en"",""ja"")"),"前駆体形質細胞とリンパ球の比率の測定")</f>
        <v>前駆体形質細胞とリンパ球の比率の測定</v>
      </c>
    </row>
    <row r="4060" spans="1:9" ht="30">
      <c r="A4060" s="3" t="s">
        <v>6</v>
      </c>
      <c r="B4060" s="3" t="s">
        <v>16767</v>
      </c>
      <c r="C4060" s="3" t="s">
        <v>16068</v>
      </c>
      <c r="D4060" s="3" t="s">
        <v>16068</v>
      </c>
      <c r="E4060" s="3" t="s">
        <v>16069</v>
      </c>
      <c r="F4060" s="3" t="s">
        <v>16070</v>
      </c>
      <c r="G4060" s="3" t="str">
        <f ca="1">IFERROR(__xludf.DUMMYFUNCTION("googletranslate(D4060,""en"",""ja"")"),"総血漿細胞数")</f>
        <v>総血漿細胞数</v>
      </c>
      <c r="H4060" s="3" t="str">
        <f ca="1">IFERROR(__xludf.DUMMYFUNCTION("googletranslate(E4060,""en"",""ja"")"),"生物学的標本中の総形質細胞の測定。")</f>
        <v>生物学的標本中の総形質細胞の測定。</v>
      </c>
      <c r="I4060" s="3" t="str">
        <f ca="1">IFERROR(__xludf.DUMMYFUNCTION("googletranslate(F4060,""en"",""ja"")"),"形質細胞数")</f>
        <v>形質細胞数</v>
      </c>
    </row>
    <row r="4061" spans="1:9" ht="30">
      <c r="A4061" s="3" t="s">
        <v>6</v>
      </c>
      <c r="B4061" s="3" t="s">
        <v>16768</v>
      </c>
      <c r="C4061" s="3" t="s">
        <v>16769</v>
      </c>
      <c r="D4061" s="3" t="s">
        <v>16770</v>
      </c>
      <c r="E4061" s="3" t="s">
        <v>16771</v>
      </c>
      <c r="F4061" s="3" t="s">
        <v>16772</v>
      </c>
      <c r="G4061" s="3" t="str">
        <f ca="1">IFERROR(__xludf.DUMMYFUNCTION("googletranslate(D4061,""en"",""ja"")"),"形質細胞/総細胞;総血漿細胞数/総細胞数")</f>
        <v>形質細胞/総細胞;総血漿細胞数/総細胞数</v>
      </c>
      <c r="H4061" s="3" t="str">
        <f ca="1">IFERROR(__xludf.DUMMYFUNCTION("googletranslate(E4061,""en"",""ja"")"),"生物学的標本中の総細胞数に対する総形質細胞の相対的な測定値 (比率またはパーセンテージ)。")</f>
        <v>生物学的標本中の総細胞数に対する総形質細胞の相対的な測定値 (比率またはパーセンテージ)。</v>
      </c>
      <c r="I4061" s="3" t="str">
        <f ca="1">IFERROR(__xludf.DUMMYFUNCTION("googletranslate(F4061,""en"",""ja"")"),"形質細胞対総細胞比の測定")</f>
        <v>形質細胞対総細胞比の測定</v>
      </c>
    </row>
    <row r="4062" spans="1:9" ht="30">
      <c r="A4062" s="3" t="s">
        <v>103</v>
      </c>
      <c r="B4062" s="3" t="s">
        <v>16768</v>
      </c>
      <c r="C4062" s="3" t="s">
        <v>16769</v>
      </c>
      <c r="D4062" s="3" t="s">
        <v>16770</v>
      </c>
      <c r="E4062" s="3" t="s">
        <v>16771</v>
      </c>
      <c r="F4062" s="3" t="s">
        <v>16772</v>
      </c>
      <c r="G4062" s="3" t="str">
        <f ca="1">IFERROR(__xludf.DUMMYFUNCTION("googletranslate(D4062,""en"",""ja"")"),"形質細胞/総細胞;総血漿細胞数/総細胞数")</f>
        <v>形質細胞/総細胞;総血漿細胞数/総細胞数</v>
      </c>
      <c r="H4062" s="3" t="str">
        <f ca="1">IFERROR(__xludf.DUMMYFUNCTION("googletranslate(E4062,""en"",""ja"")"),"生物学的標本中の総細胞数に対する総形質細胞の相対的な測定値 (比率またはパーセンテージ)。")</f>
        <v>生物学的標本中の総細胞数に対する総形質細胞の相対的な測定値 (比率またはパーセンテージ)。</v>
      </c>
      <c r="I4062" s="3" t="str">
        <f ca="1">IFERROR(__xludf.DUMMYFUNCTION("googletranslate(F4062,""en"",""ja"")"),"形質細胞対総細胞比の測定")</f>
        <v>形質細胞対総細胞比の測定</v>
      </c>
    </row>
    <row r="4063" spans="1:9" ht="30">
      <c r="A4063" s="3" t="s">
        <v>6</v>
      </c>
      <c r="B4063" s="3" t="s">
        <v>16773</v>
      </c>
      <c r="C4063" s="3" t="s">
        <v>16774</v>
      </c>
      <c r="D4063" s="3" t="s">
        <v>16142</v>
      </c>
      <c r="E4063" s="3" t="s">
        <v>16143</v>
      </c>
      <c r="F4063" s="3" t="s">
        <v>16144</v>
      </c>
      <c r="G4063" s="3" t="str">
        <f ca="1">IFERROR(__xludf.DUMMYFUNCTION("googletranslate(D4063,""en"",""ja"")"),"形質細胞/白血球;総形質細胞/白血球")</f>
        <v>形質細胞/白血球;総形質細胞/白血球</v>
      </c>
      <c r="H4063" s="3" t="str">
        <f ca="1">IFERROR(__xludf.DUMMYFUNCTION("googletranslate(E4063,""en"",""ja"")"),"生物学的標本中の白血球に対する総形質細胞の相対測定値 (比率またはパーセンテージ)。")</f>
        <v>生物学的標本中の白血球に対する総形質細胞の相対測定値 (比率またはパーセンテージ)。</v>
      </c>
      <c r="I4063" s="3" t="str">
        <f ca="1">IFERROR(__xludf.DUMMYFUNCTION("googletranslate(F4063,""en"",""ja"")"),"形質細胞と白血球の比率の測定")</f>
        <v>形質細胞と白血球の比率の測定</v>
      </c>
    </row>
    <row r="4064" spans="1:9" ht="30">
      <c r="A4064" s="3" t="s">
        <v>6</v>
      </c>
      <c r="B4064" s="3" t="s">
        <v>16775</v>
      </c>
      <c r="C4064" s="3" t="s">
        <v>16776</v>
      </c>
      <c r="D4064" s="3" t="s">
        <v>16776</v>
      </c>
      <c r="E4064" s="3" t="s">
        <v>16777</v>
      </c>
      <c r="F4064" s="3" t="s">
        <v>16778</v>
      </c>
      <c r="G4064" s="3" t="str">
        <f ca="1">IFERROR(__xludf.DUMMYFUNCTION("googletranslate(D4064,""en"",""ja"")"),"総形質細胞/リンパ球")</f>
        <v>総形質細胞/リンパ球</v>
      </c>
      <c r="H4064" s="3" t="str">
        <f ca="1">IFERROR(__xludf.DUMMYFUNCTION("googletranslate(E4064,""en"",""ja"")"),"生物学的標本中のリンパ球に対する総形質細胞の相対的な測定値 (比率またはパーセンテージ)。")</f>
        <v>生物学的標本中のリンパ球に対する総形質細胞の相対的な測定値 (比率またはパーセンテージ)。</v>
      </c>
      <c r="I4064" s="3" t="str">
        <f ca="1">IFERROR(__xludf.DUMMYFUNCTION("googletranslate(F4064,""en"",""ja"")"),"形質細胞とリンパ球の比率の測定")</f>
        <v>形質細胞とリンパ球の比率の測定</v>
      </c>
    </row>
    <row r="4065" spans="1:9" ht="30">
      <c r="A4065" s="3" t="s">
        <v>6</v>
      </c>
      <c r="B4065" s="3" t="s">
        <v>16779</v>
      </c>
      <c r="C4065" s="3" t="s">
        <v>16780</v>
      </c>
      <c r="D4065" s="3" t="s">
        <v>16780</v>
      </c>
      <c r="E4065" s="3" t="s">
        <v>16781</v>
      </c>
      <c r="F4065" s="3" t="s">
        <v>16782</v>
      </c>
      <c r="G4065" s="3" t="str">
        <f ca="1">IFERROR(__xludf.DUMMYFUNCTION("googletranslate(D4065,""en"",""ja"")"),"血小板凝集の振幅")</f>
        <v>血小板凝集の振幅</v>
      </c>
      <c r="H4065" s="3" t="str">
        <f ca="1">IFERROR(__xludf.DUMMYFUNCTION("googletranslate(E4065,""en"",""ja"")"),"生物学的標本における血小板凝集の大きさの測定。")</f>
        <v>生物学的標本における血小板凝集の大きさの測定。</v>
      </c>
      <c r="I4065" s="3" t="str">
        <f ca="1">IFERROR(__xludf.DUMMYFUNCTION("googletranslate(F4065,""en"",""ja"")"),"血小板凝集振幅測定")</f>
        <v>血小板凝集振幅測定</v>
      </c>
    </row>
    <row r="4066" spans="1:9" ht="45">
      <c r="A4066" s="3" t="s">
        <v>159</v>
      </c>
      <c r="B4066" s="3" t="s">
        <v>16783</v>
      </c>
      <c r="C4066" s="3" t="s">
        <v>16784</v>
      </c>
      <c r="D4066" s="3" t="s">
        <v>16784</v>
      </c>
      <c r="E4066" s="3" t="s">
        <v>16785</v>
      </c>
      <c r="F4066" s="3" t="s">
        <v>16784</v>
      </c>
      <c r="G4066" s="3" t="str">
        <f ca="1">IFERROR(__xludf.DUMMYFUNCTION("googletranslate(D4066,""en"",""ja"")"),"足底把握反射")</f>
        <v>足底把握反射</v>
      </c>
      <c r="H4066" s="3" t="str">
        <f ca="1">IFERROR(__xludf.DUMMYFUNCTION("googletranslate(E4066,""en"",""ja"")"),"足の裏をなでたときのつま先の屈曲を特徴とする新生児の不随意の原始反応。")</f>
        <v>足の裏をなでたときのつま先の屈曲を特徴とする新生児の不随意の原始反応。</v>
      </c>
      <c r="I4066" s="3" t="str">
        <f ca="1">IFERROR(__xludf.DUMMYFUNCTION("googletranslate(F4066,""en"",""ja"")"),"足底把握反射")</f>
        <v>足底把握反射</v>
      </c>
    </row>
    <row r="4067" spans="1:9" ht="60">
      <c r="A4067" s="3" t="s">
        <v>6</v>
      </c>
      <c r="B4067" s="3" t="s">
        <v>16786</v>
      </c>
      <c r="C4067" s="3" t="s">
        <v>16787</v>
      </c>
      <c r="D4067" s="3" t="s">
        <v>16788</v>
      </c>
      <c r="E4067" s="3" t="s">
        <v>16789</v>
      </c>
      <c r="F4067" s="3" t="s">
        <v>16790</v>
      </c>
      <c r="G4067" s="3" t="str">
        <f ca="1">IFERROR(__xludf.DUMMYFUNCTION("googletranslate(D4067,""en"",""ja"")"),"未熟血小板画分;未熟血小板/総血小板; IPF;網状血小板/総血小板")</f>
        <v>未熟血小板画分;未熟血小板/総血小板; IPF;網状血小板/総血小板</v>
      </c>
      <c r="H4067" s="3" t="str">
        <f ca="1">IFERROR(__xludf.DUMMYFUNCTION("googletranslate(E4067,""en"",""ja"")"),"生物学的検体中の総血小板に対する未熟血小板の相対測定値 (比率またはパーセンテージ)。")</f>
        <v>生物学的検体中の総血小板に対する未熟血小板の相対測定値 (比率またはパーセンテージ)。</v>
      </c>
      <c r="I4067" s="3" t="str">
        <f ca="1">IFERROR(__xludf.DUMMYFUNCTION("googletranslate(F4067,""en"",""ja"")"),"総血小板に対する未熟血小板の比率の測定")</f>
        <v>総血小板に対する未熟血小板の比率の測定</v>
      </c>
    </row>
    <row r="4068" spans="1:9" ht="30">
      <c r="A4068" s="3" t="s">
        <v>6</v>
      </c>
      <c r="B4068" s="3" t="s">
        <v>16791</v>
      </c>
      <c r="C4068" s="3" t="s">
        <v>16792</v>
      </c>
      <c r="D4068" s="3" t="s">
        <v>16793</v>
      </c>
      <c r="E4068" s="3" t="s">
        <v>16794</v>
      </c>
      <c r="F4068" s="3" t="s">
        <v>16795</v>
      </c>
      <c r="G4068" s="3" t="str">
        <f ca="1">IFERROR(__xludf.DUMMYFUNCTION("googletranslate(D4068,""en"",""ja"")"),"大きな血小板/総血小板;血小板大細胞率; PLCR")</f>
        <v>大きな血小板/総血小板;血小板大細胞率; PLCR</v>
      </c>
      <c r="H4068" s="3" t="str">
        <f ca="1">IFERROR(__xludf.DUMMYFUNCTION("googletranslate(E4068,""en"",""ja"")"),"生物学的検体中の総血小板に対する大きな血小板の相対的な測定値 (比率またはパーセンテージ)。")</f>
        <v>生物学的検体中の総血小板に対する大きな血小板の相対的な測定値 (比率またはパーセンテージ)。</v>
      </c>
      <c r="I4068" s="3" t="str">
        <f ca="1">IFERROR(__xludf.DUMMYFUNCTION("googletranslate(F4068,""en"",""ja"")"),"総血小板に対する大型血小板の比率の測定")</f>
        <v>総血小板に対する大型血小板の比率の測定</v>
      </c>
    </row>
    <row r="4069" spans="1:9" ht="30">
      <c r="A4069" s="3" t="s">
        <v>6</v>
      </c>
      <c r="B4069" s="3" t="s">
        <v>16796</v>
      </c>
      <c r="C4069" s="3" t="s">
        <v>16797</v>
      </c>
      <c r="D4069" s="3" t="s">
        <v>16797</v>
      </c>
      <c r="E4069" s="3" t="s">
        <v>16798</v>
      </c>
      <c r="F4069" s="3" t="s">
        <v>16799</v>
      </c>
      <c r="G4069" s="3" t="str">
        <f ca="1">IFERROR(__xludf.DUMMYFUNCTION("googletranslate(D4069,""en"",""ja"")"),"血小板の形態")</f>
        <v>血小板の形態</v>
      </c>
      <c r="H4069" s="3" t="str">
        <f ca="1">IFERROR(__xludf.DUMMYFUNCTION("googletranslate(E4069,""en"",""ja"")"),"血小板の形状と構造の検査または評価。")</f>
        <v>血小板の形状と構造の検査または評価。</v>
      </c>
      <c r="I4069" s="3" t="str">
        <f ca="1">IFERROR(__xludf.DUMMYFUNCTION("googletranslate(F4069,""en"",""ja"")"),"血小板形態測定")</f>
        <v>血小板形態測定</v>
      </c>
    </row>
    <row r="4070" spans="1:9" ht="30">
      <c r="A4070" s="3" t="s">
        <v>51</v>
      </c>
      <c r="B4070" s="3" t="s">
        <v>16800</v>
      </c>
      <c r="C4070" s="3" t="s">
        <v>16801</v>
      </c>
      <c r="D4070" s="3" t="s">
        <v>16801</v>
      </c>
      <c r="E4070" s="3" t="s">
        <v>16802</v>
      </c>
      <c r="F4070" s="3" t="s">
        <v>16803</v>
      </c>
      <c r="G4070" s="3" t="str">
        <f ca="1">IFERROR(__xludf.DUMMYFUNCTION("googletranslate(D4070,""en"",""ja"")"),"粒子状物質 2.5")</f>
        <v>粒子状物質 2.5</v>
      </c>
      <c r="H4070" s="3" t="str">
        <f ca="1">IFERROR(__xludf.DUMMYFUNCTION("googletranslate(E4070,""en"",""ja"")"),"空気中の単位体積あたりの幅 2.5 ミクロン以下の粒子または液滴の総数。")</f>
        <v>空気中の単位体積あたりの幅 2.5 ミクロン以下の粒子または液滴の総数。</v>
      </c>
      <c r="I4070" s="3" t="str">
        <f ca="1">IFERROR(__xludf.DUMMYFUNCTION("googletranslate(F4070,""en"",""ja"")"),"2.5um以下の粒子状物質測定")</f>
        <v>2.5um以下の粒子状物質測定</v>
      </c>
    </row>
    <row r="4071" spans="1:9" ht="30">
      <c r="A4071" s="3" t="s">
        <v>51</v>
      </c>
      <c r="B4071" s="3" t="s">
        <v>16804</v>
      </c>
      <c r="C4071" s="3" t="s">
        <v>16805</v>
      </c>
      <c r="D4071" s="3" t="s">
        <v>16806</v>
      </c>
      <c r="E4071" s="3" t="s">
        <v>16807</v>
      </c>
      <c r="F4071" s="3" t="s">
        <v>16808</v>
      </c>
      <c r="G4071" s="3" t="str">
        <f ca="1">IFERROR(__xludf.DUMMYFUNCTION("googletranslate(D4071,""en"",""ja"")"),"フェニルメルカプチュレート;フェニルメルカプツール酸")</f>
        <v>フェニルメルカプチュレート;フェニルメルカプツール酸</v>
      </c>
      <c r="H4071" s="3" t="str">
        <f ca="1">IFERROR(__xludf.DUMMYFUNCTION("googletranslate(E4071,""en"",""ja"")"),"試料中のフェニルメルカプツール酸の測定。")</f>
        <v>試料中のフェニルメルカプツール酸の測定。</v>
      </c>
      <c r="I4071" s="3" t="str">
        <f ca="1">IFERROR(__xludf.DUMMYFUNCTION("googletranslate(F4071,""en"",""ja"")"),"フェニルメルカプツール酸の測定")</f>
        <v>フェニルメルカプツール酸の測定</v>
      </c>
    </row>
    <row r="4072" spans="1:9" ht="45">
      <c r="A4072" s="3" t="s">
        <v>6</v>
      </c>
      <c r="B4072" s="3" t="s">
        <v>16809</v>
      </c>
      <c r="C4072" s="3" t="s">
        <v>16810</v>
      </c>
      <c r="D4072" s="3" t="s">
        <v>16810</v>
      </c>
      <c r="E4072" s="3" t="s">
        <v>16811</v>
      </c>
      <c r="F4072" s="3" t="s">
        <v>16810</v>
      </c>
      <c r="G4072" s="3" t="str">
        <f ca="1">IFERROR(__xludf.DUMMYFUNCTION("googletranslate(D4072,""en"",""ja"")"),"血小板質量分布幅")</f>
        <v>血小板質量分布幅</v>
      </c>
      <c r="H4072" s="3" t="str">
        <f ca="1">IFERROR(__xludf.DUMMYFUNCTION("googletranslate(E4072,""en"",""ja"")"),"生物学的標本における血小板乾燥質量分布の 2 つの標準偏差によって定義される変動を表す測定値。")</f>
        <v>生物学的標本における血小板乾燥質量分布の 2 つの標準偏差によって定義される変動を表す測定値。</v>
      </c>
      <c r="I4072" s="3" t="str">
        <f ca="1">IFERROR(__xludf.DUMMYFUNCTION("googletranslate(F4072,""en"",""ja"")"),"血小板質量分布幅")</f>
        <v>血小板質量分布幅</v>
      </c>
    </row>
    <row r="4073" spans="1:9" ht="30">
      <c r="A4073" s="3" t="s">
        <v>67</v>
      </c>
      <c r="B4073" s="3" t="s">
        <v>16812</v>
      </c>
      <c r="C4073" s="3" t="s">
        <v>16813</v>
      </c>
      <c r="D4073" s="3" t="s">
        <v>16813</v>
      </c>
      <c r="E4073" s="3" t="s">
        <v>16814</v>
      </c>
      <c r="F4073" s="3" t="s">
        <v>16815</v>
      </c>
      <c r="G4073" s="3" t="str">
        <f ca="1">IFERROR(__xludf.DUMMYFUNCTION("googletranslate(D4073,""en"",""ja"")"),"プロテウス ミラビリス")</f>
        <v>プロテウス ミラビリス</v>
      </c>
      <c r="H4073" s="3" t="str">
        <f ca="1">IFERROR(__xludf.DUMMYFUNCTION("googletranslate(E4073,""en"",""ja"")"),"生物学的標本中のプロテウス ミラビリスの測定。")</f>
        <v>生物学的標本中のプロテウス ミラビリスの測定。</v>
      </c>
      <c r="I4073" s="3" t="str">
        <f ca="1">IFERROR(__xludf.DUMMYFUNCTION("googletranslate(F4073,""en"",""ja"")"),"プロテウス ミラビリスの測定")</f>
        <v>プロテウス ミラビリスの測定</v>
      </c>
    </row>
    <row r="4074" spans="1:9" ht="45">
      <c r="A4074" s="3" t="s">
        <v>6</v>
      </c>
      <c r="B4074" s="3" t="s">
        <v>16816</v>
      </c>
      <c r="C4074" s="3" t="s">
        <v>16817</v>
      </c>
      <c r="D4074" s="3" t="s">
        <v>16817</v>
      </c>
      <c r="E4074" s="3" t="s">
        <v>16818</v>
      </c>
      <c r="F4074" s="3" t="s">
        <v>16819</v>
      </c>
      <c r="G4074" s="3" t="str">
        <f ca="1">IFERROR(__xludf.DUMMYFUNCTION("googletranslate(D4074,""en"",""ja"")"),"増殖中の骨髄細胞/全細胞")</f>
        <v>増殖中の骨髄細胞/全細胞</v>
      </c>
      <c r="H4074" s="3" t="str">
        <f ca="1">IFERROR(__xludf.DUMMYFUNCTION("googletranslate(E4074,""en"",""ja"")"),"生物学的標本の全細胞に対する増殖骨髄細胞の相対的な測定値 (比率またはパーセンテージ)。")</f>
        <v>生物学的標本の全細胞に対する増殖骨髄細胞の相対的な測定値 (比率またはパーセンテージ)。</v>
      </c>
      <c r="I4074" s="3" t="str">
        <f ca="1">IFERROR(__xludf.DUMMYFUNCTION("googletranslate(F4074,""en"",""ja"")"),"増殖性骨髄細胞対総細胞比の測定")</f>
        <v>増殖性骨髄細胞対総細胞比の測定</v>
      </c>
    </row>
    <row r="4075" spans="1:9" ht="30">
      <c r="A4075" s="3" t="s">
        <v>6</v>
      </c>
      <c r="B4075" s="3" t="s">
        <v>16820</v>
      </c>
      <c r="C4075" s="3" t="s">
        <v>16821</v>
      </c>
      <c r="D4075" s="3" t="s">
        <v>16821</v>
      </c>
      <c r="E4075" s="3" t="s">
        <v>16822</v>
      </c>
      <c r="F4075" s="3" t="s">
        <v>16823</v>
      </c>
      <c r="G4075" s="3" t="str">
        <f ca="1">IFERROR(__xludf.DUMMYFUNCTION("googletranslate(D4075,""en"",""ja"")"),"膵臓ポリペプチド")</f>
        <v>膵臓ポリペプチド</v>
      </c>
      <c r="H4075" s="3" t="str">
        <f ca="1">IFERROR(__xludf.DUMMYFUNCTION("googletranslate(E4075,""en"",""ja"")"),"生物学的標本中の膵臓ポリペプチドの測定。")</f>
        <v>生物学的標本中の膵臓ポリペプチドの測定。</v>
      </c>
      <c r="I4075" s="3" t="str">
        <f ca="1">IFERROR(__xludf.DUMMYFUNCTION("googletranslate(F4075,""en"",""ja"")"),"膵臓ポリペプチドの測定")</f>
        <v>膵臓ポリペプチドの測定</v>
      </c>
    </row>
    <row r="4076" spans="1:9">
      <c r="A4076" s="3" t="s">
        <v>490</v>
      </c>
      <c r="B4076" s="3" t="s">
        <v>16824</v>
      </c>
      <c r="C4076" s="3" t="s">
        <v>16825</v>
      </c>
      <c r="D4076" s="3" t="s">
        <v>16825</v>
      </c>
      <c r="E4076" s="3" t="s">
        <v>16826</v>
      </c>
      <c r="F4076" s="3" t="s">
        <v>16825</v>
      </c>
      <c r="G4076" s="3" t="str">
        <f ca="1">IFERROR(__xludf.DUMMYFUNCTION("googletranslate(D4076,""en"",""ja"")"),"肺炎インジケーター")</f>
        <v>肺炎インジケーター</v>
      </c>
      <c r="H4076" s="3" t="str">
        <f ca="1">IFERROR(__xludf.DUMMYFUNCTION("googletranslate(E4076,""en"",""ja"")"),"肺炎が発生したかどうかを示す指標。")</f>
        <v>肺炎が発生したかどうかを示す指標。</v>
      </c>
      <c r="I4076" s="3" t="str">
        <f ca="1">IFERROR(__xludf.DUMMYFUNCTION("googletranslate(F4076,""en"",""ja"")"),"肺炎インジケーター")</f>
        <v>肺炎インジケーター</v>
      </c>
    </row>
    <row r="4077" spans="1:9" ht="45">
      <c r="A4077" s="3" t="s">
        <v>490</v>
      </c>
      <c r="B4077" s="3" t="s">
        <v>16827</v>
      </c>
      <c r="C4077" s="3" t="s">
        <v>16828</v>
      </c>
      <c r="D4077" s="3" t="s">
        <v>16828</v>
      </c>
      <c r="E4077" s="3" t="s">
        <v>16829</v>
      </c>
      <c r="F4077" s="3" t="s">
        <v>16828</v>
      </c>
      <c r="G4077" s="3" t="str">
        <f ca="1">IFERROR(__xludf.DUMMYFUNCTION("googletranslate(D4077,""en"",""ja"")"),"ピーク鼻吸気流量")</f>
        <v>ピーク鼻吸気流量</v>
      </c>
      <c r="H4077" s="3" t="str">
        <f ca="1">IFERROR(__xludf.DUMMYFUNCTION("googletranslate(E4077,""en"",""ja"")"),"最大流量は、最大呼気時に開始された鼻からの最大強制吸気中に達成されます。 (NCI)")</f>
        <v>最大流量は、最大呼気時に開始された鼻からの最大強制吸気中に達成されます。 (NCI)</v>
      </c>
      <c r="I4077" s="3" t="str">
        <f ca="1">IFERROR(__xludf.DUMMYFUNCTION("googletranslate(F4077,""en"",""ja"")"),"ピーク鼻吸気流量")</f>
        <v>ピーク鼻吸気流量</v>
      </c>
    </row>
    <row r="4078" spans="1:9" ht="30">
      <c r="A4078" s="3" t="s">
        <v>6</v>
      </c>
      <c r="B4078" s="3" t="s">
        <v>16830</v>
      </c>
      <c r="C4078" s="3" t="s">
        <v>16831</v>
      </c>
      <c r="D4078" s="3" t="s">
        <v>16831</v>
      </c>
      <c r="E4078" s="3" t="s">
        <v>16832</v>
      </c>
      <c r="F4078" s="3" t="s">
        <v>16833</v>
      </c>
      <c r="G4078" s="3" t="str">
        <f ca="1">IFERROR(__xludf.DUMMYFUNCTION("googletranslate(D4078,""en"",""ja"")"),"ペントバルビタール")</f>
        <v>ペントバルビタール</v>
      </c>
      <c r="H4078" s="3" t="str">
        <f ca="1">IFERROR(__xludf.DUMMYFUNCTION("googletranslate(E4078,""en"",""ja"")"),"生物学的標本中に存在するペントバルビタールの測定。")</f>
        <v>生物学的標本中に存在するペントバルビタールの測定。</v>
      </c>
      <c r="I4078" s="3" t="str">
        <f ca="1">IFERROR(__xludf.DUMMYFUNCTION("googletranslate(F4078,""en"",""ja"")"),"ペントバルビタールの測定")</f>
        <v>ペントバルビタールの測定</v>
      </c>
    </row>
    <row r="4079" spans="1:9">
      <c r="A4079" s="3" t="s">
        <v>6</v>
      </c>
      <c r="B4079" s="3" t="s">
        <v>16834</v>
      </c>
      <c r="C4079" s="3" t="s">
        <v>16835</v>
      </c>
      <c r="D4079" s="3" t="s">
        <v>16835</v>
      </c>
      <c r="E4079" s="3" t="s">
        <v>16836</v>
      </c>
      <c r="F4079" s="3" t="s">
        <v>16837</v>
      </c>
      <c r="G4079" s="3" t="str">
        <f ca="1">IFERROR(__xludf.DUMMYFUNCTION("googletranslate(D4079,""en"",""ja"")"),"ペンタゾシン")</f>
        <v>ペンタゾシン</v>
      </c>
      <c r="H4079" s="3" t="str">
        <f ca="1">IFERROR(__xludf.DUMMYFUNCTION("googletranslate(E4079,""en"",""ja"")"),"生物学的標本中のペンタゾシンの測定。")</f>
        <v>生物学的標本中のペンタゾシンの測定。</v>
      </c>
      <c r="I4079" s="3" t="str">
        <f ca="1">IFERROR(__xludf.DUMMYFUNCTION("googletranslate(F4079,""en"",""ja"")"),"ペンタゾシンの測定")</f>
        <v>ペンタゾシンの測定</v>
      </c>
    </row>
    <row r="4080" spans="1:9">
      <c r="A4080" s="3" t="s">
        <v>51</v>
      </c>
      <c r="B4080" s="3" t="s">
        <v>16838</v>
      </c>
      <c r="C4080" s="3" t="s">
        <v>16839</v>
      </c>
      <c r="D4080" s="3" t="s">
        <v>16839</v>
      </c>
      <c r="E4080" s="3" t="s">
        <v>16840</v>
      </c>
      <c r="F4080" s="3" t="s">
        <v>16839</v>
      </c>
      <c r="G4080" s="3" t="str">
        <f ca="1">IFERROR(__xludf.DUMMYFUNCTION("googletranslate(D4080,""en"",""ja"")"),"粒子数濃度")</f>
        <v>粒子数濃度</v>
      </c>
      <c r="H4080" s="3" t="str">
        <f ca="1">IFERROR(__xludf.DUMMYFUNCTION("googletranslate(E4080,""en"",""ja"")"),"単位体積あたりの粒子の総数。")</f>
        <v>単位体積あたりの粒子の総数。</v>
      </c>
      <c r="I4080" s="3" t="str">
        <f ca="1">IFERROR(__xludf.DUMMYFUNCTION("googletranslate(F4080,""en"",""ja"")"),"粒子数濃度")</f>
        <v>粒子数濃度</v>
      </c>
    </row>
    <row r="4081" spans="1:9" ht="30">
      <c r="A4081" s="3" t="s">
        <v>51</v>
      </c>
      <c r="B4081" s="3" t="s">
        <v>16841</v>
      </c>
      <c r="C4081" s="3" t="s">
        <v>16842</v>
      </c>
      <c r="D4081" s="3" t="s">
        <v>16843</v>
      </c>
      <c r="E4081" s="3" t="s">
        <v>16844</v>
      </c>
      <c r="F4081" s="3" t="s">
        <v>16845</v>
      </c>
      <c r="G4081" s="3" t="str">
        <f ca="1">IFERROR(__xludf.DUMMYFUNCTION("googletranslate(D4081,""en"",""ja"")"),"Po-210;ポロニウム-210;ラジウムF")</f>
        <v>Po-210;ポロニウム-210;ラジウムF</v>
      </c>
      <c r="H4081" s="3" t="str">
        <f ca="1">IFERROR(__xludf.DUMMYFUNCTION("googletranslate(E4081,""en"",""ja"")"),"標本中のポロニウム 210 の測定。")</f>
        <v>標本中のポロニウム 210 の測定。</v>
      </c>
      <c r="I4081" s="3" t="str">
        <f ca="1">IFERROR(__xludf.DUMMYFUNCTION("googletranslate(F4081,""en"",""ja"")"),"ポロニウム 210 の測定")</f>
        <v>ポロニウム 210 の測定</v>
      </c>
    </row>
    <row r="4082" spans="1:9" ht="30">
      <c r="A4082" s="3" t="s">
        <v>6</v>
      </c>
      <c r="B4082" s="3" t="s">
        <v>16846</v>
      </c>
      <c r="C4082" s="3" t="s">
        <v>16847</v>
      </c>
      <c r="D4082" s="3" t="s">
        <v>16848</v>
      </c>
      <c r="E4082" s="3" t="s">
        <v>16849</v>
      </c>
      <c r="F4082" s="3" t="s">
        <v>16850</v>
      </c>
      <c r="G4082" s="3" t="str">
        <f ca="1">IFERROR(__xludf.DUMMYFUNCTION("googletranslate(D4082,""en"",""ja"")"),"PaO2;分圧酸素; Po2; pO2")</f>
        <v>PaO2;分圧酸素; Po2; pO2</v>
      </c>
      <c r="H4082" s="3" t="str">
        <f ca="1">IFERROR(__xludf.DUMMYFUNCTION("googletranslate(E4082,""en"",""ja"")"),"生物学的標本内の酸素の圧力の測定。")</f>
        <v>生物学的標本内の酸素の圧力の測定。</v>
      </c>
      <c r="I4082" s="3" t="str">
        <f ca="1">IFERROR(__xludf.DUMMYFUNCTION("googletranslate(F4082,""en"",""ja"")"),"酸素分圧測定")</f>
        <v>酸素分圧測定</v>
      </c>
    </row>
    <row r="4083" spans="1:9" ht="45">
      <c r="A4083" s="3" t="s">
        <v>6</v>
      </c>
      <c r="B4083" s="3" t="s">
        <v>16851</v>
      </c>
      <c r="C4083" s="3" t="s">
        <v>16852</v>
      </c>
      <c r="D4083" s="3" t="s">
        <v>16852</v>
      </c>
      <c r="E4083" s="3" t="s">
        <v>16853</v>
      </c>
      <c r="F4083" s="3" t="s">
        <v>16854</v>
      </c>
      <c r="G4083" s="3" t="str">
        <f ca="1">IFERROR(__xludf.DUMMYFUNCTION("googletranslate(D4083,""en"",""ja"")"),"温度に対する酸素分圧調整")</f>
        <v>温度に対する酸素分圧調整</v>
      </c>
      <c r="H4083" s="3" t="str">
        <f ca="1">IFERROR(__xludf.DUMMYFUNCTION("googletranslate(E4083,""en"",""ja"")"),"体温に合わせて調整された生体試料内の酸素の圧力の測定。")</f>
        <v>体温に合わせて調整された生体試料内の酸素の圧力の測定。</v>
      </c>
      <c r="I4083" s="3" t="str">
        <f ca="1">IFERROR(__xludf.DUMMYFUNCTION("googletranslate(F4083,""en"",""ja"")"),"体温測定用に調整された酸素分圧")</f>
        <v>体温測定用に調整された酸素分圧</v>
      </c>
    </row>
    <row r="4084" spans="1:9" ht="60">
      <c r="A4084" s="3" t="s">
        <v>6</v>
      </c>
      <c r="B4084" s="3" t="s">
        <v>16855</v>
      </c>
      <c r="C4084" s="3" t="s">
        <v>16856</v>
      </c>
      <c r="D4084" s="3" t="s">
        <v>16857</v>
      </c>
      <c r="E4084" s="3" t="s">
        <v>16858</v>
      </c>
      <c r="F4084" s="3" t="s">
        <v>16859</v>
      </c>
      <c r="G4084" s="3" t="str">
        <f ca="1">IFERROR(__xludf.DUMMYFUNCTION("googletranslate(D4084,""en"",""ja"")"),"PAO2/FIO2; PP 動脈 O2/フラクション吸入 O2")</f>
        <v>PAO2/FIO2; PP 動脈 O2/フラクション吸入 O2</v>
      </c>
      <c r="H4084" s="3" t="str">
        <f ca="1">IFERROR(__xludf.DUMMYFUNCTION("googletranslate(E4084,""en"",""ja"")"),"吸入されたガス混合物の酸素パーセンテージに対する、動脈血に溶解している酸素の単位面積あたりの力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4084" s="3" t="str">
        <f ca="1">IFERROR(__xludf.DUMMYFUNCTION("googletranslate(F4084,""en"",""ja"")"),"動脈血酸素分圧と分数吸入酸素比の測定")</f>
        <v>動脈血酸素分圧と分数吸入酸素比の測定</v>
      </c>
    </row>
    <row r="4085" spans="1:9" ht="60">
      <c r="A4085" s="3" t="s">
        <v>490</v>
      </c>
      <c r="B4085" s="3" t="s">
        <v>16855</v>
      </c>
      <c r="C4085" s="3" t="s">
        <v>16856</v>
      </c>
      <c r="D4085" s="3" t="s">
        <v>16857</v>
      </c>
      <c r="E4085" s="3" t="s">
        <v>16858</v>
      </c>
      <c r="F4085" s="3" t="s">
        <v>16859</v>
      </c>
      <c r="G4085" s="3" t="str">
        <f ca="1">IFERROR(__xludf.DUMMYFUNCTION("googletranslate(D4085,""en"",""ja"")"),"PAO2/FIO2; PP 動脈 O2/フラクション吸入 O2")</f>
        <v>PAO2/FIO2; PP 動脈 O2/フラクション吸入 O2</v>
      </c>
      <c r="H4085" s="3" t="str">
        <f ca="1">IFERROR(__xludf.DUMMYFUNCTION("googletranslate(E4085,""en"",""ja"")"),"吸入されたガス混合物の酸素パーセンテージに対する、動脈血に溶解している酸素の単位面積あたりの力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4085" s="3" t="str">
        <f ca="1">IFERROR(__xludf.DUMMYFUNCTION("googletranslate(F4085,""en"",""ja"")"),"動脈血酸素分圧と分数吸入酸素比の測定")</f>
        <v>動脈血酸素分圧と分数吸入酸素比の測定</v>
      </c>
    </row>
    <row r="4086" spans="1:9" ht="30">
      <c r="A4086" s="3" t="s">
        <v>6</v>
      </c>
      <c r="B4086" s="3" t="s">
        <v>16860</v>
      </c>
      <c r="C4086" s="3" t="s">
        <v>16861</v>
      </c>
      <c r="D4086" s="3" t="s">
        <v>16861</v>
      </c>
      <c r="E4086" s="3" t="s">
        <v>16862</v>
      </c>
      <c r="F4086" s="3" t="s">
        <v>16863</v>
      </c>
      <c r="G4086" s="3" t="str">
        <f ca="1">IFERROR(__xludf.DUMMYFUNCTION("googletranslate(D4086,""en"",""ja"")"),"変赤血球")</f>
        <v>変赤血球</v>
      </c>
      <c r="H4086" s="3" t="str">
        <f ca="1">IFERROR(__xludf.DUMMYFUNCTION("googletranslate(E4086,""en"",""ja"")"),"全血検体中の奇妙な形の赤血球の測定。")</f>
        <v>全血検体中の奇妙な形の赤血球の測定。</v>
      </c>
      <c r="I4086" s="3" t="str">
        <f ca="1">IFERROR(__xludf.DUMMYFUNCTION("googletranslate(F4086,""en"",""ja"")"),"変赤血球の測定")</f>
        <v>変赤血球の測定</v>
      </c>
    </row>
    <row r="4087" spans="1:9" ht="45">
      <c r="A4087" s="3" t="s">
        <v>6</v>
      </c>
      <c r="B4087" s="3" t="s">
        <v>16864</v>
      </c>
      <c r="C4087" s="3" t="s">
        <v>16865</v>
      </c>
      <c r="D4087" s="3" t="s">
        <v>16865</v>
      </c>
      <c r="E4087" s="3" t="s">
        <v>16866</v>
      </c>
      <c r="F4087" s="3" t="s">
        <v>16867</v>
      </c>
      <c r="G4087" s="3" t="str">
        <f ca="1">IFERROR(__xludf.DUMMYFUNCTION("googletranslate(D4087,""en"",""ja"")"),"変性赤血球/赤血球")</f>
        <v>変性赤血球/赤血球</v>
      </c>
      <c r="H4087" s="3" t="str">
        <f ca="1">IFERROR(__xludf.DUMMYFUNCTION("googletranslate(E4087,""en"",""ja"")"),"生物学的標本中のすべての赤血球に対する多色赤血球、または不規則な形状の赤血球の相対的な測定値 (比率またはパーセンテージ)。")</f>
        <v>生物学的標本中のすべての赤血球に対する多色赤血球、または不規則な形状の赤血球の相対的な測定値 (比率またはパーセンテージ)。</v>
      </c>
      <c r="I4087" s="3" t="str">
        <f ca="1">IFERROR(__xludf.DUMMYFUNCTION("googletranslate(F4087,""en"",""ja"")"),"変赤血球と赤血球の比率の測定")</f>
        <v>変赤血球と赤血球の比率の測定</v>
      </c>
    </row>
    <row r="4088" spans="1:9" ht="30">
      <c r="A4088" s="3" t="s">
        <v>6</v>
      </c>
      <c r="B4088" s="3" t="s">
        <v>16868</v>
      </c>
      <c r="C4088" s="3" t="s">
        <v>16869</v>
      </c>
      <c r="D4088" s="3" t="s">
        <v>16869</v>
      </c>
      <c r="E4088" s="3" t="s">
        <v>16870</v>
      </c>
      <c r="F4088" s="3" t="s">
        <v>16869</v>
      </c>
      <c r="G4088" s="3" t="str">
        <f ca="1">IFERROR(__xludf.DUMMYFUNCTION("googletranslate(D4088,""en"",""ja"")"),"多色症")</f>
        <v>多色症</v>
      </c>
      <c r="H4088" s="3" t="str">
        <f ca="1">IFERROR(__xludf.DUMMYFUNCTION("googletranslate(E4088,""en"",""ja"")"),"新しく生成された赤血球の青色染色特性の測定。")</f>
        <v>新しく生成された赤血球の青色染色特性の測定。</v>
      </c>
      <c r="I4088" s="3" t="str">
        <f ca="1">IFERROR(__xludf.DUMMYFUNCTION("googletranslate(F4088,""en"",""ja"")"),"多色症")</f>
        <v>多色症</v>
      </c>
    </row>
    <row r="4089" spans="1:9" ht="30">
      <c r="A4089" s="3" t="s">
        <v>6</v>
      </c>
      <c r="B4089" s="3" t="s">
        <v>16871</v>
      </c>
      <c r="C4089" s="3" t="s">
        <v>16872</v>
      </c>
      <c r="D4089" s="3" t="s">
        <v>16872</v>
      </c>
      <c r="E4089" s="3" t="s">
        <v>16873</v>
      </c>
      <c r="F4089" s="3" t="s">
        <v>16874</v>
      </c>
      <c r="G4089" s="3" t="str">
        <f ca="1">IFERROR(__xludf.DUMMYFUNCTION("googletranslate(D4089,""en"",""ja"")"),"多染性赤芽球")</f>
        <v>多染性赤芽球</v>
      </c>
      <c r="H4089" s="3" t="str">
        <f ca="1">IFERROR(__xludf.DUMMYFUNCTION("googletranslate(E4089,""en"",""ja"")"),"ヒト以外の生物から採取した生体標本中の多染性赤芽球の測定。")</f>
        <v>ヒト以外の生物から採取した生体標本中の多染性赤芽球の測定。</v>
      </c>
      <c r="I4089" s="3" t="str">
        <f ca="1">IFERROR(__xludf.DUMMYFUNCTION("googletranslate(F4089,""en"",""ja"")"),"多染性赤芽球数")</f>
        <v>多染性赤芽球数</v>
      </c>
    </row>
    <row r="4090" spans="1:9" ht="30">
      <c r="A4090" s="3" t="s">
        <v>6</v>
      </c>
      <c r="B4090" s="3" t="s">
        <v>16875</v>
      </c>
      <c r="C4090" s="3" t="s">
        <v>16876</v>
      </c>
      <c r="D4090" s="3" t="s">
        <v>16876</v>
      </c>
      <c r="E4090" s="3" t="s">
        <v>16877</v>
      </c>
      <c r="F4090" s="3" t="s">
        <v>16878</v>
      </c>
      <c r="G4090" s="3" t="str">
        <f ca="1">IFERROR(__xludf.DUMMYFUNCTION("googletranslate(D4090,""en"",""ja"")"),"多色親和性正常芽細胞")</f>
        <v>多色親和性正常芽細胞</v>
      </c>
      <c r="H4090" s="3" t="str">
        <f ca="1">IFERROR(__xludf.DUMMYFUNCTION("googletranslate(E4090,""en"",""ja"")"),"ヒト以外の生物から採取した生物学的標本中の多色親和性正常芽細胞の測定。")</f>
        <v>ヒト以外の生物から採取した生物学的標本中の多色親和性正常芽細胞の測定。</v>
      </c>
      <c r="I4090" s="3" t="str">
        <f ca="1">IFERROR(__xludf.DUMMYFUNCTION("googletranslate(F4090,""en"",""ja"")"),"多色親和性正常芽球数")</f>
        <v>多色親和性正常芽球数</v>
      </c>
    </row>
    <row r="4091" spans="1:9" ht="90">
      <c r="A4091" s="3" t="s">
        <v>6</v>
      </c>
      <c r="B4091" s="3" t="s">
        <v>16879</v>
      </c>
      <c r="C4091" s="3" t="s">
        <v>16880</v>
      </c>
      <c r="D4091" s="3" t="s">
        <v>16881</v>
      </c>
      <c r="E4091" s="3" t="s">
        <v>16882</v>
      </c>
      <c r="F4091" s="3" t="s">
        <v>16883</v>
      </c>
      <c r="G4091" s="3" t="str">
        <f ca="1">IFERROR(__xludf.DUMMYFUNCTION("googletranslate(D4091,""en"",""ja"")"),"芳香族エステラーゼ 1;アリールエステラーゼ 1;アリールエステラーゼ B タイプ;エステラーゼA;パラオキソナーゼ 1;パラオキソナーゼ B タイプ。パラオキソナーゼ-1;ポン1")</f>
        <v>芳香族エステラーゼ 1;アリールエステラーゼ 1;アリールエステラーゼ B タイプ;エステラーゼA;パラオキソナーゼ 1;パラオキソナーゼ B タイプ。パラオキソナーゼ-1;ポン1</v>
      </c>
      <c r="H4091" s="3" t="str">
        <f ca="1">IFERROR(__xludf.DUMMYFUNCTION("googletranslate(E4091,""en"",""ja"")"),"生体試料中のパラオキソナーゼ 1 の測定。")</f>
        <v>生体試料中のパラオキソナーゼ 1 の測定。</v>
      </c>
      <c r="I4091" s="3" t="str">
        <f ca="1">IFERROR(__xludf.DUMMYFUNCTION("googletranslate(F4091,""en"",""ja"")"),"パラオキソナーゼ 1 の測定")</f>
        <v>パラオキソナーゼ 1 の測定</v>
      </c>
    </row>
    <row r="4092" spans="1:9" ht="30">
      <c r="A4092" s="3" t="s">
        <v>2904</v>
      </c>
      <c r="B4092" s="3" t="s">
        <v>16884</v>
      </c>
      <c r="C4092" s="3" t="s">
        <v>16885</v>
      </c>
      <c r="D4092" s="3" t="s">
        <v>16885</v>
      </c>
      <c r="E4092" s="3" t="s">
        <v>16886</v>
      </c>
      <c r="F4092" s="3" t="s">
        <v>16887</v>
      </c>
      <c r="G4092" s="3" t="str">
        <f ca="1">IFERROR(__xludf.DUMMYFUNCTION("googletranslate(D4092,""en"",""ja"")"),"孔径")</f>
        <v>孔径</v>
      </c>
      <c r="H4092" s="3" t="str">
        <f ca="1">IFERROR(__xludf.DUMMYFUNCTION("googletranslate(E4092,""en"",""ja"")"),"材料内の細孔の物理的寸法の定量的または定性的な測定。")</f>
        <v>材料内の細孔の物理的寸法の定量的または定性的な測定。</v>
      </c>
      <c r="I4092" s="3" t="str">
        <f ca="1">IFERROR(__xludf.DUMMYFUNCTION("googletranslate(F4092,""en"",""ja"")"),"材質の孔径")</f>
        <v>材質の孔径</v>
      </c>
    </row>
    <row r="4093" spans="1:9" ht="30">
      <c r="A4093" s="3" t="s">
        <v>6</v>
      </c>
      <c r="B4093" s="3" t="s">
        <v>16888</v>
      </c>
      <c r="C4093" s="3" t="s">
        <v>16889</v>
      </c>
      <c r="D4093" s="3" t="s">
        <v>16889</v>
      </c>
      <c r="E4093" s="3" t="s">
        <v>16890</v>
      </c>
      <c r="F4093" s="3" t="s">
        <v>16891</v>
      </c>
      <c r="G4093" s="3" t="str">
        <f ca="1">IFERROR(__xludf.DUMMYFUNCTION("googletranslate(D4093,""en"",""ja"")"),"ポルフィリン")</f>
        <v>ポルフィリン</v>
      </c>
      <c r="H4093" s="3" t="str">
        <f ca="1">IFERROR(__xludf.DUMMYFUNCTION("googletranslate(E4093,""en"",""ja"")"),"生物学的標本中の総ポルフィリンの測定。")</f>
        <v>生物学的標本中の総ポルフィリンの測定。</v>
      </c>
      <c r="I4093" s="3" t="str">
        <f ca="1">IFERROR(__xludf.DUMMYFUNCTION("googletranslate(F4093,""en"",""ja"")"),"ポルフィリン測定")</f>
        <v>ポルフィリン測定</v>
      </c>
    </row>
    <row r="4094" spans="1:9" ht="45">
      <c r="A4094" s="3" t="s">
        <v>6</v>
      </c>
      <c r="B4094" s="3" t="s">
        <v>16892</v>
      </c>
      <c r="C4094" s="3" t="s">
        <v>16893</v>
      </c>
      <c r="D4094" s="3" t="s">
        <v>16894</v>
      </c>
      <c r="E4094" s="3" t="s">
        <v>16895</v>
      </c>
      <c r="F4094" s="3" t="s">
        <v>16896</v>
      </c>
      <c r="G4094" s="3" t="str">
        <f ca="1">IFERROR(__xludf.DUMMYFUNCTION("googletranslate(D4094,""en"",""ja"")"),"ベータヒドロキシアンフェタミン;ノルエフェドリン;フェニルプロパノールアミン")</f>
        <v>ベータヒドロキシアンフェタミン;ノルエフェドリン;フェニルプロパノールアミン</v>
      </c>
      <c r="H4094" s="3" t="str">
        <f ca="1">IFERROR(__xludf.DUMMYFUNCTION("googletranslate(E4094,""en"",""ja"")"),"生物学的標本中のフェニルプロパノールアミンの測定。")</f>
        <v>生物学的標本中のフェニルプロパノールアミンの測定。</v>
      </c>
      <c r="I4094" s="3" t="str">
        <f ca="1">IFERROR(__xludf.DUMMYFUNCTION("googletranslate(F4094,""en"",""ja"")"),"フェニルプロパノールアミンの測定")</f>
        <v>フェニルプロパノールアミンの測定</v>
      </c>
    </row>
    <row r="4095" spans="1:9" ht="60">
      <c r="A4095" s="3" t="s">
        <v>985</v>
      </c>
      <c r="B4095" s="3" t="s">
        <v>16897</v>
      </c>
      <c r="C4095" s="3" t="s">
        <v>16898</v>
      </c>
      <c r="D4095" s="3" t="s">
        <v>16898</v>
      </c>
      <c r="E4095" s="3" t="s">
        <v>16899</v>
      </c>
      <c r="F4095" s="3" t="s">
        <v>16900</v>
      </c>
      <c r="G4095" s="3" t="str">
        <f ca="1">IFERROR(__xludf.DUMMYFUNCTION("googletranslate(D4095,""en"",""ja"")"),"PP 間隔、集計")</f>
        <v>PP 間隔、集計</v>
      </c>
      <c r="H4095" s="3" t="str">
        <f ca="1">IFERROR(__xludf.DUMMYFUNCTION("googletranslate(E4095,""en"",""ja"")"),"単一の ECG 内の複数の拍動からの PP 間隔の測定に基づく合計 PP 値。集計方法はさまざまですが、通常は平均などの中心傾向の尺度です。")</f>
        <v>単一の ECG 内の複数の拍動からの PP 間隔の測定に基づく合計 PP 値。集計方法はさまざまですが、通常は平均などの中心傾向の尺度です。</v>
      </c>
      <c r="I4095" s="3" t="str">
        <f ca="1">IFERROR(__xludf.DUMMYFUNCTION("googletranslate(F4095,""en"",""ja"")"),"集約 PP 間隔")</f>
        <v>集約 PP 間隔</v>
      </c>
    </row>
    <row r="4096" spans="1:9" ht="30">
      <c r="A4096" s="3" t="s">
        <v>210</v>
      </c>
      <c r="B4096" s="3" t="s">
        <v>16901</v>
      </c>
      <c r="C4096" s="3" t="s">
        <v>16902</v>
      </c>
      <c r="D4096" s="3" t="s">
        <v>16903</v>
      </c>
      <c r="E4096" s="3" t="s">
        <v>16904</v>
      </c>
      <c r="F4096" s="3" t="s">
        <v>16902</v>
      </c>
      <c r="G4096" s="3" t="str">
        <f ca="1">IFERROR(__xludf.DUMMYFUNCTION("googletranslate(D4096,""en"",""ja"")"),"PPD;垂直直径の積")</f>
        <v>PPD;垂直直径の積</v>
      </c>
      <c r="H4096" s="3" t="str">
        <f ca="1">IFERROR(__xludf.DUMMYFUNCTION("googletranslate(E4096,""en"",""ja"")"),"最長直径に最長垂直直径を掛けたもの。")</f>
        <v>最長直径に最長垂直直径を掛けたもの。</v>
      </c>
      <c r="I4096" s="3" t="str">
        <f ca="1">IFERROR(__xludf.DUMMYFUNCTION("googletranslate(F4096,""en"",""ja"")"),"垂直直径の積")</f>
        <v>垂直直径の積</v>
      </c>
    </row>
    <row r="4097" spans="1:9" ht="30">
      <c r="A4097" s="3" t="s">
        <v>6</v>
      </c>
      <c r="B4097" s="3" t="s">
        <v>16905</v>
      </c>
      <c r="C4097" s="3" t="s">
        <v>16906</v>
      </c>
      <c r="D4097" s="3" t="s">
        <v>16906</v>
      </c>
      <c r="E4097" s="3" t="s">
        <v>16907</v>
      </c>
      <c r="F4097" s="3" t="s">
        <v>16908</v>
      </c>
      <c r="G4097" s="3" t="str">
        <f ca="1">IFERROR(__xludf.DUMMYFUNCTION("googletranslate(D4097,""en"",""ja"")"),"無機ピロリン酸塩")</f>
        <v>無機ピロリン酸塩</v>
      </c>
      <c r="H4097" s="3" t="str">
        <f ca="1">IFERROR(__xludf.DUMMYFUNCTION("googletranslate(E4097,""en"",""ja"")"),"生物学的標本中の無機ピロリン酸の測定。")</f>
        <v>生物学的標本中の無機ピロリン酸の測定。</v>
      </c>
      <c r="I4097" s="3" t="str">
        <f ca="1">IFERROR(__xludf.DUMMYFUNCTION("googletranslate(F4097,""en"",""ja"")"),"無機ピロリン酸の測定")</f>
        <v>無機ピロリン酸の測定</v>
      </c>
    </row>
    <row r="4098" spans="1:9" ht="45">
      <c r="A4098" s="3" t="s">
        <v>6</v>
      </c>
      <c r="B4098" s="3" t="s">
        <v>16909</v>
      </c>
      <c r="C4098" s="3" t="s">
        <v>16910</v>
      </c>
      <c r="D4098" s="3" t="s">
        <v>16911</v>
      </c>
      <c r="E4098" s="3" t="s">
        <v>16912</v>
      </c>
      <c r="F4098" s="3" t="s">
        <v>16913</v>
      </c>
      <c r="G4098" s="3" t="str">
        <f ca="1">IFERROR(__xludf.DUMMYFUNCTION("googletranslate(D4098,""en"",""ja"")"),"シクロフィリンA;サイパ;ペプチジルプロリルイソメラーゼA;ロタマーゼA")</f>
        <v>シクロフィリンA;サイパ;ペプチジルプロリルイソメラーゼA;ロタマーゼA</v>
      </c>
      <c r="H4098" s="3" t="str">
        <f ca="1">IFERROR(__xludf.DUMMYFUNCTION("googletranslate(E4098,""en"",""ja"")"),"生物学的標本中のペプチジルプロリルイソメラーゼ A の測定。")</f>
        <v>生物学的標本中のペプチジルプロリルイソメラーゼ A の測定。</v>
      </c>
      <c r="I4098" s="3" t="str">
        <f ca="1">IFERROR(__xludf.DUMMYFUNCTION("googletranslate(F4098,""en"",""ja"")"),"ペプチジルプロリルイソメラーゼAの測定")</f>
        <v>ペプチジルプロリルイソメラーゼAの測定</v>
      </c>
    </row>
    <row r="4099" spans="1:9" ht="30">
      <c r="A4099" s="3" t="s">
        <v>503</v>
      </c>
      <c r="B4099" s="3" t="s">
        <v>16914</v>
      </c>
      <c r="C4099" s="3" t="s">
        <v>16915</v>
      </c>
      <c r="D4099" s="3" t="s">
        <v>16915</v>
      </c>
      <c r="E4099" s="3" t="s">
        <v>16916</v>
      </c>
      <c r="F4099" s="3" t="s">
        <v>16915</v>
      </c>
      <c r="G4099" s="3" t="str">
        <f ca="1">IFERROR(__xludf.DUMMYFUNCTION("googletranslate(D4099,""en"",""ja"")"),"世帯人数")</f>
        <v>世帯人数</v>
      </c>
      <c r="H4099" s="3" t="str">
        <f ca="1">IFERROR(__xludf.DUMMYFUNCTION("googletranslate(E4099,""en"",""ja"")"),"世帯に居住する人の総数。")</f>
        <v>世帯に居住する人の総数。</v>
      </c>
      <c r="I4099" s="3" t="str">
        <f ca="1">IFERROR(__xludf.DUMMYFUNCTION("googletranslate(F4099,""en"",""ja"")"),"世帯人数")</f>
        <v>世帯人数</v>
      </c>
    </row>
    <row r="4100" spans="1:9">
      <c r="A4100" s="3" t="s">
        <v>81</v>
      </c>
      <c r="B4100" s="3" t="s">
        <v>16917</v>
      </c>
      <c r="C4100" s="3" t="s">
        <v>16918</v>
      </c>
      <c r="D4100" s="3" t="s">
        <v>16918</v>
      </c>
      <c r="E4100" s="3" t="s">
        <v>16919</v>
      </c>
      <c r="F4100" s="3" t="s">
        <v>16918</v>
      </c>
      <c r="G4100" s="3" t="str">
        <f ca="1">IFERROR(__xludf.DUMMYFUNCTION("googletranslate(D4100,""en"",""ja"")"),"ピーク圧力上昇率")</f>
        <v>ピーク圧力上昇率</v>
      </c>
      <c r="H4100" s="3" t="str">
        <f ca="1">IFERROR(__xludf.DUMMYFUNCTION("googletranslate(E4100,""en"",""ja"")"),"ピーク圧力の最大増加率。")</f>
        <v>ピーク圧力の最大増加率。</v>
      </c>
      <c r="I4100" s="3" t="str">
        <f ca="1">IFERROR(__xludf.DUMMYFUNCTION("googletranslate(F4100,""en"",""ja"")"),"ピーク圧力上昇率")</f>
        <v>ピーク圧力上昇率</v>
      </c>
    </row>
    <row r="4101" spans="1:9" ht="30">
      <c r="A4101" s="3" t="s">
        <v>142</v>
      </c>
      <c r="B4101" s="3" t="s">
        <v>16920</v>
      </c>
      <c r="C4101" s="3" t="s">
        <v>16921</v>
      </c>
      <c r="D4101" s="3" t="s">
        <v>16921</v>
      </c>
      <c r="E4101" s="3" t="s">
        <v>16922</v>
      </c>
      <c r="F4101" s="3" t="s">
        <v>16921</v>
      </c>
      <c r="G4101" s="3" t="str">
        <f ca="1">IFERROR(__xludf.DUMMYFUNCTION("googletranslate(D4101,""en"",""ja"")"),"産後の指標")</f>
        <v>産後の指標</v>
      </c>
      <c r="H4101" s="3" t="str">
        <f ca="1">IFERROR(__xludf.DUMMYFUNCTION("googletranslate(E4101,""en"",""ja"")"),"対象者が妊娠および出産後の回復段階にあるかどうかの指標。")</f>
        <v>対象者が妊娠および出産後の回復段階にあるかどうかの指標。</v>
      </c>
      <c r="I4101" s="3" t="str">
        <f ca="1">IFERROR(__xludf.DUMMYFUNCTION("googletranslate(F4101,""en"",""ja"")"),"産後の指標")</f>
        <v>産後の指標</v>
      </c>
    </row>
    <row r="4102" spans="1:9" ht="30">
      <c r="A4102" s="3" t="s">
        <v>985</v>
      </c>
      <c r="B4102" s="3" t="s">
        <v>16923</v>
      </c>
      <c r="C4102" s="3" t="s">
        <v>16924</v>
      </c>
      <c r="D4102" s="3" t="s">
        <v>16924</v>
      </c>
      <c r="E4102" s="3" t="s">
        <v>16925</v>
      </c>
      <c r="F4102" s="3" t="s">
        <v>16926</v>
      </c>
      <c r="G4102" s="3" t="str">
        <f ca="1">IFERROR(__xludf.DUMMYFUNCTION("googletranslate(D4102,""en"",""ja"")"),"PP 間隔、単一測定")</f>
        <v>PP 間隔、単一測定</v>
      </c>
      <c r="H4102" s="3" t="str">
        <f ca="1">IFERROR(__xludf.DUMMYFUNCTION("googletranslate(E4102,""en"",""ja"")"),"2 つの連続する P 波の開始間隔の心電図測定。")</f>
        <v>2 つの連続する P 波の開始間隔の心電図測定。</v>
      </c>
      <c r="I4102" s="3" t="str">
        <f ca="1">IFERROR(__xludf.DUMMYFUNCTION("googletranslate(F4102,""en"",""ja"")"),"単一測定 PP 間隔")</f>
        <v>単一測定 PP 間隔</v>
      </c>
    </row>
    <row r="4103" spans="1:9" ht="45">
      <c r="A4103" s="3" t="s">
        <v>6</v>
      </c>
      <c r="B4103" s="3" t="s">
        <v>16927</v>
      </c>
      <c r="C4103" s="3" t="s">
        <v>16928</v>
      </c>
      <c r="D4103" s="3" t="s">
        <v>16928</v>
      </c>
      <c r="E4103" s="3" t="s">
        <v>16929</v>
      </c>
      <c r="F4103" s="3" t="s">
        <v>16930</v>
      </c>
      <c r="G4103" s="3" t="str">
        <f ca="1">IFERROR(__xludf.DUMMYFUNCTION("googletranslate(D4103,""en"",""ja"")"),"ホスファチジルコリン/アルブミン")</f>
        <v>ホスファチジルコリン/アルブミン</v>
      </c>
      <c r="H4103" s="3" t="str">
        <f ca="1">IFERROR(__xludf.DUMMYFUNCTION("googletranslate(E4103,""en"",""ja"")"),"生物学的標本中のアルブミンに対するホスファチジルコリンの相対測定値 (比率またはパーセンテージ)。")</f>
        <v>生物学的標本中のアルブミンに対するホスファチジルコリンの相対測定値 (比率またはパーセンテージ)。</v>
      </c>
      <c r="I4103" s="3" t="str">
        <f ca="1">IFERROR(__xludf.DUMMYFUNCTION("googletranslate(F4103,""en"",""ja"")"),"ホスファチジルコリンとアルブミンの比率の測定")</f>
        <v>ホスファチジルコリンとアルブミンの比率の測定</v>
      </c>
    </row>
    <row r="4104" spans="1:9" ht="30">
      <c r="A4104" s="3" t="s">
        <v>6</v>
      </c>
      <c r="B4104" s="3" t="s">
        <v>16931</v>
      </c>
      <c r="C4104" s="3" t="s">
        <v>16932</v>
      </c>
      <c r="D4104" s="3" t="s">
        <v>16933</v>
      </c>
      <c r="E4104" s="3" t="s">
        <v>16934</v>
      </c>
      <c r="F4104" s="3" t="s">
        <v>16935</v>
      </c>
      <c r="G4104" s="3" t="str">
        <f ca="1">IFERROR(__xludf.DUMMYFUNCTION("googletranslate(D4104,""en"",""ja"")"),"PEth;ホスファチジルエタノール")</f>
        <v>PEth;ホスファチジルエタノール</v>
      </c>
      <c r="H4104" s="3" t="str">
        <f ca="1">IFERROR(__xludf.DUMMYFUNCTION("googletranslate(E4104,""en"",""ja"")"),"生物学的標本中の総ホスファチジルエタノールの測定。")</f>
        <v>生物学的標本中の総ホスファチジルエタノールの測定。</v>
      </c>
      <c r="I4104" s="3" t="str">
        <f ca="1">IFERROR(__xludf.DUMMYFUNCTION("googletranslate(F4104,""en"",""ja"")"),"ホスファチジルエタノールの測定")</f>
        <v>ホスファチジルエタノールの測定</v>
      </c>
    </row>
    <row r="4105" spans="1:9" ht="30">
      <c r="A4105" s="3" t="s">
        <v>185</v>
      </c>
      <c r="B4105" s="3" t="s">
        <v>16936</v>
      </c>
      <c r="C4105" s="3" t="s">
        <v>16937</v>
      </c>
      <c r="D4105" s="3" t="s">
        <v>16937</v>
      </c>
      <c r="E4105" s="3" t="s">
        <v>16938</v>
      </c>
      <c r="F4105" s="3" t="s">
        <v>16937</v>
      </c>
      <c r="G4105" s="3" t="str">
        <f ca="1">IFERROR(__xludf.DUMMYFUNCTION("googletranslate(D4105,""en"",""ja"")"),"沈殿因子")</f>
        <v>沈殿因子</v>
      </c>
      <c r="H4105" s="3" t="str">
        <f ca="1">IFERROR(__xludf.DUMMYFUNCTION("googletranslate(E4105,""en"",""ja"")"),"発生を引き起こす、または発生のきっかけとなる要因。")</f>
        <v>発生を引き起こす、または発生のきっかけとなる要因。</v>
      </c>
      <c r="I4105" s="3" t="str">
        <f ca="1">IFERROR(__xludf.DUMMYFUNCTION("googletranslate(F4105,""en"",""ja"")"),"沈殿因子")</f>
        <v>沈殿因子</v>
      </c>
    </row>
    <row r="4106" spans="1:9" ht="75">
      <c r="A4106" s="3" t="s">
        <v>180</v>
      </c>
      <c r="B4106" s="3" t="s">
        <v>16939</v>
      </c>
      <c r="C4106" s="3" t="s">
        <v>16940</v>
      </c>
      <c r="D4106" s="3" t="s">
        <v>16941</v>
      </c>
      <c r="E4106" s="3" t="s">
        <v>16942</v>
      </c>
      <c r="F4106" s="3" t="s">
        <v>16943</v>
      </c>
      <c r="G4106" s="3" t="str">
        <f ca="1">IFERROR(__xludf.DUMMYFUNCTION("googletranslate(D4106,""en"",""ja"")"),"パネル反応性抗体;反応性抗体のパーセント; PRA スコア")</f>
        <v>パネル反応性抗体;反応性抗体のパーセント; PRA スコア</v>
      </c>
      <c r="H4106" s="3" t="str">
        <f ca="1">IFERROR(__xludf.DUMMYFUNCTION("googletranslate(E4106,""en"",""ja"")"),"レシピエントの免疫細胞とドナーのヒト白血球抗原とを混合して反応性を評価することによって達成されるパネル反応性抗体の測定。抗 HLA クラス I およびクラス II 抗体の特異性が測定されます。")</f>
        <v>レシピエントの免疫細胞とドナーのヒト白血球抗原とを混合して反応性を評価することによって達成されるパネル反応性抗体の測定。抗 HLA クラス I およびクラス II 抗体の特異性が測定されます。</v>
      </c>
      <c r="I4106" s="3" t="str">
        <f ca="1">IFERROR(__xludf.DUMMYFUNCTION("googletranslate(F4106,""en"",""ja"")"),"パネル反応性抗体検査")</f>
        <v>パネル反応性抗体検査</v>
      </c>
    </row>
    <row r="4107" spans="1:9" ht="75">
      <c r="A4107" s="3" t="s">
        <v>180</v>
      </c>
      <c r="B4107" s="3" t="s">
        <v>16944</v>
      </c>
      <c r="C4107" s="3" t="s">
        <v>16945</v>
      </c>
      <c r="D4107" s="3" t="s">
        <v>16945</v>
      </c>
      <c r="E4107" s="3" t="s">
        <v>16946</v>
      </c>
      <c r="F4107" s="3" t="s">
        <v>16947</v>
      </c>
      <c r="G4107" s="3" t="str">
        <f ca="1">IFERROR(__xludf.DUMMYFUNCTION("googletranslate(D4107,""en"",""ja"")"),"計算されたパネル反応性抗体")</f>
        <v>計算されたパネル反応性抗体</v>
      </c>
      <c r="H4107" s="3" t="str">
        <f ca="1">IFERROR(__xludf.DUMMYFUNCTION("googletranslate(E4107,""en"",""ja"")"),"計算されたパネル反応性抗体の測定。臓器レシピエントが感作されている許容できない HLA 抗原の数/種類に基づき、レシピエントの感作レベルをアルゴリズム的に推定します。 C")</f>
        <v>計算されたパネル反応性抗体の測定。臓器レシピエントが感作されている許容できない HLA 抗原の数/種類に基づき、レシピエントの感作レベルをアルゴリズム的に推定します。 C</v>
      </c>
      <c r="I4107" s="3" t="str">
        <f ca="1">IFERROR(__xludf.DUMMYFUNCTION("googletranslate(F4107,""en"",""ja"")"),"計算されたパネル反応性抗体測定")</f>
        <v>計算されたパネル反応性抗体測定</v>
      </c>
    </row>
    <row r="4108" spans="1:9" ht="60">
      <c r="A4108" s="3" t="s">
        <v>985</v>
      </c>
      <c r="B4108" s="3" t="s">
        <v>16948</v>
      </c>
      <c r="C4108" s="3" t="s">
        <v>16949</v>
      </c>
      <c r="D4108" s="3" t="s">
        <v>16950</v>
      </c>
      <c r="E4108" s="3" t="s">
        <v>16951</v>
      </c>
      <c r="F4108" s="3" t="s">
        <v>16952</v>
      </c>
      <c r="G4108" s="3" t="str">
        <f ca="1">IFERROR(__xludf.DUMMYFUNCTION("googletranslate(D4108,""en"",""ja"")"),"PQ 間隔、集計。 PQAG; PR 間隔、集計")</f>
        <v>PQ 間隔、集計。 PQAG; PR 間隔、集計</v>
      </c>
      <c r="H4108" s="3" t="str">
        <f ca="1">IFERROR(__xludf.DUMMYFUNCTION("googletranslate(E4108,""en"",""ja"")"),"単一の ECG 内の複数の拍動からの PR 間隔の測定に基づく集計 PR 値。集計方法はさまざまですが、通常は平均などの中心傾向の尺度です。")</f>
        <v>単一の ECG 内の複数の拍動からの PR 間隔の測定に基づく集計 PR 値。集計方法はさまざまですが、通常は平均などの中心傾向の尺度です。</v>
      </c>
      <c r="I4108" s="3" t="str">
        <f ca="1">IFERROR(__xludf.DUMMYFUNCTION("googletranslate(F4108,""en"",""ja"")"),"集約 PR 間隔")</f>
        <v>集約 PR 間隔</v>
      </c>
    </row>
    <row r="4109" spans="1:9" ht="30">
      <c r="A4109" s="3" t="s">
        <v>6</v>
      </c>
      <c r="B4109" s="3" t="s">
        <v>16953</v>
      </c>
      <c r="C4109" s="3" t="s">
        <v>16954</v>
      </c>
      <c r="D4109" s="3" t="s">
        <v>16954</v>
      </c>
      <c r="E4109" s="3" t="s">
        <v>16955</v>
      </c>
      <c r="F4109" s="3" t="s">
        <v>16956</v>
      </c>
      <c r="G4109" s="3" t="str">
        <f ca="1">IFERROR(__xludf.DUMMYFUNCTION("googletranslate(D4109,""en"",""ja"")"),"前立腺循環腫瘍細胞")</f>
        <v>前立腺循環腫瘍細胞</v>
      </c>
      <c r="H4109" s="3" t="str">
        <f ca="1">IFERROR(__xludf.DUMMYFUNCTION("googletranslate(E4109,""en"",""ja"")"),"生物学的標本中の前立腺循環腫瘍細胞の測定。")</f>
        <v>生物学的標本中の前立腺循環腫瘍細胞の測定。</v>
      </c>
      <c r="I4109" s="3" t="str">
        <f ca="1">IFERROR(__xludf.DUMMYFUNCTION("googletranslate(F4109,""en"",""ja"")"),"循環前立腺腫瘍細胞数")</f>
        <v>循環前立腺腫瘍細胞数</v>
      </c>
    </row>
    <row r="4110" spans="1:9" ht="30">
      <c r="A4110" s="3" t="s">
        <v>103</v>
      </c>
      <c r="B4110" s="3" t="s">
        <v>16953</v>
      </c>
      <c r="C4110" s="3" t="s">
        <v>16954</v>
      </c>
      <c r="D4110" s="3" t="s">
        <v>16954</v>
      </c>
      <c r="E4110" s="3" t="s">
        <v>16955</v>
      </c>
      <c r="F4110" s="3" t="s">
        <v>16956</v>
      </c>
      <c r="G4110" s="3" t="str">
        <f ca="1">IFERROR(__xludf.DUMMYFUNCTION("googletranslate(D4110,""en"",""ja"")"),"前立腺循環腫瘍細胞")</f>
        <v>前立腺循環腫瘍細胞</v>
      </c>
      <c r="H4110" s="3" t="str">
        <f ca="1">IFERROR(__xludf.DUMMYFUNCTION("googletranslate(E4110,""en"",""ja"")"),"生物学的標本中の前立腺循環腫瘍細胞の測定。")</f>
        <v>生物学的標本中の前立腺循環腫瘍細胞の測定。</v>
      </c>
      <c r="I4110" s="3" t="str">
        <f ca="1">IFERROR(__xludf.DUMMYFUNCTION("googletranslate(F4110,""en"",""ja"")"),"循環前立腺腫瘍細胞数")</f>
        <v>循環前立腺腫瘍細胞数</v>
      </c>
    </row>
    <row r="4111" spans="1:9" ht="45">
      <c r="A4111" s="3" t="s">
        <v>142</v>
      </c>
      <c r="B4111" s="3" t="s">
        <v>16957</v>
      </c>
      <c r="C4111" s="3" t="s">
        <v>16958</v>
      </c>
      <c r="D4111" s="3" t="s">
        <v>16959</v>
      </c>
      <c r="E4111" s="3" t="s">
        <v>16960</v>
      </c>
      <c r="F4111" s="3" t="s">
        <v>16961</v>
      </c>
      <c r="G4111" s="3" t="str">
        <f ca="1">IFERROR(__xludf.DUMMYFUNCTION("googletranslate(D4111,""en"",""ja"")"),"概念検査済みの製品。構想検討済み指標の製品")</f>
        <v>概念検査済みの製品。構想検討済み指標の製品</v>
      </c>
      <c r="H4111" s="3" t="str">
        <f ca="1">IFERROR(__xludf.DUMMYFUNCTION("googletranslate(E4111,""en"",""ja"")"),"概念の産物が検査されたかどうかに関する指標。")</f>
        <v>概念の産物が検査されたかどうかに関する指標。</v>
      </c>
      <c r="I4111" s="3" t="str">
        <f ca="1">IFERROR(__xludf.DUMMYFUNCTION("googletranslate(F4111,""en"",""ja"")"),"構想検討済み指標の製品")</f>
        <v>構想検討済み指標の製品</v>
      </c>
    </row>
    <row r="4112" spans="1:9" ht="30">
      <c r="A4112" s="3" t="s">
        <v>67</v>
      </c>
      <c r="B4112" s="3" t="s">
        <v>16962</v>
      </c>
      <c r="C4112" s="3" t="s">
        <v>16963</v>
      </c>
      <c r="D4112" s="3" t="s">
        <v>16963</v>
      </c>
      <c r="E4112" s="3" t="s">
        <v>16964</v>
      </c>
      <c r="F4112" s="3" t="s">
        <v>16965</v>
      </c>
      <c r="G4112" s="3" t="str">
        <f ca="1">IFERROR(__xludf.DUMMYFUNCTION("googletranslate(D4112,""en"",""ja"")"),"プロビデンシア・レットゲリ")</f>
        <v>プロビデンシア・レットゲリ</v>
      </c>
      <c r="H4112" s="3" t="str">
        <f ca="1">IFERROR(__xludf.DUMMYFUNCTION("googletranslate(E4112,""en"",""ja"")"),"生物学的標本におけるプロビデンシア・レットゲリの測定。")</f>
        <v>生物学的標本におけるプロビデンシア・レットゲリの測定。</v>
      </c>
      <c r="I4112" s="3" t="str">
        <f ca="1">IFERROR(__xludf.DUMMYFUNCTION("googletranslate(F4112,""en"",""ja"")"),"プロビデンシア・レットゲリの測定")</f>
        <v>プロビデンシア・レットゲリの測定</v>
      </c>
    </row>
    <row r="4113" spans="1:9" ht="45">
      <c r="A4113" s="3" t="s">
        <v>6</v>
      </c>
      <c r="B4113" s="3" t="s">
        <v>16966</v>
      </c>
      <c r="C4113" s="3" t="s">
        <v>16967</v>
      </c>
      <c r="D4113" s="3" t="s">
        <v>16968</v>
      </c>
      <c r="E4113" s="3" t="s">
        <v>16969</v>
      </c>
      <c r="F4113" s="3" t="s">
        <v>16970</v>
      </c>
      <c r="G4113" s="3" t="str">
        <f ca="1">IFERROR(__xludf.DUMMYFUNCTION("googletranslate(D4113,""en"",""ja"")"),"プレアルブミン;チロキシン結合プレアルブミン。トランスサイレチン")</f>
        <v>プレアルブミン;チロキシン結合プレアルブミン。トランスサイレチン</v>
      </c>
      <c r="H4113" s="3" t="str">
        <f ca="1">IFERROR(__xludf.DUMMYFUNCTION("googletranslate(E4113,""en"",""ja"")"),"生物学的標本中のプレアルブミンの測定。")</f>
        <v>生物学的標本中のプレアルブミンの測定。</v>
      </c>
      <c r="I4113" s="3" t="str">
        <f ca="1">IFERROR(__xludf.DUMMYFUNCTION("googletranslate(F4113,""en"",""ja"")"),"プレアルブミンの測定")</f>
        <v>プレアルブミンの測定</v>
      </c>
    </row>
    <row r="4114" spans="1:9">
      <c r="A4114" s="3" t="s">
        <v>6</v>
      </c>
      <c r="B4114" s="3" t="s">
        <v>16971</v>
      </c>
      <c r="C4114" s="3" t="s">
        <v>16972</v>
      </c>
      <c r="D4114" s="3" t="s">
        <v>16972</v>
      </c>
      <c r="E4114" s="3" t="s">
        <v>16973</v>
      </c>
      <c r="F4114" s="3" t="s">
        <v>16974</v>
      </c>
      <c r="G4114" s="3" t="str">
        <f ca="1">IFERROR(__xludf.DUMMYFUNCTION("googletranslate(D4114,""en"",""ja"")"),"プレガバリン")</f>
        <v>プレガバリン</v>
      </c>
      <c r="H4114" s="3" t="str">
        <f ca="1">IFERROR(__xludf.DUMMYFUNCTION("googletranslate(E4114,""en"",""ja"")"),"生物学的標本中のプレガバリンの測定。")</f>
        <v>生物学的標本中のプレガバリンの測定。</v>
      </c>
      <c r="I4114" s="3" t="str">
        <f ca="1">IFERROR(__xludf.DUMMYFUNCTION("googletranslate(F4114,""en"",""ja"")"),"プレガバリンの測定")</f>
        <v>プレガバリンの測定</v>
      </c>
    </row>
    <row r="4115" spans="1:9" ht="30">
      <c r="A4115" s="3" t="s">
        <v>142</v>
      </c>
      <c r="B4115" s="3" t="s">
        <v>16975</v>
      </c>
      <c r="C4115" s="3" t="s">
        <v>16976</v>
      </c>
      <c r="D4115" s="3" t="s">
        <v>16976</v>
      </c>
      <c r="E4115" s="3" t="s">
        <v>16977</v>
      </c>
      <c r="F4115" s="3" t="s">
        <v>16978</v>
      </c>
      <c r="G4115" s="3" t="str">
        <f ca="1">IFERROR(__xludf.DUMMYFUNCTION("googletranslate(D4115,""en"",""ja"")"),"妊娠インジケーター")</f>
        <v>妊娠インジケーター</v>
      </c>
      <c r="H4115" s="3" t="str">
        <f ca="1">IFERROR(__xludf.DUMMYFUNCTION("googletranslate(E4115,""en"",""ja"")"),"質問の時点で対象者また​​は関係者が妊娠しているかどうかに関する指標。")</f>
        <v>質問の時点で対象者また​​は関係者が妊娠しているかどうかに関する指標。</v>
      </c>
      <c r="I4115" s="3" t="str">
        <f ca="1">IFERROR(__xludf.DUMMYFUNCTION("googletranslate(F4115,""en"",""ja"")"),"妊娠インジケーター")</f>
        <v>妊娠インジケーター</v>
      </c>
    </row>
    <row r="4116" spans="1:9" ht="30">
      <c r="A4116" s="3" t="s">
        <v>142</v>
      </c>
      <c r="B4116" s="3" t="s">
        <v>16979</v>
      </c>
      <c r="C4116" s="3" t="s">
        <v>16980</v>
      </c>
      <c r="D4116" s="3" t="s">
        <v>16980</v>
      </c>
      <c r="E4116" s="3" t="s">
        <v>16981</v>
      </c>
      <c r="F4116" s="3" t="s">
        <v>16980</v>
      </c>
      <c r="G4116" s="3" t="str">
        <f ca="1">IFERROR(__xludf.DUMMYFUNCTION("googletranslate(D4116,""en"",""ja"")"),"妊娠数")</f>
        <v>妊娠数</v>
      </c>
      <c r="H4116" s="3" t="str">
        <f ca="1">IFERROR(__xludf.DUMMYFUNCTION("googletranslate(E4116,""en"",""ja"")"),"女性が経験した妊娠イベントの総数の測定値。")</f>
        <v>女性が経験した妊娠イベントの総数の測定値。</v>
      </c>
      <c r="I4116" s="3" t="str">
        <f ca="1">IFERROR(__xludf.DUMMYFUNCTION("googletranslate(F4116,""en"",""ja"")"),"妊娠数")</f>
        <v>妊娠数</v>
      </c>
    </row>
    <row r="4117" spans="1:9" ht="30">
      <c r="A4117" s="3" t="s">
        <v>142</v>
      </c>
      <c r="B4117" s="3" t="s">
        <v>16982</v>
      </c>
      <c r="C4117" s="3" t="s">
        <v>16983</v>
      </c>
      <c r="D4117" s="3" t="s">
        <v>16983</v>
      </c>
      <c r="E4117" s="3" t="s">
        <v>16984</v>
      </c>
      <c r="F4117" s="3" t="s">
        <v>16983</v>
      </c>
      <c r="G4117" s="3" t="str">
        <f ca="1">IFERROR(__xludf.DUMMYFUNCTION("googletranslate(D4117,""en"",""ja"")"),"研究中に妊娠した")</f>
        <v>研究中に妊娠した</v>
      </c>
      <c r="H4117" s="3" t="str">
        <f ca="1">IFERROR(__xludf.DUMMYFUNCTION("googletranslate(E4117,""en"",""ja"")"),"研究期間中に女性が妊娠しているかどうかを示す指標。 (NCI)")</f>
        <v>研究期間中に女性が妊娠しているかどうかを示す指標。 (NCI)</v>
      </c>
      <c r="I4117" s="3" t="str">
        <f ca="1">IFERROR(__xludf.DUMMYFUNCTION("googletranslate(F4117,""en"",""ja"")"),"研究中に妊娠した")</f>
        <v>研究中に妊娠した</v>
      </c>
    </row>
    <row r="4118" spans="1:9" ht="30">
      <c r="A4118" s="3" t="s">
        <v>503</v>
      </c>
      <c r="B4118" s="3" t="s">
        <v>16985</v>
      </c>
      <c r="C4118" s="3" t="s">
        <v>16986</v>
      </c>
      <c r="D4118" s="3" t="s">
        <v>16986</v>
      </c>
      <c r="E4118" s="3" t="s">
        <v>16987</v>
      </c>
      <c r="F4118" s="3" t="s">
        <v>16986</v>
      </c>
      <c r="G4118" s="3" t="str">
        <f ca="1">IFERROR(__xludf.DUMMYFUNCTION("googletranslate(D4118,""en"",""ja"")"),"早産指標")</f>
        <v>早産指標</v>
      </c>
      <c r="H4118" s="3" t="str">
        <f ca="1">IFERROR(__xludf.DUMMYFUNCTION("googletranslate(E4118,""en"",""ja"")"),"被験者が妊娠 37 週 0 日より前に生まれたかどうかの指標。")</f>
        <v>被験者が妊娠 37 週 0 日より前に生まれたかどうかの指標。</v>
      </c>
      <c r="I4118" s="3" t="str">
        <f ca="1">IFERROR(__xludf.DUMMYFUNCTION("googletranslate(F4118,""en"",""ja"")"),"早産指標")</f>
        <v>早産指標</v>
      </c>
    </row>
    <row r="4119" spans="1:9" ht="45">
      <c r="A4119" s="3" t="s">
        <v>142</v>
      </c>
      <c r="B4119" s="3" t="s">
        <v>16988</v>
      </c>
      <c r="C4119" s="3" t="s">
        <v>16989</v>
      </c>
      <c r="D4119" s="3" t="s">
        <v>16989</v>
      </c>
      <c r="E4119" s="3" t="s">
        <v>16990</v>
      </c>
      <c r="F4119" s="3" t="s">
        <v>16989</v>
      </c>
      <c r="G4119" s="3" t="str">
        <f ca="1">IFERROR(__xludf.DUMMYFUNCTION("googletranslate(D4119,""en"",""ja"")"),"早産数")</f>
        <v>早産数</v>
      </c>
      <c r="H4119" s="3" t="str">
        <f ca="1">IFERROR(__xludf.DUMMYFUNCTION("googletranslate(E4119,""en"",""ja"")"),"新生児の在胎週数が 37 週 0 日未満である出産イベント (生死の両方) の総数の測定値。")</f>
        <v>新生児の在胎週数が 37 週 0 日未満である出産イベント (生死の両方) の総数の測定値。</v>
      </c>
      <c r="I4119" s="3" t="str">
        <f ca="1">IFERROR(__xludf.DUMMYFUNCTION("googletranslate(F4119,""en"",""ja"")"),"早産数")</f>
        <v>早産数</v>
      </c>
    </row>
    <row r="4120" spans="1:9">
      <c r="A4120" s="3" t="s">
        <v>6418</v>
      </c>
      <c r="B4120" s="3" t="s">
        <v>16991</v>
      </c>
      <c r="C4120" s="3" t="s">
        <v>16992</v>
      </c>
      <c r="D4120" s="3" t="s">
        <v>16992</v>
      </c>
      <c r="E4120" s="3" t="s">
        <v>16993</v>
      </c>
      <c r="F4120" s="3" t="s">
        <v>16992</v>
      </c>
      <c r="G4120" s="3" t="str">
        <f ca="1">IFERROR(__xludf.DUMMYFUNCTION("googletranslate(D4120,""en"",""ja"")"),"準備量")</f>
        <v>準備量</v>
      </c>
      <c r="H4120" s="3" t="str">
        <f ca="1">IFERROR(__xludf.DUMMYFUNCTION("googletranslate(E4120,""en"",""ja"")"),"すぐに使用できるようになった製品の数量。")</f>
        <v>すぐに使用できるようになった製品の数量。</v>
      </c>
      <c r="I4120" s="3" t="str">
        <f ca="1">IFERROR(__xludf.DUMMYFUNCTION("googletranslate(F4120,""en"",""ja"")"),"準備量")</f>
        <v>準備量</v>
      </c>
    </row>
    <row r="4121" spans="1:9">
      <c r="A4121" s="3" t="s">
        <v>185</v>
      </c>
      <c r="B4121" s="3" t="s">
        <v>16991</v>
      </c>
      <c r="C4121" s="3" t="s">
        <v>16992</v>
      </c>
      <c r="D4121" s="3" t="s">
        <v>16992</v>
      </c>
      <c r="E4121" s="3" t="s">
        <v>16993</v>
      </c>
      <c r="F4121" s="3" t="s">
        <v>16992</v>
      </c>
      <c r="G4121" s="3" t="str">
        <f ca="1">IFERROR(__xludf.DUMMYFUNCTION("googletranslate(D4121,""en"",""ja"")"),"準備量")</f>
        <v>準備量</v>
      </c>
      <c r="H4121" s="3" t="str">
        <f ca="1">IFERROR(__xludf.DUMMYFUNCTION("googletranslate(E4121,""en"",""ja"")"),"すぐに使用できるようになった製品の数量。")</f>
        <v>すぐに使用できるようになった製品の数量。</v>
      </c>
      <c r="I4121" s="3" t="str">
        <f ca="1">IFERROR(__xludf.DUMMYFUNCTION("googletranslate(F4121,""en"",""ja"")"),"準備量")</f>
        <v>準備量</v>
      </c>
    </row>
    <row r="4122" spans="1:9" ht="30">
      <c r="A4122" s="3" t="s">
        <v>81</v>
      </c>
      <c r="B4122" s="3" t="s">
        <v>16994</v>
      </c>
      <c r="C4122" s="3" t="s">
        <v>16995</v>
      </c>
      <c r="D4122" s="3" t="s">
        <v>16995</v>
      </c>
      <c r="E4122" s="3" t="s">
        <v>16996</v>
      </c>
      <c r="F4122" s="3" t="s">
        <v>16995</v>
      </c>
      <c r="G4122" s="3" t="str">
        <f ca="1">IFERROR(__xludf.DUMMYFUNCTION("googletranslate(D4122,""en"",""ja"")"),"圧力ハーフタイム")</f>
        <v>圧力ハーフタイム</v>
      </c>
      <c r="H4122" s="3" t="str">
        <f ca="1">IFERROR(__xludf.DUMMYFUNCTION("googletranslate(E4122,""en"",""ja"")"),"ピーク弁間圧勾配が値の半分に減少するまでに必要な時間。")</f>
        <v>ピーク弁間圧勾配が値の半分に減少するまでに必要な時間。</v>
      </c>
      <c r="I4122" s="3" t="str">
        <f ca="1">IFERROR(__xludf.DUMMYFUNCTION("googletranslate(F4122,""en"",""ja"")"),"圧力ハーフタイム")</f>
        <v>圧力ハーフタイム</v>
      </c>
    </row>
    <row r="4123" spans="1:9">
      <c r="A4123" s="3" t="s">
        <v>142</v>
      </c>
      <c r="B4123" s="3" t="s">
        <v>16997</v>
      </c>
      <c r="C4123" s="3" t="s">
        <v>16998</v>
      </c>
      <c r="D4123" s="3" t="s">
        <v>16998</v>
      </c>
      <c r="E4123" s="3" t="s">
        <v>16999</v>
      </c>
      <c r="F4123" s="3" t="s">
        <v>17000</v>
      </c>
      <c r="G4123" s="3" t="str">
        <f ca="1">IFERROR(__xludf.DUMMYFUNCTION("googletranslate(D4123,""en"",""ja"")"),"妊娠が終了した日")</f>
        <v>妊娠が終了した日</v>
      </c>
      <c r="H4123" s="3" t="str">
        <f ca="1">IFERROR(__xludf.DUMMYFUNCTION("googletranslate(E4123,""en"",""ja"")"),"妊娠が終了した日。")</f>
        <v>妊娠が終了した日。</v>
      </c>
      <c r="I4123" s="3" t="str">
        <f ca="1">IFERROR(__xludf.DUMMYFUNCTION("googletranslate(F4123,""en"",""ja"")"),"妊娠終了日")</f>
        <v>妊娠終了日</v>
      </c>
    </row>
    <row r="4124" spans="1:9" ht="60">
      <c r="A4124" s="3" t="s">
        <v>81</v>
      </c>
      <c r="B4124" s="3" t="s">
        <v>17001</v>
      </c>
      <c r="C4124" s="3" t="s">
        <v>17002</v>
      </c>
      <c r="D4124" s="3" t="s">
        <v>17003</v>
      </c>
      <c r="E4124" s="3" t="s">
        <v>17004</v>
      </c>
      <c r="F4124" s="3" t="s">
        <v>17005</v>
      </c>
      <c r="G4124" s="3" t="str">
        <f ca="1">IFERROR(__xludf.DUMMYFUNCTION("googletranslate(D4124,""en"",""ja"")"),"肺循環ジェット幅 RVOT 直径 Rt;肺逆流ジェット幅と右心室流出路直径の比")</f>
        <v>肺循環ジェット幅 RVOT 直径 Rt;肺逆流ジェット幅と右心室流出路直径の比</v>
      </c>
      <c r="H4124" s="3" t="str">
        <f ca="1">IFERROR(__xludf.DUMMYFUNCTION("googletranslate(E4124,""en"",""ja"")"),"右心室流出路 (RVOT) 直径に対する肺逆流ジェット幅の相対測定値 (比)。")</f>
        <v>右心室流出路 (RVOT) 直径に対する肺逆流ジェット幅の相対測定値 (比)。</v>
      </c>
      <c r="I4124" s="3" t="str">
        <f ca="1">IFERROR(__xludf.DUMMYFUNCTION("googletranslate(F4124,""en"",""ja"")"),"肺逆流ジェット幅と右心室流出路直径の比")</f>
        <v>肺逆流ジェット幅と右心室流出路直径の比</v>
      </c>
    </row>
    <row r="4125" spans="1:9">
      <c r="A4125" s="3" t="s">
        <v>6</v>
      </c>
      <c r="B4125" s="3" t="s">
        <v>17006</v>
      </c>
      <c r="C4125" s="3" t="s">
        <v>17007</v>
      </c>
      <c r="D4125" s="3" t="s">
        <v>17007</v>
      </c>
      <c r="E4125" s="3" t="s">
        <v>17008</v>
      </c>
      <c r="F4125" s="3" t="s">
        <v>17009</v>
      </c>
      <c r="G4125" s="3" t="str">
        <f ca="1">IFERROR(__xludf.DUMMYFUNCTION("googletranslate(D4125,""en"",""ja"")"),"プレグネノロン")</f>
        <v>プレグネノロン</v>
      </c>
      <c r="H4125" s="3" t="str">
        <f ca="1">IFERROR(__xludf.DUMMYFUNCTION("googletranslate(E4125,""en"",""ja"")"),"生物学的標本中のプレグネノロンの測定。")</f>
        <v>生物学的標本中のプレグネノロンの測定。</v>
      </c>
      <c r="I4125" s="3" t="str">
        <f ca="1">IFERROR(__xludf.DUMMYFUNCTION("googletranslate(F4125,""en"",""ja"")"),"プレグネノロンの測定")</f>
        <v>プレグネノロンの測定</v>
      </c>
    </row>
    <row r="4126" spans="1:9">
      <c r="A4126" s="3" t="s">
        <v>6</v>
      </c>
      <c r="B4126" s="3" t="s">
        <v>17010</v>
      </c>
      <c r="C4126" s="3" t="s">
        <v>17011</v>
      </c>
      <c r="D4126" s="3" t="s">
        <v>17011</v>
      </c>
      <c r="E4126" s="3" t="s">
        <v>17012</v>
      </c>
      <c r="F4126" s="3" t="s">
        <v>17013</v>
      </c>
      <c r="G4126" s="3" t="str">
        <f ca="1">IFERROR(__xludf.DUMMYFUNCTION("googletranslate(D4126,""en"",""ja"")"),"プレグナンジオール")</f>
        <v>プレグナンジオール</v>
      </c>
      <c r="H4126" s="3" t="str">
        <f ca="1">IFERROR(__xludf.DUMMYFUNCTION("googletranslate(E4126,""en"",""ja"")"),"生物学的標本中のプレグナンジオールの測定。")</f>
        <v>生物学的標本中のプレグナンジオールの測定。</v>
      </c>
      <c r="I4126" s="3" t="str">
        <f ca="1">IFERROR(__xludf.DUMMYFUNCTION("googletranslate(F4126,""en"",""ja"")"),"プレグナンジオールの測定")</f>
        <v>プレグナンジオールの測定</v>
      </c>
    </row>
    <row r="4127" spans="1:9">
      <c r="A4127" s="3" t="s">
        <v>142</v>
      </c>
      <c r="B4127" s="3" t="s">
        <v>17014</v>
      </c>
      <c r="C4127" s="3" t="s">
        <v>17015</v>
      </c>
      <c r="D4127" s="3" t="s">
        <v>17015</v>
      </c>
      <c r="E4127" s="3" t="s">
        <v>17016</v>
      </c>
      <c r="F4127" s="3" t="s">
        <v>17015</v>
      </c>
      <c r="G4127" s="3" t="str">
        <f ca="1">IFERROR(__xludf.DUMMYFUNCTION("googletranslate(D4127,""en"",""ja"")"),"妊娠の結果")</f>
        <v>妊娠の結果</v>
      </c>
      <c r="H4127" s="3" t="str">
        <f ca="1">IFERROR(__xludf.DUMMYFUNCTION("googletranslate(E4127,""en"",""ja"")"),"妊娠の最終結果。")</f>
        <v>妊娠の最終結果。</v>
      </c>
      <c r="I4127" s="3" t="str">
        <f ca="1">IFERROR(__xludf.DUMMYFUNCTION("googletranslate(F4127,""en"",""ja"")"),"妊娠の結果")</f>
        <v>妊娠の結果</v>
      </c>
    </row>
    <row r="4128" spans="1:9" ht="30">
      <c r="A4128" s="3" t="s">
        <v>503</v>
      </c>
      <c r="B4128" s="3" t="s">
        <v>17017</v>
      </c>
      <c r="C4128" s="3" t="s">
        <v>17018</v>
      </c>
      <c r="D4128" s="3" t="s">
        <v>17018</v>
      </c>
      <c r="E4128" s="3" t="s">
        <v>17019</v>
      </c>
      <c r="F4128" s="3" t="s">
        <v>17018</v>
      </c>
      <c r="G4128" s="3" t="str">
        <f ca="1">IFERROR(__xludf.DUMMYFUNCTION("googletranslate(D4128,""en"",""ja"")"),"病気の連絡先の優先順位")</f>
        <v>病気の連絡先の優先順位</v>
      </c>
      <c r="H4128" s="3" t="str">
        <f ca="1">IFERROR(__xludf.DUMMYFUNCTION("googletranslate(E4128,""en"",""ja"")"),"特定の病気に罹患する可能性があるかどうかにかかわらず、個人を分類すること。")</f>
        <v>特定の病気に罹患する可能性があるかどうかにかかわらず、個人を分類すること。</v>
      </c>
      <c r="I4128" s="3" t="str">
        <f ca="1">IFERROR(__xludf.DUMMYFUNCTION("googletranslate(F4128,""en"",""ja"")"),"病気の連絡先の優先順位")</f>
        <v>病気の連絡先の優先順位</v>
      </c>
    </row>
    <row r="4129" spans="1:9" ht="30">
      <c r="A4129" s="3" t="s">
        <v>6</v>
      </c>
      <c r="B4129" s="3" t="s">
        <v>17020</v>
      </c>
      <c r="C4129" s="3" t="s">
        <v>17021</v>
      </c>
      <c r="D4129" s="3" t="s">
        <v>17021</v>
      </c>
      <c r="E4129" s="3" t="s">
        <v>17022</v>
      </c>
      <c r="F4129" s="3" t="s">
        <v>17023</v>
      </c>
      <c r="G4129" s="3" t="str">
        <f ca="1">IFERROR(__xludf.DUMMYFUNCTION("googletranslate(D4129,""en"",""ja"")"),"プロインスリン/インスリン比")</f>
        <v>プロインスリン/インスリン比</v>
      </c>
      <c r="H4129" s="3" t="str">
        <f ca="1">IFERROR(__xludf.DUMMYFUNCTION("googletranslate(E4129,""en"",""ja"")"),"生物学的標本中のインスリンに対するプロインスリンの相対測定値 (比率またはパーセンテージ)。")</f>
        <v>生物学的標本中のインスリンに対するプロインスリンの相対測定値 (比率またはパーセンテージ)。</v>
      </c>
      <c r="I4129" s="3" t="str">
        <f ca="1">IFERROR(__xludf.DUMMYFUNCTION("googletranslate(F4129,""en"",""ja"")"),"プロインスリン対インスリン比の測定")</f>
        <v>プロインスリン対インスリン比の測定</v>
      </c>
    </row>
    <row r="4130" spans="1:9" ht="30">
      <c r="A4130" s="3" t="s">
        <v>6</v>
      </c>
      <c r="B4130" s="3" t="s">
        <v>17024</v>
      </c>
      <c r="C4130" s="3" t="s">
        <v>17025</v>
      </c>
      <c r="D4130" s="3" t="s">
        <v>17025</v>
      </c>
      <c r="E4130" s="3" t="s">
        <v>17026</v>
      </c>
      <c r="F4130" s="3" t="s">
        <v>17027</v>
      </c>
      <c r="G4130" s="3" t="str">
        <f ca="1">IFERROR(__xludf.DUMMYFUNCTION("googletranslate(D4130,""en"",""ja"")"),"前リンパ球/白血球")</f>
        <v>前リンパ球/白血球</v>
      </c>
      <c r="H4130" s="3" t="str">
        <f ca="1">IFERROR(__xludf.DUMMYFUNCTION("googletranslate(E4130,""en"",""ja"")"),"生物学的標本における白血球に対する前リンパ球の相対的な測定値 (比率またはパーセンテージ)。")</f>
        <v>生物学的標本における白血球に対する前リンパ球の相対的な測定値 (比率またはパーセンテージ)。</v>
      </c>
      <c r="I4130" s="3" t="str">
        <f ca="1">IFERROR(__xludf.DUMMYFUNCTION("googletranslate(F4130,""en"",""ja"")"),"前リンパ球と白血球の比率")</f>
        <v>前リンパ球と白血球の比率</v>
      </c>
    </row>
    <row r="4131" spans="1:9" ht="75">
      <c r="A4131" s="3" t="s">
        <v>985</v>
      </c>
      <c r="B4131" s="3" t="s">
        <v>17028</v>
      </c>
      <c r="C4131" s="3" t="s">
        <v>17029</v>
      </c>
      <c r="D4131" s="3" t="s">
        <v>17029</v>
      </c>
      <c r="E4131" s="3" t="s">
        <v>17030</v>
      </c>
      <c r="F4131" s="3" t="s">
        <v>17031</v>
      </c>
      <c r="G4131" s="3" t="str">
        <f ca="1">IFERROR(__xludf.DUMMYFUNCTION("googletranslate(D4131,""en"",""ja"")"),"概要 (最大) PR 期間")</f>
        <v>概要 (最大) PR 期間</v>
      </c>
      <c r="H4131" s="3" t="str">
        <f ca="1">IFERROR(__xludf.DUMMYFUNCTION("googletranslate(E4131,""en"",""ja"")"),"PR 間隔の一連の測定値から取得される、PR 間隔の最大継続時間 (時間)。 PR 間隔は、P 波の始まり (心房脱分極の開始を表す) から R 波の始まりまでの時間として定義されます。")</f>
        <v>PR 間隔の一連の測定値から取得される、PR 間隔の最大継続時間 (時間)。 PR 間隔は、P 波の始まり (心房脱分極の開始を表す) から R 波の始まりまでの時間として定義されます。</v>
      </c>
      <c r="I4131" s="3" t="str">
        <f ca="1">IFERROR(__xludf.DUMMYFUNCTION("googletranslate(F4131,""en"",""ja"")"),"最大 PR 期間")</f>
        <v>最大 PR 期間</v>
      </c>
    </row>
    <row r="4132" spans="1:9" ht="75">
      <c r="A4132" s="3" t="s">
        <v>985</v>
      </c>
      <c r="B4132" s="3" t="s">
        <v>17032</v>
      </c>
      <c r="C4132" s="3" t="s">
        <v>17033</v>
      </c>
      <c r="D4132" s="3" t="s">
        <v>17033</v>
      </c>
      <c r="E4132" s="3" t="s">
        <v>17034</v>
      </c>
      <c r="F4132" s="3" t="s">
        <v>17035</v>
      </c>
      <c r="G4132" s="3" t="str">
        <f ca="1">IFERROR(__xludf.DUMMYFUNCTION("googletranslate(D4132,""en"",""ja"")"),"概要 (分) PR 期間")</f>
        <v>概要 (分) PR 期間</v>
      </c>
      <c r="H4132" s="3" t="str">
        <f ca="1">IFERROR(__xludf.DUMMYFUNCTION("googletranslate(E4132,""en"",""ja"")"),"PR 間隔の最小継続時間 (時間)。PR 間隔の一連の測定値から取得されます。 PR 間隔は、P 波の始まり (心房脱分極の開始を表す) から R 波の始まりまでの時間として定義されます。")</f>
        <v>PR 間隔の最小継続時間 (時間)。PR 間隔の一連の測定値から取得されます。 PR 間隔は、P 波の始まり (心房脱分極の開始を表す) から R 波の始まりまでの時間として定義されます。</v>
      </c>
      <c r="I4132" s="3" t="str">
        <f ca="1">IFERROR(__xludf.DUMMYFUNCTION("googletranslate(F4132,""en"",""ja"")"),"最小 PR 期間")</f>
        <v>最小 PR 期間</v>
      </c>
    </row>
    <row r="4133" spans="1:9">
      <c r="A4133" s="3" t="s">
        <v>6</v>
      </c>
      <c r="B4133" s="3" t="s">
        <v>17036</v>
      </c>
      <c r="C4133" s="3" t="s">
        <v>17037</v>
      </c>
      <c r="D4133" s="3" t="s">
        <v>17037</v>
      </c>
      <c r="E4133" s="3" t="s">
        <v>17038</v>
      </c>
      <c r="F4133" s="3" t="s">
        <v>17039</v>
      </c>
      <c r="G4133" s="3" t="str">
        <f ca="1">IFERROR(__xludf.DUMMYFUNCTION("googletranslate(D4133,""en"",""ja"")"),"ペランパネル")</f>
        <v>ペランパネル</v>
      </c>
      <c r="H4133" s="3" t="str">
        <f ca="1">IFERROR(__xludf.DUMMYFUNCTION("googletranslate(E4133,""en"",""ja"")"),"生物学的標本のペランパネルの測定。")</f>
        <v>生物学的標本のペランパネルの測定。</v>
      </c>
      <c r="I4133" s="3" t="str">
        <f ca="1">IFERROR(__xludf.DUMMYFUNCTION("googletranslate(F4133,""en"",""ja"")"),"ペランパネル測定")</f>
        <v>ペランパネル測定</v>
      </c>
    </row>
    <row r="4134" spans="1:9">
      <c r="A4134" s="3" t="s">
        <v>6</v>
      </c>
      <c r="B4134" s="3" t="s">
        <v>17040</v>
      </c>
      <c r="C4134" s="3" t="s">
        <v>17041</v>
      </c>
      <c r="D4134" s="3" t="s">
        <v>17041</v>
      </c>
      <c r="E4134" s="3" t="s">
        <v>17042</v>
      </c>
      <c r="F4134" s="3" t="s">
        <v>17043</v>
      </c>
      <c r="G4134" s="3" t="str">
        <f ca="1">IFERROR(__xludf.DUMMYFUNCTION("googletranslate(D4134,""en"",""ja"")"),"プロリン")</f>
        <v>プロリン</v>
      </c>
      <c r="H4134" s="3" t="str">
        <f ca="1">IFERROR(__xludf.DUMMYFUNCTION("googletranslate(E4134,""en"",""ja"")"),"生物学的標本中のプロリンの測定。")</f>
        <v>生物学的標本中のプロリンの測定。</v>
      </c>
      <c r="I4134" s="3" t="str">
        <f ca="1">IFERROR(__xludf.DUMMYFUNCTION("googletranslate(F4134,""en"",""ja"")"),"プロリンの測定")</f>
        <v>プロリンの測定</v>
      </c>
    </row>
    <row r="4135" spans="1:9" ht="75">
      <c r="A4135" s="3" t="s">
        <v>6</v>
      </c>
      <c r="B4135" s="3" t="s">
        <v>17044</v>
      </c>
      <c r="C4135" s="3" t="s">
        <v>17045</v>
      </c>
      <c r="D4135" s="3" t="s">
        <v>17046</v>
      </c>
      <c r="E4135" s="3" t="s">
        <v>17047</v>
      </c>
      <c r="F4135" s="3" t="s">
        <v>17048</v>
      </c>
      <c r="G4135" s="3" t="str">
        <f ca="1">IFERROR(__xludf.DUMMYFUNCTION("googletranslate(D4135,""en"",""ja"")"),"サイトゾルアミノペプチダーゼ V;プロリンアミノペプチダーゼ;プロリンイミノペプチダーゼ;プロリルアミノペプチダーゼ")</f>
        <v>サイトゾルアミノペプチダーゼ V;プロリンアミノペプチダーゼ;プロリンイミノペプチダーゼ;プロリルアミノペプチダーゼ</v>
      </c>
      <c r="H4135" s="3" t="str">
        <f ca="1">IFERROR(__xludf.DUMMYFUNCTION("googletranslate(E4135,""en"",""ja"")"),"生物学的標本中のプロリンアミノペプチダーゼの測定。")</f>
        <v>生物学的標本中のプロリンアミノペプチダーゼの測定。</v>
      </c>
      <c r="I4135" s="3" t="str">
        <f ca="1">IFERROR(__xludf.DUMMYFUNCTION("googletranslate(F4135,""en"",""ja"")"),"プロリンアミノペプチダーゼの測定")</f>
        <v>プロリンアミノペプチダーゼの測定</v>
      </c>
    </row>
    <row r="4136" spans="1:9" ht="90">
      <c r="A4136" s="3" t="s">
        <v>6</v>
      </c>
      <c r="B4136" s="3" t="s">
        <v>17049</v>
      </c>
      <c r="C4136" s="3" t="s">
        <v>17050</v>
      </c>
      <c r="D4136" s="3" t="s">
        <v>17051</v>
      </c>
      <c r="E4136" s="3" t="s">
        <v>17052</v>
      </c>
      <c r="F4136" s="3" t="s">
        <v>17053</v>
      </c>
      <c r="G4136" s="3" t="str">
        <f ca="1">IFERROR(__xludf.DUMMYFUNCTION("googletranslate(D4136,""en"",""ja"")"),"アルファ 3 VI 型コラーゲン鎖の C 末端プロペプチド。 6a3 型コラーゲンの C 末端プロペプチド。 VIa3 型コラーゲンの C 末端プロペプチド。エンドトロフィン;プロC6")</f>
        <v>アルファ 3 VI 型コラーゲン鎖の C 末端プロペプチド。 6a3 型コラーゲンの C 末端プロペプチド。 VIa3 型コラーゲンの C 末端プロペプチド。エンドトロフィン;プロC6</v>
      </c>
      <c r="H4136" s="3" t="str">
        <f ca="1">IFERROR(__xludf.DUMMYFUNCTION("googletranslate(E4136,""en"",""ja"")"),"生体試料中の VIa3 型コラーゲン (プロ C6) の C 末端プロペプチドの測定。")</f>
        <v>生体試料中の VIa3 型コラーゲン (プロ C6) の C 末端プロペプチドの測定。</v>
      </c>
      <c r="I4136" s="3" t="str">
        <f ca="1">IFERROR(__xludf.DUMMYFUNCTION("googletranslate(F4136,""en"",""ja"")"),"Pro-C6測定")</f>
        <v>Pro-C6測定</v>
      </c>
    </row>
    <row r="4137" spans="1:9" ht="30">
      <c r="A4137" s="3" t="s">
        <v>185</v>
      </c>
      <c r="B4137" s="3" t="s">
        <v>17054</v>
      </c>
      <c r="C4137" s="3" t="s">
        <v>17055</v>
      </c>
      <c r="D4137" s="3" t="s">
        <v>17055</v>
      </c>
      <c r="E4137" s="3" t="s">
        <v>17056</v>
      </c>
      <c r="F4137" s="3" t="s">
        <v>17055</v>
      </c>
      <c r="G4137" s="3" t="str">
        <f ca="1">IFERROR(__xludf.DUMMYFUNCTION("googletranslate(D4137,""en"",""ja"")"),"実施された手続きの数")</f>
        <v>実施された手続きの数</v>
      </c>
      <c r="H4137" s="3" t="str">
        <f ca="1">IFERROR(__xludf.DUMMYFUNCTION("googletranslate(E4137,""en"",""ja"")"),"個人に対して、または個人内で実行された処置の数。")</f>
        <v>個人に対して、または個人内で実行された処置の数。</v>
      </c>
      <c r="I4137" s="3" t="str">
        <f ca="1">IFERROR(__xludf.DUMMYFUNCTION("googletranslate(F4137,""en"",""ja"")"),"実施された手続きの数")</f>
        <v>実施された手続きの数</v>
      </c>
    </row>
    <row r="4138" spans="1:9">
      <c r="A4138" s="3" t="s">
        <v>6</v>
      </c>
      <c r="B4138" s="3" t="s">
        <v>17057</v>
      </c>
      <c r="C4138" s="3" t="s">
        <v>17058</v>
      </c>
      <c r="D4138" s="3" t="s">
        <v>17058</v>
      </c>
      <c r="E4138" s="3" t="s">
        <v>17059</v>
      </c>
      <c r="F4138" s="3" t="s">
        <v>17060</v>
      </c>
      <c r="G4138" s="3" t="str">
        <f ca="1">IFERROR(__xludf.DUMMYFUNCTION("googletranslate(D4138,""en"",""ja"")"),"アルファプロジン")</f>
        <v>アルファプロジン</v>
      </c>
      <c r="H4138" s="3" t="str">
        <f ca="1">IFERROR(__xludf.DUMMYFUNCTION("googletranslate(E4138,""en"",""ja"")"),"生物学的標本中のアルファプロジンの測定。")</f>
        <v>生物学的標本中のアルファプロジンの測定。</v>
      </c>
      <c r="I4138" s="3" t="str">
        <f ca="1">IFERROR(__xludf.DUMMYFUNCTION("googletranslate(F4138,""en"",""ja"")"),"アルファプロジンの測定")</f>
        <v>アルファプロジンの測定</v>
      </c>
    </row>
    <row r="4139" spans="1:9" ht="30">
      <c r="A4139" s="3" t="s">
        <v>6</v>
      </c>
      <c r="B4139" s="3" t="s">
        <v>17061</v>
      </c>
      <c r="C4139" s="3" t="s">
        <v>17062</v>
      </c>
      <c r="D4139" s="3" t="s">
        <v>17062</v>
      </c>
      <c r="E4139" s="3" t="s">
        <v>17063</v>
      </c>
      <c r="F4139" s="3" t="s">
        <v>17064</v>
      </c>
      <c r="G4139" s="3" t="str">
        <f ca="1">IFERROR(__xludf.DUMMYFUNCTION("googletranslate(D4139,""en"",""ja"")"),"プロゲステロン")</f>
        <v>プロゲステロン</v>
      </c>
      <c r="H4139" s="3" t="str">
        <f ca="1">IFERROR(__xludf.DUMMYFUNCTION("googletranslate(E4139,""en"",""ja"")"),"生物学的標本中のプロゲステロン ホルモンの測定。")</f>
        <v>生物学的標本中のプロゲステロン ホルモンの測定。</v>
      </c>
      <c r="I4139" s="3" t="str">
        <f ca="1">IFERROR(__xludf.DUMMYFUNCTION("googletranslate(F4139,""en"",""ja"")"),"プロゲステロン測定")</f>
        <v>プロゲステロン測定</v>
      </c>
    </row>
    <row r="4140" spans="1:9" ht="30">
      <c r="A4140" s="3" t="s">
        <v>6</v>
      </c>
      <c r="B4140" s="3" t="s">
        <v>17065</v>
      </c>
      <c r="C4140" s="3" t="s">
        <v>17066</v>
      </c>
      <c r="D4140" s="3" t="s">
        <v>17067</v>
      </c>
      <c r="E4140" s="3" t="s">
        <v>17068</v>
      </c>
      <c r="F4140" s="3" t="s">
        <v>17069</v>
      </c>
      <c r="G4140" s="3" t="str">
        <f ca="1">IFERROR(__xludf.DUMMYFUNCTION("googletranslate(D4140,""en"",""ja"")"),"NR3C3; PGR; PgR; PR;プロゲステロン受容体")</f>
        <v>NR3C3; PGR; PgR; PR;プロゲステロン受容体</v>
      </c>
      <c r="H4140" s="3" t="str">
        <f ca="1">IFERROR(__xludf.DUMMYFUNCTION("googletranslate(E4140,""en"",""ja"")"),"生物学的標本中のプロゲステロン受容体タンパク質の測定。")</f>
        <v>生物学的標本中のプロゲステロン受容体タンパク質の測定。</v>
      </c>
      <c r="I4140" s="3" t="str">
        <f ca="1">IFERROR(__xludf.DUMMYFUNCTION("googletranslate(F4140,""en"",""ja"")"),"プロゲステロン受容体の測定")</f>
        <v>プロゲステロン受容体の測定</v>
      </c>
    </row>
    <row r="4141" spans="1:9" ht="30">
      <c r="A4141" s="3" t="s">
        <v>6</v>
      </c>
      <c r="B4141" s="3" t="s">
        <v>17070</v>
      </c>
      <c r="C4141" s="3" t="s">
        <v>17071</v>
      </c>
      <c r="D4141" s="3" t="s">
        <v>17072</v>
      </c>
      <c r="E4141" s="3" t="s">
        <v>17073</v>
      </c>
      <c r="F4141" s="3" t="s">
        <v>17074</v>
      </c>
      <c r="G4141" s="3" t="str">
        <f ca="1">IFERROR(__xludf.DUMMYFUNCTION("googletranslate(D4141,""en"",""ja"")"),"プロガストリン放出ペプチド;プロGRP")</f>
        <v>プロガストリン放出ペプチド;プロGRP</v>
      </c>
      <c r="H4141" s="3" t="str">
        <f ca="1">IFERROR(__xludf.DUMMYFUNCTION("googletranslate(E4141,""en"",""ja"")"),"生物学的標本中のプロガストリン放出ペプチドの測定。")</f>
        <v>生物学的標本中のプロガストリン放出ペプチドの測定。</v>
      </c>
      <c r="I4141" s="3" t="str">
        <f ca="1">IFERROR(__xludf.DUMMYFUNCTION("googletranslate(F4141,""en"",""ja"")"),"プロガストリン放出ペプチドの測定")</f>
        <v>プロガストリン放出ペプチドの測定</v>
      </c>
    </row>
    <row r="4142" spans="1:9">
      <c r="A4142" s="3" t="s">
        <v>6</v>
      </c>
      <c r="B4142" s="3" t="s">
        <v>17075</v>
      </c>
      <c r="C4142" s="3" t="s">
        <v>17076</v>
      </c>
      <c r="D4142" s="3" t="s">
        <v>17076</v>
      </c>
      <c r="E4142" s="3" t="s">
        <v>17077</v>
      </c>
      <c r="F4142" s="3" t="s">
        <v>17078</v>
      </c>
      <c r="G4142" s="3" t="str">
        <f ca="1">IFERROR(__xludf.DUMMYFUNCTION("googletranslate(D4142,""en"",""ja"")"),"プロインスリン")</f>
        <v>プロインスリン</v>
      </c>
      <c r="H4142" s="3" t="str">
        <f ca="1">IFERROR(__xludf.DUMMYFUNCTION("googletranslate(E4142,""en"",""ja"")"),"生物学的標本中のプロインスリンの測定。")</f>
        <v>生物学的標本中のプロインスリンの測定。</v>
      </c>
      <c r="I4142" s="3" t="str">
        <f ca="1">IFERROR(__xludf.DUMMYFUNCTION("googletranslate(F4142,""en"",""ja"")"),"プロインスリンの測定")</f>
        <v>プロインスリンの測定</v>
      </c>
    </row>
    <row r="4143" spans="1:9" ht="30">
      <c r="A4143" s="3" t="s">
        <v>6</v>
      </c>
      <c r="B4143" s="3" t="s">
        <v>17079</v>
      </c>
      <c r="C4143" s="3" t="s">
        <v>17080</v>
      </c>
      <c r="D4143" s="3" t="s">
        <v>17080</v>
      </c>
      <c r="E4143" s="3" t="s">
        <v>17081</v>
      </c>
      <c r="F4143" s="3" t="s">
        <v>17082</v>
      </c>
      <c r="G4143" s="3" t="str">
        <f ca="1">IFERROR(__xludf.DUMMYFUNCTION("googletranslate(D4143,""en"",""ja"")"),"プロラクチン")</f>
        <v>プロラクチン</v>
      </c>
      <c r="H4143" s="3" t="str">
        <f ca="1">IFERROR(__xludf.DUMMYFUNCTION("googletranslate(E4143,""en"",""ja"")"),"生物学的標本中のプロラクチン ホルモンの測定。")</f>
        <v>生物学的標本中のプロラクチン ホルモンの測定。</v>
      </c>
      <c r="I4143" s="3" t="str">
        <f ca="1">IFERROR(__xludf.DUMMYFUNCTION("googletranslate(F4143,""en"",""ja"")"),"プロラクチン測定")</f>
        <v>プロラクチン測定</v>
      </c>
    </row>
    <row r="4144" spans="1:9" ht="30">
      <c r="A4144" s="3" t="s">
        <v>6</v>
      </c>
      <c r="B4144" s="3" t="s">
        <v>17083</v>
      </c>
      <c r="C4144" s="3" t="s">
        <v>17084</v>
      </c>
      <c r="D4144" s="3" t="s">
        <v>17084</v>
      </c>
      <c r="E4144" s="3" t="s">
        <v>17085</v>
      </c>
      <c r="F4144" s="3" t="s">
        <v>17086</v>
      </c>
      <c r="G4144" s="3" t="str">
        <f ca="1">IFERROR(__xludf.DUMMYFUNCTION("googletranslate(D4144,""en"",""ja"")"),"前リンパ球")</f>
        <v>前リンパ球</v>
      </c>
      <c r="H4144" s="3" t="str">
        <f ca="1">IFERROR(__xludf.DUMMYFUNCTION("googletranslate(E4144,""en"",""ja"")"),"生物学的標本の前リンパ球の測定。")</f>
        <v>生物学的標本の前リンパ球の測定。</v>
      </c>
      <c r="I4144" s="3" t="str">
        <f ca="1">IFERROR(__xludf.DUMMYFUNCTION("googletranslate(F4144,""en"",""ja"")"),"前リンパ球数")</f>
        <v>前リンパ球数</v>
      </c>
    </row>
    <row r="4145" spans="1:9" ht="45">
      <c r="A4145" s="3" t="s">
        <v>6</v>
      </c>
      <c r="B4145" s="3" t="s">
        <v>17087</v>
      </c>
      <c r="C4145" s="3" t="s">
        <v>17088</v>
      </c>
      <c r="D4145" s="3" t="s">
        <v>17088</v>
      </c>
      <c r="E4145" s="3" t="s">
        <v>17089</v>
      </c>
      <c r="F4145" s="3" t="s">
        <v>17090</v>
      </c>
      <c r="G4145" s="3" t="str">
        <f ca="1">IFERROR(__xludf.DUMMYFUNCTION("googletranslate(D4145,""en"",""ja"")"),"前リンパ球/リンパ球")</f>
        <v>前リンパ球/リンパ球</v>
      </c>
      <c r="H4145" s="3" t="str">
        <f ca="1">IFERROR(__xludf.DUMMYFUNCTION("googletranslate(E4145,""en"",""ja"")"),"生物学的標本中のすべてのリンパ球に対する前リンパ球の相対的な測定値 (比率またはパーセンテージ)。")</f>
        <v>生物学的標本中のすべてのリンパ球に対する前リンパ球の相対的な測定値 (比率またはパーセンテージ)。</v>
      </c>
      <c r="I4145" s="3" t="str">
        <f ca="1">IFERROR(__xludf.DUMMYFUNCTION("googletranslate(F4145,""en"",""ja"")"),"前リンパ球対リンパ球比の測定")</f>
        <v>前リンパ球対リンパ球比の測定</v>
      </c>
    </row>
    <row r="4146" spans="1:9" ht="45">
      <c r="A4146" s="3" t="s">
        <v>6</v>
      </c>
      <c r="B4146" s="3" t="s">
        <v>17091</v>
      </c>
      <c r="C4146" s="3" t="s">
        <v>17092</v>
      </c>
      <c r="D4146" s="3" t="s">
        <v>17092</v>
      </c>
      <c r="E4146" s="3" t="s">
        <v>17093</v>
      </c>
      <c r="F4146" s="3" t="s">
        <v>17094</v>
      </c>
      <c r="G4146" s="3" t="str">
        <f ca="1">IFERROR(__xludf.DUMMYFUNCTION("googletranslate(D4146,""en"",""ja"")"),"前単球/全細胞")</f>
        <v>前単球/全細胞</v>
      </c>
      <c r="H4146" s="3" t="str">
        <f ca="1">IFERROR(__xludf.DUMMYFUNCTION("googletranslate(E4146,""en"",""ja"")"),"生物学的標本 (骨髄標本など) における全細胞に対する前単球の相対的な測定値 (比率またはパーセンテージ)。")</f>
        <v>生物学的標本 (骨髄標本など) における全細胞に対する前単球の相対的な測定値 (比率またはパーセンテージ)。</v>
      </c>
      <c r="I4146" s="3" t="str">
        <f ca="1">IFERROR(__xludf.DUMMYFUNCTION("googletranslate(F4146,""en"",""ja"")"),"前単球対総細胞比の測定")</f>
        <v>前単球対総細胞比の測定</v>
      </c>
    </row>
    <row r="4147" spans="1:9" ht="30">
      <c r="A4147" s="3" t="s">
        <v>6</v>
      </c>
      <c r="B4147" s="3" t="s">
        <v>17095</v>
      </c>
      <c r="C4147" s="3" t="s">
        <v>17096</v>
      </c>
      <c r="D4147" s="3" t="s">
        <v>17096</v>
      </c>
      <c r="E4147" s="3" t="s">
        <v>17097</v>
      </c>
      <c r="F4147" s="3" t="s">
        <v>17098</v>
      </c>
      <c r="G4147" s="3" t="str">
        <f ca="1">IFERROR(__xludf.DUMMYFUNCTION("googletranslate(D4147,""en"",""ja"")"),"前単球/白血球")</f>
        <v>前単球/白血球</v>
      </c>
      <c r="H4147" s="3" t="str">
        <f ca="1">IFERROR(__xludf.DUMMYFUNCTION("googletranslate(E4147,""en"",""ja"")"),"生物学的標本中のすべての白血球に対する前単球の相対測定値 (比率またはパーセンテージ)。")</f>
        <v>生物学的標本中のすべての白血球に対する前単球の相対測定値 (比率またはパーセンテージ)。</v>
      </c>
      <c r="I4147" s="3" t="str">
        <f ca="1">IFERROR(__xludf.DUMMYFUNCTION("googletranslate(F4147,""en"",""ja"")"),"前単球とリンパ球の比率の測定")</f>
        <v>前単球とリンパ球の比率の測定</v>
      </c>
    </row>
    <row r="4148" spans="1:9">
      <c r="A4148" s="3" t="s">
        <v>6</v>
      </c>
      <c r="B4148" s="3" t="s">
        <v>17099</v>
      </c>
      <c r="C4148" s="3" t="s">
        <v>17100</v>
      </c>
      <c r="D4148" s="3" t="s">
        <v>17100</v>
      </c>
      <c r="E4148" s="3" t="s">
        <v>17101</v>
      </c>
      <c r="F4148" s="3" t="s">
        <v>17102</v>
      </c>
      <c r="G4148" s="3" t="str">
        <f ca="1">IFERROR(__xludf.DUMMYFUNCTION("googletranslate(D4148,""en"",""ja"")"),"前単球")</f>
        <v>前単球</v>
      </c>
      <c r="H4148" s="3" t="str">
        <f ca="1">IFERROR(__xludf.DUMMYFUNCTION("googletranslate(E4148,""en"",""ja"")"),"生物学的標本中の前単球の測定。")</f>
        <v>生物学的標本中の前単球の測定。</v>
      </c>
      <c r="I4148" s="3" t="str">
        <f ca="1">IFERROR(__xludf.DUMMYFUNCTION("googletranslate(F4148,""en"",""ja"")"),"前単球数")</f>
        <v>前単球数</v>
      </c>
    </row>
    <row r="4149" spans="1:9" ht="30">
      <c r="A4149" s="3" t="s">
        <v>6</v>
      </c>
      <c r="B4149" s="3" t="s">
        <v>17103</v>
      </c>
      <c r="C4149" s="3" t="s">
        <v>17104</v>
      </c>
      <c r="D4149" s="3" t="s">
        <v>17104</v>
      </c>
      <c r="E4149" s="3" t="s">
        <v>17105</v>
      </c>
      <c r="F4149" s="3" t="s">
        <v>17106</v>
      </c>
      <c r="G4149" s="3" t="str">
        <f ca="1">IFERROR(__xludf.DUMMYFUNCTION("googletranslate(D4149,""en"",""ja"")"),"前骨髄球")</f>
        <v>前骨髄球</v>
      </c>
      <c r="H4149" s="3" t="str">
        <f ca="1">IFERROR(__xludf.DUMMYFUNCTION("googletranslate(E4149,""en"",""ja"")"),"生物学的標本の前骨髄球 (未熟骨髄球) の測定。")</f>
        <v>生物学的標本の前骨髄球 (未熟骨髄球) の測定。</v>
      </c>
      <c r="I4149" s="3" t="str">
        <f ca="1">IFERROR(__xludf.DUMMYFUNCTION("googletranslate(F4149,""en"",""ja"")"),"前骨髄球数")</f>
        <v>前骨髄球数</v>
      </c>
    </row>
    <row r="4150" spans="1:9" ht="30">
      <c r="A4150" s="3" t="s">
        <v>6</v>
      </c>
      <c r="B4150" s="3" t="s">
        <v>17107</v>
      </c>
      <c r="C4150" s="3" t="s">
        <v>17108</v>
      </c>
      <c r="D4150" s="3" t="s">
        <v>17108</v>
      </c>
      <c r="E4150" s="3" t="s">
        <v>17109</v>
      </c>
      <c r="F4150" s="3" t="s">
        <v>17110</v>
      </c>
      <c r="G4150" s="3" t="str">
        <f ca="1">IFERROR(__xludf.DUMMYFUNCTION("googletranslate(D4150,""en"",""ja"")"),"前骨髄芽球")</f>
        <v>前骨髄芽球</v>
      </c>
      <c r="H4150" s="3" t="str">
        <f ca="1">IFERROR(__xludf.DUMMYFUNCTION("googletranslate(E4150,""en"",""ja"")"),"生物学的標本中の前骨髄芽球の測定。")</f>
        <v>生物学的標本中の前骨髄芽球の測定。</v>
      </c>
      <c r="I4150" s="3" t="str">
        <f ca="1">IFERROR(__xludf.DUMMYFUNCTION("googletranslate(F4150,""en"",""ja"")"),"前骨髄芽球の測定")</f>
        <v>前骨髄芽球の測定</v>
      </c>
    </row>
    <row r="4151" spans="1:9" ht="45">
      <c r="A4151" s="3" t="s">
        <v>6</v>
      </c>
      <c r="B4151" s="3" t="s">
        <v>17111</v>
      </c>
      <c r="C4151" s="3" t="s">
        <v>17112</v>
      </c>
      <c r="D4151" s="3" t="s">
        <v>17112</v>
      </c>
      <c r="E4151" s="3" t="s">
        <v>17113</v>
      </c>
      <c r="F4151" s="3" t="s">
        <v>17114</v>
      </c>
      <c r="G4151" s="3" t="str">
        <f ca="1">IFERROR(__xludf.DUMMYFUNCTION("googletranslate(D4151,""en"",""ja"")"),"前骨髄球/全細胞")</f>
        <v>前骨髄球/全細胞</v>
      </c>
      <c r="H4151" s="3" t="str">
        <f ca="1">IFERROR(__xludf.DUMMYFUNCTION("googletranslate(E4151,""en"",""ja"")"),"生物学的標本（骨髄標本など）中の全細胞に対する前骨髄球（未熟骨髄球）の相対的な測定値（比率またはパーセンテージ）。")</f>
        <v>生物学的標本（骨髄標本など）中の全細胞に対する前骨髄球（未熟骨髄球）の相対的な測定値（比率またはパーセンテージ）。</v>
      </c>
      <c r="I4151" s="3" t="str">
        <f ca="1">IFERROR(__xludf.DUMMYFUNCTION("googletranslate(F4151,""en"",""ja"")"),"前骨髄球対総細胞比の測定")</f>
        <v>前骨髄球対総細胞比の測定</v>
      </c>
    </row>
    <row r="4152" spans="1:9" ht="45">
      <c r="A4152" s="3" t="s">
        <v>6</v>
      </c>
      <c r="B4152" s="3" t="s">
        <v>17115</v>
      </c>
      <c r="C4152" s="3" t="s">
        <v>17116</v>
      </c>
      <c r="D4152" s="3" t="s">
        <v>17116</v>
      </c>
      <c r="E4152" s="3" t="s">
        <v>17117</v>
      </c>
      <c r="F4152" s="3" t="s">
        <v>17118</v>
      </c>
      <c r="G4152" s="3" t="str">
        <f ca="1">IFERROR(__xludf.DUMMYFUNCTION("googletranslate(D4152,""en"",""ja"")"),"前骨髄球/白血球")</f>
        <v>前骨髄球/白血球</v>
      </c>
      <c r="H4152" s="3" t="str">
        <f ca="1">IFERROR(__xludf.DUMMYFUNCTION("googletranslate(E4152,""en"",""ja"")"),"生物学的標本中のすべての白血球に対する前骨髄球 (未熟骨髄球) の相対測定値 (比率またはパーセンテージ)。")</f>
        <v>生物学的標本中のすべての白血球に対する前骨髄球 (未熟骨髄球) の相対測定値 (比率またはパーセンテージ)。</v>
      </c>
      <c r="I4152" s="3" t="str">
        <f ca="1">IFERROR(__xludf.DUMMYFUNCTION("googletranslate(F4152,""en"",""ja"")"),"前骨髄球とリンパ球の比率の測定")</f>
        <v>前骨髄球とリンパ球の比率の測定</v>
      </c>
    </row>
    <row r="4153" spans="1:9">
      <c r="A4153" s="3" t="s">
        <v>51</v>
      </c>
      <c r="B4153" s="3" t="s">
        <v>17119</v>
      </c>
      <c r="C4153" s="3" t="s">
        <v>17120</v>
      </c>
      <c r="D4153" s="3" t="s">
        <v>17121</v>
      </c>
      <c r="E4153" s="3" t="s">
        <v>17122</v>
      </c>
      <c r="F4153" s="3" t="s">
        <v>17123</v>
      </c>
      <c r="G4153" s="3" t="str">
        <f ca="1">IFERROR(__xludf.DUMMYFUNCTION("googletranslate(D4153,""en"",""ja"")"),"プロピオン酸塩;プロピオン酸")</f>
        <v>プロピオン酸塩;プロピオン酸</v>
      </c>
      <c r="H4153" s="3" t="str">
        <f ca="1">IFERROR(__xludf.DUMMYFUNCTION("googletranslate(E4153,""en"",""ja"")"),"試料中のプロピオン酸塩の測定。")</f>
        <v>試料中のプロピオン酸塩の測定。</v>
      </c>
      <c r="I4153" s="3" t="str">
        <f ca="1">IFERROR(__xludf.DUMMYFUNCTION("googletranslate(F4153,""en"",""ja"")"),"プロピオン酸塩の測定")</f>
        <v>プロピオン酸塩の測定</v>
      </c>
    </row>
    <row r="4154" spans="1:9">
      <c r="A4154" s="3" t="s">
        <v>51</v>
      </c>
      <c r="B4154" s="3" t="s">
        <v>17124</v>
      </c>
      <c r="C4154" s="3" t="s">
        <v>17125</v>
      </c>
      <c r="D4154" s="3" t="s">
        <v>17125</v>
      </c>
      <c r="E4154" s="3" t="s">
        <v>17126</v>
      </c>
      <c r="F4154" s="3" t="s">
        <v>17127</v>
      </c>
      <c r="G4154" s="3" t="str">
        <f ca="1">IFERROR(__xludf.DUMMYFUNCTION("googletranslate(D4154,""en"",""ja"")"),"プロピオンアルデヒド")</f>
        <v>プロピオンアルデヒド</v>
      </c>
      <c r="H4154" s="3" t="str">
        <f ca="1">IFERROR(__xludf.DUMMYFUNCTION("googletranslate(E4154,""en"",""ja"")"),"試料中のプロピオンアルデヒドの測定。")</f>
        <v>試料中のプロピオンアルデヒドの測定。</v>
      </c>
      <c r="I4154" s="3" t="str">
        <f ca="1">IFERROR(__xludf.DUMMYFUNCTION("googletranslate(F4154,""en"",""ja"")"),"プロピオンアルデヒドの測定")</f>
        <v>プロピオンアルデヒドの測定</v>
      </c>
    </row>
    <row r="4155" spans="1:9" ht="30">
      <c r="A4155" s="3" t="s">
        <v>6</v>
      </c>
      <c r="B4155" s="3" t="s">
        <v>17128</v>
      </c>
      <c r="C4155" s="3" t="s">
        <v>17129</v>
      </c>
      <c r="D4155" s="3" t="s">
        <v>17129</v>
      </c>
      <c r="E4155" s="3" t="s">
        <v>17130</v>
      </c>
      <c r="F4155" s="3" t="s">
        <v>17131</v>
      </c>
      <c r="G4155" s="3" t="str">
        <f ca="1">IFERROR(__xludf.DUMMYFUNCTION("googletranslate(D4155,""en"",""ja"")"),"プロポキシフェン")</f>
        <v>プロポキシフェン</v>
      </c>
      <c r="H4155" s="3" t="str">
        <f ca="1">IFERROR(__xludf.DUMMYFUNCTION("googletranslate(E4155,""en"",""ja"")"),"生物学的標本中に存在するプロポキシフェンの測定。")</f>
        <v>生物学的標本中に存在するプロポキシフェンの測定。</v>
      </c>
      <c r="I4155" s="3" t="str">
        <f ca="1">IFERROR(__xludf.DUMMYFUNCTION("googletranslate(F4155,""en"",""ja"")"),"プロポキシフェンの測定")</f>
        <v>プロポキシフェンの測定</v>
      </c>
    </row>
    <row r="4156" spans="1:9" ht="30">
      <c r="A4156" s="3" t="s">
        <v>6</v>
      </c>
      <c r="B4156" s="3" t="s">
        <v>17132</v>
      </c>
      <c r="C4156" s="3" t="s">
        <v>17133</v>
      </c>
      <c r="D4156" s="3" t="s">
        <v>17134</v>
      </c>
      <c r="E4156" s="3" t="s">
        <v>17135</v>
      </c>
      <c r="F4156" s="3" t="s">
        <v>17136</v>
      </c>
      <c r="G4156" s="3" t="str">
        <f ca="1">IFERROR(__xludf.DUMMYFUNCTION("googletranslate(D4156,""en"",""ja"")"),"好塩基性赤芽球;好塩基性正常芽細胞。前皮細胞")</f>
        <v>好塩基性赤芽球;好塩基性正常芽細胞。前皮細胞</v>
      </c>
      <c r="H4156" s="3" t="str">
        <f ca="1">IFERROR(__xludf.DUMMYFUNCTION("googletranslate(E4156,""en"",""ja"")"),"生物学的標本中の前皮細胞の測定。")</f>
        <v>生物学的標本中の前皮細胞の測定。</v>
      </c>
      <c r="I4156" s="3" t="str">
        <f ca="1">IFERROR(__xludf.DUMMYFUNCTION("googletranslate(F4156,""en"",""ja"")"),"前赤血球数")</f>
        <v>前赤血球数</v>
      </c>
    </row>
    <row r="4157" spans="1:9" ht="30">
      <c r="A4157" s="3" t="s">
        <v>6</v>
      </c>
      <c r="B4157" s="3" t="s">
        <v>17137</v>
      </c>
      <c r="C4157" s="3" t="s">
        <v>17138</v>
      </c>
      <c r="D4157" s="3" t="s">
        <v>17138</v>
      </c>
      <c r="E4157" s="3" t="s">
        <v>17139</v>
      </c>
      <c r="F4157" s="3" t="s">
        <v>17140</v>
      </c>
      <c r="G4157" s="3" t="str">
        <f ca="1">IFERROR(__xludf.DUMMYFUNCTION("googletranslate(D4157,""en"",""ja"")"),"前皮細胞/総細胞数")</f>
        <v>前皮細胞/総細胞数</v>
      </c>
      <c r="H4157" s="3" t="str">
        <f ca="1">IFERROR(__xludf.DUMMYFUNCTION("googletranslate(E4157,""en"",""ja"")"),"生物学的標本の全細胞に対する前皮細胞の相対的な測定値 (比率またはパーセンテージ)。")</f>
        <v>生物学的標本の全細胞に対する前皮細胞の相対的な測定値 (比率またはパーセンテージ)。</v>
      </c>
      <c r="I4157" s="3" t="str">
        <f ca="1">IFERROR(__xludf.DUMMYFUNCTION("googletranslate(F4157,""en"",""ja"")"),"前皮細胞対総細胞比の測定")</f>
        <v>前皮細胞対総細胞比の測定</v>
      </c>
    </row>
    <row r="4158" spans="1:9">
      <c r="A4158" s="3" t="s">
        <v>6</v>
      </c>
      <c r="B4158" s="3" t="s">
        <v>17141</v>
      </c>
      <c r="C4158" s="3" t="s">
        <v>17142</v>
      </c>
      <c r="D4158" s="3" t="s">
        <v>17142</v>
      </c>
      <c r="E4158" s="3" t="s">
        <v>17143</v>
      </c>
      <c r="F4158" s="3" t="s">
        <v>17144</v>
      </c>
      <c r="G4158" s="3" t="str">
        <f ca="1">IFERROR(__xludf.DUMMYFUNCTION("googletranslate(D4158,""en"",""ja"")"),"タンパク質")</f>
        <v>タンパク質</v>
      </c>
      <c r="H4158" s="3" t="str">
        <f ca="1">IFERROR(__xludf.DUMMYFUNCTION("googletranslate(E4158,""en"",""ja"")"),"生物学的標本中の総タンパク質の測定。")</f>
        <v>生物学的標本中の総タンパク質の測定。</v>
      </c>
      <c r="I4158" s="3" t="str">
        <f ca="1">IFERROR(__xludf.DUMMYFUNCTION("googletranslate(F4158,""en"",""ja"")"),"総タンパク質測定")</f>
        <v>総タンパク質測定</v>
      </c>
    </row>
    <row r="4159" spans="1:9" ht="30">
      <c r="A4159" s="3" t="s">
        <v>6</v>
      </c>
      <c r="B4159" s="3" t="s">
        <v>17145</v>
      </c>
      <c r="C4159" s="3" t="s">
        <v>17146</v>
      </c>
      <c r="D4159" s="3" t="s">
        <v>17146</v>
      </c>
      <c r="E4159" s="3" t="s">
        <v>17147</v>
      </c>
      <c r="F4159" s="3" t="s">
        <v>17148</v>
      </c>
      <c r="G4159" s="3" t="str">
        <f ca="1">IFERROR(__xludf.DUMMYFUNCTION("googletranslate(D4159,""en"",""ja"")"),"タンパク質/クレアチニン")</f>
        <v>タンパク質/クレアチニン</v>
      </c>
      <c r="H4159" s="3" t="str">
        <f ca="1">IFERROR(__xludf.DUMMYFUNCTION("googletranslate(E4159,""en"",""ja"")"),"生物学的標本中のクレアチニンに対する総タンパク質の相対測定値 (比率またはパーセンテージ)。")</f>
        <v>生物学的標本中のクレアチニンに対する総タンパク質の相対測定値 (比率またはパーセンテージ)。</v>
      </c>
      <c r="I4159" s="3" t="str">
        <f ca="1">IFERROR(__xludf.DUMMYFUNCTION("googletranslate(F4159,""en"",""ja"")"),"タンパク質とクレアチニンの比率の測定")</f>
        <v>タンパク質とクレアチニンの比率の測定</v>
      </c>
    </row>
    <row r="4160" spans="1:9" ht="30">
      <c r="A4160" s="3" t="s">
        <v>67</v>
      </c>
      <c r="B4160" s="3" t="s">
        <v>17149</v>
      </c>
      <c r="C4160" s="3" t="s">
        <v>17150</v>
      </c>
      <c r="D4160" s="3" t="s">
        <v>17151</v>
      </c>
      <c r="E4160" s="3" t="s">
        <v>17152</v>
      </c>
      <c r="F4160" s="3" t="s">
        <v>17153</v>
      </c>
      <c r="G4160" s="3" t="str">
        <f ca="1">IFERROR(__xludf.DUMMYFUNCTION("googletranslate(D4160,""en"",""ja"")"),"プロテウス DNA。プロテウス種の DNA;プロテウス種の DNA")</f>
        <v>プロテウス DNA。プロテウス種の DNA;プロテウス種の DNA</v>
      </c>
      <c r="H4160" s="3" t="str">
        <f ca="1">IFERROR(__xludf.DUMMYFUNCTION("googletranslate(E4160,""en"",""ja"")"),"生物学的標本中のプロテウス属のメンバーからの DNA の測定。")</f>
        <v>生物学的標本中のプロテウス属のメンバーからの DNA の測定。</v>
      </c>
      <c r="I4160" s="3" t="str">
        <f ca="1">IFERROR(__xludf.DUMMYFUNCTION("googletranslate(F4160,""en"",""ja"")"),"プロテウス DNA 測定")</f>
        <v>プロテウス DNA 測定</v>
      </c>
    </row>
    <row r="4161" spans="1:9" ht="45">
      <c r="A4161" s="3" t="s">
        <v>6</v>
      </c>
      <c r="B4161" s="3" t="s">
        <v>17154</v>
      </c>
      <c r="C4161" s="3" t="s">
        <v>17155</v>
      </c>
      <c r="D4161" s="3" t="s">
        <v>17155</v>
      </c>
      <c r="E4161" s="3" t="s">
        <v>17156</v>
      </c>
      <c r="F4161" s="3" t="s">
        <v>17155</v>
      </c>
      <c r="G4161" s="3" t="str">
        <f ca="1">IFERROR(__xludf.DUMMYFUNCTION("googletranslate(D4161,""en"",""ja"")"),"タンパク質排泄率")</f>
        <v>タンパク質排泄率</v>
      </c>
      <c r="H4161" s="3" t="str">
        <f ca="1">IFERROR(__xludf.DUMMYFUNCTION("googletranslate(E4161,""en"",""ja"")"),"規定の時間 (例: 1 時間) にわたって生物学的標本中に排泄される総タンパク質の量の測定。")</f>
        <v>規定の時間 (例: 1 時間) にわたって生物学的標本中に排泄される総タンパク質の量の測定。</v>
      </c>
      <c r="I4161" s="3" t="str">
        <f ca="1">IFERROR(__xludf.DUMMYFUNCTION("googletranslate(F4161,""en"",""ja"")"),"タンパク質排泄率")</f>
        <v>タンパク質排泄率</v>
      </c>
    </row>
    <row r="4162" spans="1:9" ht="30">
      <c r="A4162" s="3" t="s">
        <v>6</v>
      </c>
      <c r="B4162" s="3" t="s">
        <v>17157</v>
      </c>
      <c r="C4162" s="3" t="s">
        <v>17158</v>
      </c>
      <c r="D4162" s="3" t="s">
        <v>17159</v>
      </c>
      <c r="E4162" s="3" t="s">
        <v>17160</v>
      </c>
      <c r="F4162" s="3" t="s">
        <v>17161</v>
      </c>
      <c r="G4162" s="3" t="str">
        <f ca="1">IFERROR(__xludf.DUMMYFUNCTION("googletranslate(D4162,""en"",""ja"")"),"タンパク質/浸透圧;タンパク質/浸透圧比")</f>
        <v>タンパク質/浸透圧;タンパク質/浸透圧比</v>
      </c>
      <c r="H4162" s="3" t="str">
        <f ca="1">IFERROR(__xludf.DUMMYFUNCTION("googletranslate(E4162,""en"",""ja"")"),"生物学的検体の浸透圧に対する総タンパク質の相対測定値 (比率またはパーセンテージ)。")</f>
        <v>生物学的検体の浸透圧に対する総タンパク質の相対測定値 (比率またはパーセンテージ)。</v>
      </c>
      <c r="I4162" s="3" t="str">
        <f ca="1">IFERROR(__xludf.DUMMYFUNCTION("googletranslate(F4162,""en"",""ja"")"),"タンパク質対浸透圧比の測定")</f>
        <v>タンパク質対浸透圧比の測定</v>
      </c>
    </row>
    <row r="4163" spans="1:9">
      <c r="A4163" s="3" t="s">
        <v>67</v>
      </c>
      <c r="B4163" s="3" t="s">
        <v>17162</v>
      </c>
      <c r="C4163" s="3" t="s">
        <v>17163</v>
      </c>
      <c r="D4163" s="3" t="s">
        <v>17163</v>
      </c>
      <c r="E4163" s="3" t="s">
        <v>17164</v>
      </c>
      <c r="F4163" s="3" t="s">
        <v>17165</v>
      </c>
      <c r="G4163" s="3" t="str">
        <f ca="1">IFERROR(__xludf.DUMMYFUNCTION("googletranslate(D4163,""en"",""ja"")"),"原生動物")</f>
        <v>原生動物</v>
      </c>
      <c r="H4163" s="3" t="str">
        <f ca="1">IFERROR(__xludf.DUMMYFUNCTION("googletranslate(E4163,""en"",""ja"")"),"生物学的標本中の原生動物の測定。")</f>
        <v>生物学的標本中の原生動物の測定。</v>
      </c>
      <c r="I4163" s="3" t="str">
        <f ca="1">IFERROR(__xludf.DUMMYFUNCTION("googletranslate(F4163,""en"",""ja"")"),"原生動物の測定")</f>
        <v>原生動物の測定</v>
      </c>
    </row>
    <row r="4164" spans="1:9" ht="30">
      <c r="A4164" s="3" t="s">
        <v>6</v>
      </c>
      <c r="B4164" s="3" t="s">
        <v>17166</v>
      </c>
      <c r="C4164" s="3" t="s">
        <v>17167</v>
      </c>
      <c r="D4164" s="3" t="s">
        <v>17167</v>
      </c>
      <c r="E4164" s="3" t="s">
        <v>17168</v>
      </c>
      <c r="F4164" s="3" t="s">
        <v>17169</v>
      </c>
      <c r="G4164" s="3" t="str">
        <f ca="1">IFERROR(__xludf.DUMMYFUNCTION("googletranslate(D4164,""en"",""ja"")"),"タンパク質パターン")</f>
        <v>タンパク質パターン</v>
      </c>
      <c r="H4164" s="3" t="str">
        <f ca="1">IFERROR(__xludf.DUMMYFUNCTION("googletranslate(E4164,""en"",""ja"")"),"生物学的標本のタンパク質バンドパターンの測定。")</f>
        <v>生物学的標本のタンパク質バンドパターンの測定。</v>
      </c>
      <c r="I4164" s="3" t="str">
        <f ca="1">IFERROR(__xludf.DUMMYFUNCTION("googletranslate(F4164,""en"",""ja"")"),"タンパク質パターン測定")</f>
        <v>タンパク質パターン測定</v>
      </c>
    </row>
    <row r="4165" spans="1:9" ht="30">
      <c r="A4165" s="3" t="s">
        <v>6</v>
      </c>
      <c r="B4165" s="3" t="s">
        <v>17170</v>
      </c>
      <c r="C4165" s="3" t="s">
        <v>17171</v>
      </c>
      <c r="D4165" s="3" t="s">
        <v>17171</v>
      </c>
      <c r="E4165" s="3" t="s">
        <v>17172</v>
      </c>
      <c r="F4165" s="3" t="s">
        <v>17173</v>
      </c>
      <c r="G4165" s="3" t="str">
        <f ca="1">IFERROR(__xludf.DUMMYFUNCTION("googletranslate(D4165,""en"",""ja"")"),"プロトリプチリン")</f>
        <v>プロトリプチリン</v>
      </c>
      <c r="H4165" s="3" t="str">
        <f ca="1">IFERROR(__xludf.DUMMYFUNCTION("googletranslate(E4165,""en"",""ja"")"),"生物学的標本中に存在するプロトリプチリンの測定。")</f>
        <v>生物学的標本中に存在するプロトリプチリンの測定。</v>
      </c>
      <c r="I4165" s="3" t="str">
        <f ca="1">IFERROR(__xludf.DUMMYFUNCTION("googletranslate(F4165,""en"",""ja"")"),"プロトリプチリン測定")</f>
        <v>プロトリプチリン測定</v>
      </c>
    </row>
    <row r="4166" spans="1:9">
      <c r="A4166" s="3" t="s">
        <v>6</v>
      </c>
      <c r="B4166" s="3" t="s">
        <v>17174</v>
      </c>
      <c r="C4166" s="3" t="s">
        <v>17175</v>
      </c>
      <c r="D4166" s="3" t="s">
        <v>17175</v>
      </c>
      <c r="E4166" s="3" t="s">
        <v>17176</v>
      </c>
      <c r="F4166" s="3" t="s">
        <v>17177</v>
      </c>
      <c r="G4166" s="3" t="str">
        <f ca="1">IFERROR(__xludf.DUMMYFUNCTION("googletranslate(D4166,""en"",""ja"")"),"プロテインS")</f>
        <v>プロテインS</v>
      </c>
      <c r="H4166" s="3" t="str">
        <f ca="1">IFERROR(__xludf.DUMMYFUNCTION("googletranslate(E4166,""en"",""ja"")"),"生物学的標本中の総プロテイン S の測定。")</f>
        <v>生物学的標本中の総プロテイン S の測定。</v>
      </c>
      <c r="I4166" s="3" t="str">
        <f ca="1">IFERROR(__xludf.DUMMYFUNCTION("googletranslate(F4166,""en"",""ja"")"),"プロテインSの測定")</f>
        <v>プロテインSの測定</v>
      </c>
    </row>
    <row r="4167" spans="1:9" ht="30">
      <c r="A4167" s="3" t="s">
        <v>6</v>
      </c>
      <c r="B4167" s="3" t="s">
        <v>17178</v>
      </c>
      <c r="C4167" s="3" t="s">
        <v>17179</v>
      </c>
      <c r="D4167" s="3" t="s">
        <v>17179</v>
      </c>
      <c r="E4167" s="3" t="s">
        <v>17180</v>
      </c>
      <c r="F4167" s="3" t="s">
        <v>17181</v>
      </c>
      <c r="G4167" s="3" t="str">
        <f ca="1">IFERROR(__xludf.DUMMYFUNCTION("googletranslate(D4167,""en"",""ja"")"),"プロテインS、フリー")</f>
        <v>プロテインS、フリー</v>
      </c>
      <c r="H4167" s="3" t="str">
        <f ca="1">IFERROR(__xludf.DUMMYFUNCTION("googletranslate(E4167,""en"",""ja"")"),"生物学的標本中の結合していないプロテイン S の測定。")</f>
        <v>生物学的標本中の結合していないプロテイン S の測定。</v>
      </c>
      <c r="I4167" s="3" t="str">
        <f ca="1">IFERROR(__xludf.DUMMYFUNCTION("googletranslate(F4167,""en"",""ja"")"),"無料のプロテインS測定")</f>
        <v>無料のプロテインS測定</v>
      </c>
    </row>
    <row r="4168" spans="1:9" ht="60">
      <c r="A4168" s="3" t="s">
        <v>51</v>
      </c>
      <c r="B4168" s="3" t="s">
        <v>17182</v>
      </c>
      <c r="C4168" s="3" t="s">
        <v>17183</v>
      </c>
      <c r="D4168" s="3" t="s">
        <v>17184</v>
      </c>
      <c r="E4168" s="3" t="s">
        <v>17185</v>
      </c>
      <c r="F4168" s="3" t="s">
        <v>17186</v>
      </c>
      <c r="G4168" s="3" t="str">
        <f ca="1">IFERROR(__xludf.DUMMYFUNCTION("googletranslate(D4168,""en"",""ja"")"),"α-プロピレングリコール;アルファプロピレングリコール;プロパン-1,2-ジオール;プロピレングリコール")</f>
        <v>α-プロピレングリコール;アルファプロピレングリコール;プロパン-1,2-ジオール;プロピレングリコール</v>
      </c>
      <c r="H4168" s="3" t="str">
        <f ca="1">IFERROR(__xludf.DUMMYFUNCTION("googletranslate(E4168,""en"",""ja"")"),"試料中のプロピレングリコールの測定。")</f>
        <v>試料中のプロピレングリコールの測定。</v>
      </c>
      <c r="I4168" s="3" t="str">
        <f ca="1">IFERROR(__xludf.DUMMYFUNCTION("googletranslate(F4168,""en"",""ja"")"),"プロピレングリコールの測定")</f>
        <v>プロピレングリコールの測定</v>
      </c>
    </row>
    <row r="4169" spans="1:9" ht="45">
      <c r="A4169" s="3" t="s">
        <v>51</v>
      </c>
      <c r="B4169" s="3" t="s">
        <v>17187</v>
      </c>
      <c r="C4169" s="3" t="s">
        <v>17188</v>
      </c>
      <c r="D4169" s="3" t="s">
        <v>17189</v>
      </c>
      <c r="E4169" s="3" t="s">
        <v>17190</v>
      </c>
      <c r="F4169" s="3" t="s">
        <v>17191</v>
      </c>
      <c r="G4169" s="3" t="str">
        <f ca="1">IFERROR(__xludf.DUMMYFUNCTION("googletranslate(D4169,""en"",""ja"")"),"1,2-エポキシプロパン; 2-メチルオキシラン;プロピレンオキシド")</f>
        <v>1,2-エポキシプロパン; 2-メチルオキシラン;プロピレンオキシド</v>
      </c>
      <c r="H4169" s="3" t="str">
        <f ca="1">IFERROR(__xludf.DUMMYFUNCTION("googletranslate(E4169,""en"",""ja"")"),"試料中のプロピレンオキシドの測定。")</f>
        <v>試料中のプロピレンオキシドの測定。</v>
      </c>
      <c r="I4169" s="3" t="str">
        <f ca="1">IFERROR(__xludf.DUMMYFUNCTION("googletranslate(F4169,""en"",""ja"")"),"プロピレンオキサイドの測定")</f>
        <v>プロピレンオキサイドの測定</v>
      </c>
    </row>
    <row r="4170" spans="1:9" ht="45">
      <c r="A4170" s="3" t="s">
        <v>985</v>
      </c>
      <c r="B4170" s="3" t="s">
        <v>17192</v>
      </c>
      <c r="C4170" s="3" t="s">
        <v>17193</v>
      </c>
      <c r="D4170" s="3" t="s">
        <v>17194</v>
      </c>
      <c r="E4170" s="3" t="s">
        <v>17195</v>
      </c>
      <c r="F4170" s="3" t="s">
        <v>17196</v>
      </c>
      <c r="G4170" s="3" t="str">
        <f ca="1">IFERROR(__xludf.DUMMYFUNCTION("googletranslate(D4170,""en"",""ja"")"),"PQ インターバル、シングルビート。 PQSB; PR インターバル、シングルビート")</f>
        <v>PQ インターバル、シングルビート。 PQSB; PR インターバル、シングルビート</v>
      </c>
      <c r="H4170" s="3" t="str">
        <f ca="1">IFERROR(__xludf.DUMMYFUNCTION("googletranslate(E4170,""en"",""ja"")"),"1 つ以上のリードを使用して、P 波の開始から単一拍動の QRS 群の開始まで測定される心電図間隔。")</f>
        <v>1 つ以上のリードを使用して、P 波の開始から単一拍動の QRS 群の開始まで測定される心電図間隔。</v>
      </c>
      <c r="I4170" s="3" t="str">
        <f ca="1">IFERROR(__xludf.DUMMYFUNCTION("googletranslate(F4170,""en"",""ja"")"),"シングルビート PR インターバル")</f>
        <v>シングルビート PR インターバル</v>
      </c>
    </row>
    <row r="4171" spans="1:9" ht="60">
      <c r="A4171" s="3" t="s">
        <v>985</v>
      </c>
      <c r="B4171" s="3" t="s">
        <v>17197</v>
      </c>
      <c r="C4171" s="3" t="s">
        <v>17198</v>
      </c>
      <c r="D4171" s="3" t="s">
        <v>17198</v>
      </c>
      <c r="E4171" s="3" t="s">
        <v>17199</v>
      </c>
      <c r="F4171" s="3" t="s">
        <v>17200</v>
      </c>
      <c r="G4171" s="3" t="str">
        <f ca="1">IFERROR(__xludf.DUMMYFUNCTION("googletranslate(D4171,""en"",""ja"")"),"PRセグメント、集計")</f>
        <v>PRセグメント、集計</v>
      </c>
      <c r="H4171" s="3" t="str">
        <f ca="1">IFERROR(__xludf.DUMMYFUNCTION("googletranslate(E4171,""en"",""ja"")"),"単一の ECG 内の複数の拍動からの PR セグメント間隔の測定に基づく集計 PR セグメント値。集計方法はさまざまですが、通常は平均などの中心傾向の尺度です。")</f>
        <v>単一の ECG 内の複数の拍動からの PR セグメント間隔の測定に基づく集計 PR セグメント値。集計方法はさまざまですが、通常は平均などの中心傾向の尺度です。</v>
      </c>
      <c r="I4171" s="3" t="str">
        <f ca="1">IFERROR(__xludf.DUMMYFUNCTION("googletranslate(F4171,""en"",""ja"")"),"PRセグメントの集計")</f>
        <v>PRセグメントの集計</v>
      </c>
    </row>
    <row r="4172" spans="1:9" ht="45">
      <c r="A4172" s="3" t="s">
        <v>985</v>
      </c>
      <c r="B4172" s="3" t="s">
        <v>17201</v>
      </c>
      <c r="C4172" s="3" t="s">
        <v>17202</v>
      </c>
      <c r="D4172" s="3" t="s">
        <v>17202</v>
      </c>
      <c r="E4172" s="3" t="s">
        <v>17203</v>
      </c>
      <c r="F4172" s="3" t="s">
        <v>17204</v>
      </c>
      <c r="G4172" s="3" t="str">
        <f ca="1">IFERROR(__xludf.DUMMYFUNCTION("googletranslate(D4172,""en"",""ja"")"),"PR セグメント、シングルビート")</f>
        <v>PR セグメント、シングルビート</v>
      </c>
      <c r="H4172" s="3" t="str">
        <f ca="1">IFERROR(__xludf.DUMMYFUNCTION("googletranslate(E4172,""en"",""ja"")"),"1 つ以上のリードを使用して、P 波の終わりから単一拍動の QRS 群の始まりまで測定される心電図間隔。")</f>
        <v>1 つ以上のリードを使用して、P 波の終わりから単一拍動の QRS 群の始まりまで測定される心電図間隔。</v>
      </c>
      <c r="I4172" s="3" t="str">
        <f ca="1">IFERROR(__xludf.DUMMYFUNCTION("googletranslate(F4172,""en"",""ja"")"),"シングルビート PR セグメント")</f>
        <v>シングルビート PR セグメント</v>
      </c>
    </row>
    <row r="4173" spans="1:9" ht="30">
      <c r="A4173" s="3" t="s">
        <v>6</v>
      </c>
      <c r="B4173" s="3" t="s">
        <v>17205</v>
      </c>
      <c r="C4173" s="3" t="s">
        <v>17206</v>
      </c>
      <c r="D4173" s="3" t="s">
        <v>17207</v>
      </c>
      <c r="E4173" s="3" t="s">
        <v>17208</v>
      </c>
      <c r="F4173" s="3" t="s">
        <v>17209</v>
      </c>
      <c r="G4173" s="3" t="str">
        <f ca="1">IFERROR(__xludf.DUMMYFUNCTION("googletranslate(D4173,""en"",""ja"")"),"プレセプシン。 sCD14-ST;可溶性 CD14 サブタイプ")</f>
        <v>プレセプシン。 sCD14-ST;可溶性 CD14 サブタイプ</v>
      </c>
      <c r="H4173" s="3" t="str">
        <f ca="1">IFERROR(__xludf.DUMMYFUNCTION("googletranslate(E4173,""en"",""ja"")"),"生物学的標本中のプレセプシンの測定。")</f>
        <v>生物学的標本中のプレセプシンの測定。</v>
      </c>
      <c r="I4173" s="3" t="str">
        <f ca="1">IFERROR(__xludf.DUMMYFUNCTION("googletranslate(F4173,""en"",""ja"")"),"プレセプシンの測定")</f>
        <v>プレセプシンの測定</v>
      </c>
    </row>
    <row r="4174" spans="1:9">
      <c r="A4174" s="3" t="s">
        <v>6</v>
      </c>
      <c r="B4174" s="3" t="s">
        <v>17210</v>
      </c>
      <c r="C4174" s="3" t="s">
        <v>17211</v>
      </c>
      <c r="D4174" s="3" t="s">
        <v>17211</v>
      </c>
      <c r="E4174" s="3" t="s">
        <v>17212</v>
      </c>
      <c r="F4174" s="3" t="s">
        <v>17213</v>
      </c>
      <c r="G4174" s="3" t="str">
        <f ca="1">IFERROR(__xludf.DUMMYFUNCTION("googletranslate(D4174,""en"",""ja"")"),"プロスタノゾール")</f>
        <v>プロスタノゾール</v>
      </c>
      <c r="H4174" s="3" t="str">
        <f ca="1">IFERROR(__xludf.DUMMYFUNCTION("googletranslate(E4174,""en"",""ja"")"),"生物学的標本中のプロスタノゾールの測定。")</f>
        <v>生物学的標本中のプロスタノゾールの測定。</v>
      </c>
      <c r="I4174" s="3" t="str">
        <f ca="1">IFERROR(__xludf.DUMMYFUNCTION("googletranslate(F4174,""en"",""ja"")"),"プロスタノゾールの測定")</f>
        <v>プロスタノゾールの測定</v>
      </c>
    </row>
    <row r="4175" spans="1:9" ht="30">
      <c r="A4175" s="3" t="s">
        <v>185</v>
      </c>
      <c r="B4175" s="3" t="s">
        <v>17214</v>
      </c>
      <c r="C4175" s="3" t="s">
        <v>17215</v>
      </c>
      <c r="D4175" s="3" t="s">
        <v>17215</v>
      </c>
      <c r="E4175" s="3" t="s">
        <v>17216</v>
      </c>
      <c r="F4175" s="3" t="s">
        <v>17215</v>
      </c>
      <c r="G4175" s="3" t="str">
        <f ca="1">IFERROR(__xludf.DUMMYFUNCTION("googletranslate(D4175,""en"",""ja"")"),"手順の成功インジケーター")</f>
        <v>手順の成功インジケーター</v>
      </c>
      <c r="H4175" s="3" t="str">
        <f ca="1">IFERROR(__xludf.DUMMYFUNCTION("googletranslate(E4175,""en"",""ja"")"),"手順が成功したとみなされるかどうかを示す指標。")</f>
        <v>手順が成功したとみなされるかどうかを示す指標。</v>
      </c>
      <c r="I4175" s="3" t="str">
        <f ca="1">IFERROR(__xludf.DUMMYFUNCTION("googletranslate(F4175,""en"",""ja"")"),"手順の成功インジケーター")</f>
        <v>手順の成功インジケーター</v>
      </c>
    </row>
    <row r="4176" spans="1:9">
      <c r="A4176" s="3" t="s">
        <v>51</v>
      </c>
      <c r="B4176" s="3" t="s">
        <v>17217</v>
      </c>
      <c r="C4176" s="3" t="s">
        <v>17218</v>
      </c>
      <c r="D4176" s="3" t="s">
        <v>17218</v>
      </c>
      <c r="E4176" s="3" t="s">
        <v>17219</v>
      </c>
      <c r="F4176" s="3" t="s">
        <v>17218</v>
      </c>
      <c r="G4176" s="3" t="str">
        <f ca="1">IFERROR(__xludf.DUMMYFUNCTION("googletranslate(D4176,""en"",""ja"")"),"部分の長さ")</f>
        <v>部分の長さ</v>
      </c>
      <c r="H4176" s="3" t="str">
        <f ca="1">IFERROR(__xludf.DUMMYFUNCTION("googletranslate(E4176,""en"",""ja"")"),"最長辺に沿った個々の使用単位の長さ。")</f>
        <v>最長辺に沿った個々の使用単位の長さ。</v>
      </c>
      <c r="I4176" s="3" t="str">
        <f ca="1">IFERROR(__xludf.DUMMYFUNCTION("googletranslate(F4176,""en"",""ja"")"),"部分の長さ")</f>
        <v>部分の長さ</v>
      </c>
    </row>
    <row r="4177" spans="1:9">
      <c r="A4177" s="3" t="s">
        <v>51</v>
      </c>
      <c r="B4177" s="3" t="s">
        <v>17220</v>
      </c>
      <c r="C4177" s="3" t="s">
        <v>17221</v>
      </c>
      <c r="D4177" s="3" t="s">
        <v>17221</v>
      </c>
      <c r="E4177" s="3" t="s">
        <v>17222</v>
      </c>
      <c r="F4177" s="3" t="s">
        <v>17221</v>
      </c>
      <c r="G4177" s="3" t="str">
        <f ca="1">IFERROR(__xludf.DUMMYFUNCTION("googletranslate(D4177,""en"",""ja"")"),"部分質量")</f>
        <v>部分質量</v>
      </c>
      <c r="H4177" s="3" t="str">
        <f ca="1">IFERROR(__xludf.DUMMYFUNCTION("googletranslate(E4177,""en"",""ja"")"),"個々の使用単位の質量。")</f>
        <v>個々の使用単位の質量。</v>
      </c>
      <c r="I4177" s="3" t="str">
        <f ca="1">IFERROR(__xludf.DUMMYFUNCTION("googletranslate(F4177,""en"",""ja"")"),"部分質量")</f>
        <v>部分質量</v>
      </c>
    </row>
    <row r="4178" spans="1:9">
      <c r="A4178" s="3" t="s">
        <v>51</v>
      </c>
      <c r="B4178" s="3" t="s">
        <v>17223</v>
      </c>
      <c r="C4178" s="3" t="s">
        <v>17224</v>
      </c>
      <c r="D4178" s="3" t="s">
        <v>17224</v>
      </c>
      <c r="E4178" s="3" t="s">
        <v>17225</v>
      </c>
      <c r="F4178" s="3" t="s">
        <v>17224</v>
      </c>
      <c r="G4178" s="3" t="str">
        <f ca="1">IFERROR(__xludf.DUMMYFUNCTION("googletranslate(D4178,""en"",""ja"")"),"パウチ素材の気孔率")</f>
        <v>パウチ素材の気孔率</v>
      </c>
      <c r="H4178" s="3" t="str">
        <f ca="1">IFERROR(__xludf.DUMMYFUNCTION("googletranslate(E4178,""en"",""ja"")"),"パウチの紙素材の空きスペースの量。")</f>
        <v>パウチの紙素材の空きスペースの量。</v>
      </c>
      <c r="I4178" s="3" t="str">
        <f ca="1">IFERROR(__xludf.DUMMYFUNCTION("googletranslate(F4178,""en"",""ja"")"),"パウチ素材の気孔率")</f>
        <v>パウチ素材の気孔率</v>
      </c>
    </row>
    <row r="4179" spans="1:9">
      <c r="A4179" s="3" t="s">
        <v>51</v>
      </c>
      <c r="B4179" s="3" t="s">
        <v>17226</v>
      </c>
      <c r="C4179" s="3" t="s">
        <v>17227</v>
      </c>
      <c r="D4179" s="3" t="s">
        <v>17227</v>
      </c>
      <c r="E4179" s="3" t="s">
        <v>17228</v>
      </c>
      <c r="F4179" s="3" t="s">
        <v>17227</v>
      </c>
      <c r="G4179" s="3" t="str">
        <f ca="1">IFERROR(__xludf.DUMMYFUNCTION("googletranslate(D4179,""en"",""ja"")"),"パウチ素材の坪量")</f>
        <v>パウチ素材の坪量</v>
      </c>
      <c r="H4179" s="3" t="str">
        <f ca="1">IFERROR(__xludf.DUMMYFUNCTION("googletranslate(E4179,""en"",""ja"")"),"規格サイズに基づいた紙素材の重量。")</f>
        <v>規格サイズに基づいた紙素材の重量。</v>
      </c>
      <c r="I4179" s="3" t="str">
        <f ca="1">IFERROR(__xludf.DUMMYFUNCTION("googletranslate(F4179,""en"",""ja"")"),"パウチ素材の坪量")</f>
        <v>パウチ素材の坪量</v>
      </c>
    </row>
    <row r="4180" spans="1:9" ht="30">
      <c r="A4180" s="3" t="s">
        <v>51</v>
      </c>
      <c r="B4180" s="3" t="s">
        <v>17229</v>
      </c>
      <c r="C4180" s="3" t="s">
        <v>17230</v>
      </c>
      <c r="D4180" s="3" t="s">
        <v>17230</v>
      </c>
      <c r="E4180" s="3" t="s">
        <v>17231</v>
      </c>
      <c r="F4180" s="3" t="s">
        <v>17230</v>
      </c>
      <c r="G4180" s="3" t="str">
        <f ca="1">IFERROR(__xludf.DUMMYFUNCTION("googletranslate(D4180,""en"",""ja"")"),"部分の材質の厚さ")</f>
        <v>部分の材質の厚さ</v>
      </c>
      <c r="H4180" s="3" t="str">
        <f ca="1">IFERROR(__xludf.DUMMYFUNCTION("googletranslate(E4180,""en"",""ja"")"),"個々の使用単位内の、完全に接続された同じ表面の 2 つの対向する側面の間の距離。")</f>
        <v>個々の使用単位内の、完全に接続された同じ表面の 2 つの対向する側面の間の距離。</v>
      </c>
      <c r="I4180" s="3" t="str">
        <f ca="1">IFERROR(__xludf.DUMMYFUNCTION("googletranslate(F4180,""en"",""ja"")"),"部分の材質の厚さ")</f>
        <v>部分の材質の厚さ</v>
      </c>
    </row>
    <row r="4181" spans="1:9" ht="30">
      <c r="A4181" s="3" t="s">
        <v>51</v>
      </c>
      <c r="B4181" s="3" t="s">
        <v>17232</v>
      </c>
      <c r="C4181" s="3" t="s">
        <v>17233</v>
      </c>
      <c r="D4181" s="3" t="s">
        <v>17233</v>
      </c>
      <c r="E4181" s="3" t="s">
        <v>17234</v>
      </c>
      <c r="F4181" s="3" t="s">
        <v>17233</v>
      </c>
      <c r="G4181" s="3" t="str">
        <f ca="1">IFERROR(__xludf.DUMMYFUNCTION("googletranslate(D4181,""en"",""ja"")"),"部分の幅")</f>
        <v>部分の幅</v>
      </c>
      <c r="H4181" s="3" t="str">
        <f ca="1">IFERROR(__xludf.DUMMYFUNCTION("googletranslate(E4181,""en"",""ja"")"),"2 番目に長いエッジに沿った個々の使用単位の幅。")</f>
        <v>2 番目に長いエッジに沿った個々の使用単位の幅。</v>
      </c>
      <c r="I4181" s="3" t="str">
        <f ca="1">IFERROR(__xludf.DUMMYFUNCTION("googletranslate(F4181,""en"",""ja"")"),"部分の幅")</f>
        <v>部分の幅</v>
      </c>
    </row>
    <row r="4182" spans="1:9" ht="30">
      <c r="A4182" s="3" t="s">
        <v>185</v>
      </c>
      <c r="B4182" s="3" t="s">
        <v>17235</v>
      </c>
      <c r="C4182" s="3" t="s">
        <v>17236</v>
      </c>
      <c r="D4182" s="3" t="s">
        <v>17236</v>
      </c>
      <c r="E4182" s="3" t="s">
        <v>17237</v>
      </c>
      <c r="F4182" s="3" t="s">
        <v>17236</v>
      </c>
      <c r="G4182" s="3" t="str">
        <f ca="1">IFERROR(__xludf.DUMMYFUNCTION("googletranslate(D4182,""en"",""ja"")"),"そう痒症インジケーター")</f>
        <v>そう痒症インジケーター</v>
      </c>
      <c r="H4182" s="3" t="str">
        <f ca="1">IFERROR(__xludf.DUMMYFUNCTION("googletranslate(E4182,""en"",""ja"")"),"被験者にかゆみの症状があるかどうかの指標。")</f>
        <v>被験者にかゆみの症状があるかどうかの指標。</v>
      </c>
      <c r="I4182" s="3" t="str">
        <f ca="1">IFERROR(__xludf.DUMMYFUNCTION("googletranslate(F4182,""en"",""ja"")"),"そう痒症インジケーター")</f>
        <v>そう痒症インジケーター</v>
      </c>
    </row>
    <row r="4183" spans="1:9" ht="30">
      <c r="A4183" s="3" t="s">
        <v>185</v>
      </c>
      <c r="B4183" s="3" t="s">
        <v>17238</v>
      </c>
      <c r="C4183" s="3" t="s">
        <v>17239</v>
      </c>
      <c r="D4183" s="3" t="s">
        <v>17239</v>
      </c>
      <c r="E4183" s="3" t="s">
        <v>17240</v>
      </c>
      <c r="F4183" s="3" t="s">
        <v>17241</v>
      </c>
      <c r="G4183" s="3" t="str">
        <f ca="1">IFERROR(__xludf.DUMMYFUNCTION("googletranslate(D4183,""en"",""ja"")"),"手順の緊急度ステータスの種類")</f>
        <v>手順の緊急度ステータスの種類</v>
      </c>
      <c r="H4183" s="3" t="str">
        <f ca="1">IFERROR(__xludf.DUMMYFUNCTION("googletranslate(E4183,""en"",""ja"")"),"医療処置を実行しなければならない緊急性の度合い。")</f>
        <v>医療処置を実行しなければならない緊急性の度合い。</v>
      </c>
      <c r="I4183" s="3" t="str">
        <f ca="1">IFERROR(__xludf.DUMMYFUNCTION("googletranslate(F4183,""en"",""ja"")"),"トリアージステータス")</f>
        <v>トリアージステータス</v>
      </c>
    </row>
    <row r="4184" spans="1:9" ht="45">
      <c r="A4184" s="3" t="s">
        <v>142</v>
      </c>
      <c r="B4184" s="3" t="s">
        <v>17242</v>
      </c>
      <c r="C4184" s="3" t="s">
        <v>17243</v>
      </c>
      <c r="D4184" s="3" t="s">
        <v>17243</v>
      </c>
      <c r="E4184" s="3" t="s">
        <v>17244</v>
      </c>
      <c r="F4184" s="3" t="s">
        <v>17243</v>
      </c>
      <c r="G4184" s="3" t="str">
        <f ca="1">IFERROR(__xludf.DUMMYFUNCTION("googletranslate(D4184,""en"",""ja"")"),"過去の妊娠数")</f>
        <v>過去の妊娠数</v>
      </c>
      <c r="H4184" s="3" t="str">
        <f ca="1">IFERROR(__xludf.DUMMYFUNCTION("googletranslate(E4184,""en"",""ja"")"),"現在の妊娠前に女性被験者が経験した妊娠イベントの総数の測定値。")</f>
        <v>現在の妊娠前に女性被験者が経験した妊娠イベントの総数の測定値。</v>
      </c>
      <c r="I4184" s="3" t="str">
        <f ca="1">IFERROR(__xludf.DUMMYFUNCTION("googletranslate(F4184,""en"",""ja"")"),"過去の妊娠数")</f>
        <v>過去の妊娠数</v>
      </c>
    </row>
    <row r="4185" spans="1:9" ht="30">
      <c r="A4185" s="3" t="s">
        <v>6</v>
      </c>
      <c r="B4185" s="3" t="s">
        <v>17245</v>
      </c>
      <c r="C4185" s="3" t="s">
        <v>17246</v>
      </c>
      <c r="D4185" s="3" t="s">
        <v>17247</v>
      </c>
      <c r="E4185" s="3" t="s">
        <v>17248</v>
      </c>
      <c r="F4185" s="3" t="s">
        <v>17249</v>
      </c>
      <c r="G4185" s="3" t="str">
        <f ca="1">IFERROR(__xludf.DUMMYFUNCTION("googletranslate(D4185,""en"",""ja"")"),"1,7-ジメチルキサンチン;パラキサンチン")</f>
        <v>1,7-ジメチルキサンチン;パラキサンチン</v>
      </c>
      <c r="H4185" s="3" t="str">
        <f ca="1">IFERROR(__xludf.DUMMYFUNCTION("googletranslate(E4185,""en"",""ja"")"),"標本中のパラキサンチンの測定。")</f>
        <v>標本中のパラキサンチンの測定。</v>
      </c>
      <c r="I4185" s="3" t="str">
        <f ca="1">IFERROR(__xludf.DUMMYFUNCTION("googletranslate(F4185,""en"",""ja"")"),"パラキサンチンの測定")</f>
        <v>パラキサンチンの測定</v>
      </c>
    </row>
    <row r="4186" spans="1:9">
      <c r="A4186" s="3" t="s">
        <v>185</v>
      </c>
      <c r="B4186" s="3" t="s">
        <v>17250</v>
      </c>
      <c r="C4186" s="3" t="s">
        <v>17251</v>
      </c>
      <c r="D4186" s="3" t="s">
        <v>17251</v>
      </c>
      <c r="E4186" s="3" t="s">
        <v>17252</v>
      </c>
      <c r="F4186" s="3" t="s">
        <v>17253</v>
      </c>
      <c r="G4186" s="3" t="str">
        <f ca="1">IFERROR(__xludf.DUMMYFUNCTION("googletranslate(D4186,""en"",""ja"")"),"腫瘍の主要な発生部位")</f>
        <v>腫瘍の主要な発生部位</v>
      </c>
      <c r="H4186" s="3" t="str">
        <f ca="1">IFERROR(__xludf.DUMMYFUNCTION("googletranslate(E4186,""en"",""ja"")"),"病気の原発腫瘍部位の解剖学的位置。")</f>
        <v>病気の原発腫瘍部位の解剖学的位置。</v>
      </c>
      <c r="I4186" s="3" t="str">
        <f ca="1">IFERROR(__xludf.DUMMYFUNCTION("googletranslate(F4186,""en"",""ja"")"),"原発腫瘍部位")</f>
        <v>原発腫瘍部位</v>
      </c>
    </row>
    <row r="4187" spans="1:9" ht="30">
      <c r="A4187" s="3" t="s">
        <v>6</v>
      </c>
      <c r="B4187" s="3" t="s">
        <v>17254</v>
      </c>
      <c r="C4187" s="3" t="s">
        <v>17255</v>
      </c>
      <c r="D4187" s="3" t="s">
        <v>17255</v>
      </c>
      <c r="E4187" s="3" t="s">
        <v>17256</v>
      </c>
      <c r="F4187" s="3" t="s">
        <v>17257</v>
      </c>
      <c r="G4187" s="3" t="str">
        <f ca="1">IFERROR(__xludf.DUMMYFUNCTION("googletranslate(D4187,""en"",""ja"")"),"プラゼパム")</f>
        <v>プラゼパム</v>
      </c>
      <c r="H4187" s="3" t="str">
        <f ca="1">IFERROR(__xludf.DUMMYFUNCTION("googletranslate(E4187,""en"",""ja"")"),"生物学的標本中に存在するプラゼパムの測定。")</f>
        <v>生物学的標本中に存在するプラゼパムの測定。</v>
      </c>
      <c r="I4187" s="3" t="str">
        <f ca="1">IFERROR(__xludf.DUMMYFUNCTION("googletranslate(F4187,""en"",""ja"")"),"プラゼパムの測定")</f>
        <v>プラゼパムの測定</v>
      </c>
    </row>
    <row r="4188" spans="1:9" ht="30">
      <c r="A4188" s="3" t="s">
        <v>6</v>
      </c>
      <c r="B4188" s="3" t="s">
        <v>17258</v>
      </c>
      <c r="C4188" s="3" t="s">
        <v>17259</v>
      </c>
      <c r="D4188" s="3" t="s">
        <v>17259</v>
      </c>
      <c r="E4188" s="3" t="s">
        <v>17260</v>
      </c>
      <c r="F4188" s="3" t="s">
        <v>17261</v>
      </c>
      <c r="G4188" s="3" t="str">
        <f ca="1">IFERROR(__xludf.DUMMYFUNCTION("googletranslate(D4188,""en"",""ja"")"),"前立腺特異抗原")</f>
        <v>前立腺特異抗原</v>
      </c>
      <c r="H4188" s="3" t="str">
        <f ca="1">IFERROR(__xludf.DUMMYFUNCTION("googletranslate(E4188,""en"",""ja"")"),"生物学的検体中の総前立腺特異抗原の測定。")</f>
        <v>生物学的検体中の総前立腺特異抗原の測定。</v>
      </c>
      <c r="I4188" s="3" t="str">
        <f ca="1">IFERROR(__xludf.DUMMYFUNCTION("googletranslate(F4188,""en"",""ja"")"),"前立腺特異抗原の測定")</f>
        <v>前立腺特異抗原の測定</v>
      </c>
    </row>
    <row r="4189" spans="1:9" ht="30">
      <c r="A4189" s="3" t="s">
        <v>6</v>
      </c>
      <c r="B4189" s="3" t="s">
        <v>17262</v>
      </c>
      <c r="C4189" s="3" t="s">
        <v>17263</v>
      </c>
      <c r="D4189" s="3" t="s">
        <v>17263</v>
      </c>
      <c r="E4189" s="3" t="s">
        <v>17264</v>
      </c>
      <c r="F4189" s="3" t="s">
        <v>17265</v>
      </c>
      <c r="G4189" s="3" t="str">
        <f ca="1">IFERROR(__xludf.DUMMYFUNCTION("googletranslate(D4189,""en"",""ja"")"),"前立腺特異抗原、無料")</f>
        <v>前立腺特異抗原、無料</v>
      </c>
      <c r="H4189" s="3" t="str">
        <f ca="1">IFERROR(__xludf.DUMMYFUNCTION("googletranslate(E4189,""en"",""ja"")"),"生物学的標本中の結合していない前立腺特異抗原の測定。")</f>
        <v>生物学的標本中の結合していない前立腺特異抗原の測定。</v>
      </c>
      <c r="I4189" s="3" t="str">
        <f ca="1">IFERROR(__xludf.DUMMYFUNCTION("googletranslate(F4189,""en"",""ja"")"),"無料の前立腺特異抗原測定")</f>
        <v>無料の前立腺特異抗原測定</v>
      </c>
    </row>
    <row r="4190" spans="1:9" ht="45">
      <c r="A4190" s="3" t="s">
        <v>6</v>
      </c>
      <c r="B4190" s="3" t="s">
        <v>17266</v>
      </c>
      <c r="C4190" s="3" t="s">
        <v>17267</v>
      </c>
      <c r="D4190" s="3" t="s">
        <v>17267</v>
      </c>
      <c r="E4190" s="3" t="s">
        <v>17268</v>
      </c>
      <c r="F4190" s="3" t="s">
        <v>17269</v>
      </c>
      <c r="G4190" s="3" t="str">
        <f ca="1">IFERROR(__xludf.DUMMYFUNCTION("googletranslate(D4190,""en"",""ja"")"),"PSA、無料/PSA")</f>
        <v>PSA、無料/PSA</v>
      </c>
      <c r="H4190" s="3" t="str">
        <f ca="1">IFERROR(__xludf.DUMMYFUNCTION("googletranslate(E4190,""en"",""ja"")"),"生物学的標本中の総前立腺特異抗原に対する遊離前立腺特異抗原の相対測定値 (パーセンテージ)。")</f>
        <v>生物学的標本中の総前立腺特異抗原に対する遊離前立腺特異抗原の相対測定値 (パーセンテージ)。</v>
      </c>
      <c r="I4190" s="3" t="str">
        <f ca="1">IFERROR(__xludf.DUMMYFUNCTION("googletranslate(F4190,""en"",""ja"")"),"遊離PSA対総PSA比の測定")</f>
        <v>遊離PSA対総PSA比の測定</v>
      </c>
    </row>
    <row r="4191" spans="1:9" ht="30">
      <c r="A4191" s="3" t="s">
        <v>6</v>
      </c>
      <c r="B4191" s="3" t="s">
        <v>17270</v>
      </c>
      <c r="C4191" s="3" t="s">
        <v>17271</v>
      </c>
      <c r="D4191" s="3" t="s">
        <v>17271</v>
      </c>
      <c r="E4191" s="3" t="s">
        <v>17272</v>
      </c>
      <c r="F4191" s="3" t="s">
        <v>17273</v>
      </c>
      <c r="G4191" s="3" t="str">
        <f ca="1">IFERROR(__xludf.DUMMYFUNCTION("googletranslate(D4191,""en"",""ja"")"),"前立腺特異抗原 mRNA")</f>
        <v>前立腺特異抗原 mRNA</v>
      </c>
      <c r="H4191" s="3" t="str">
        <f ca="1">IFERROR(__xludf.DUMMYFUNCTION("googletranslate(E4191,""en"",""ja"")"),"生物学的標本中の前立腺特異抗原 mRNA の測定。")</f>
        <v>生物学的標本中の前立腺特異抗原 mRNA の測定。</v>
      </c>
      <c r="I4191" s="3" t="str">
        <f ca="1">IFERROR(__xludf.DUMMYFUNCTION("googletranslate(F4191,""en"",""ja"")"),"前立腺特異抗原mRNA測定")</f>
        <v>前立腺特異抗原mRNA測定</v>
      </c>
    </row>
    <row r="4192" spans="1:9" ht="30">
      <c r="A4192" s="3" t="s">
        <v>6</v>
      </c>
      <c r="B4192" s="3" t="s">
        <v>17274</v>
      </c>
      <c r="C4192" s="3" t="s">
        <v>17275</v>
      </c>
      <c r="D4192" s="3" t="s">
        <v>17275</v>
      </c>
      <c r="E4192" s="3" t="s">
        <v>17276</v>
      </c>
      <c r="F4192" s="3" t="s">
        <v>17277</v>
      </c>
      <c r="G4192" s="3" t="str">
        <f ca="1">IFERROR(__xludf.DUMMYFUNCTION("googletranslate(D4192,""en"",""ja"")"),"プソイドエフェドリン")</f>
        <v>プソイドエフェドリン</v>
      </c>
      <c r="H4192" s="3" t="str">
        <f ca="1">IFERROR(__xludf.DUMMYFUNCTION("googletranslate(E4192,""en"",""ja"")"),"生物学的標本中に存在するプソイドエフェドリンの測定。")</f>
        <v>生物学的標本中に存在するプソイドエフェドリンの測定。</v>
      </c>
      <c r="I4192" s="3" t="str">
        <f ca="1">IFERROR(__xludf.DUMMYFUNCTION("googletranslate(F4192,""en"",""ja"")"),"プソイドエフェドリンの測定")</f>
        <v>プソイドエフェドリンの測定</v>
      </c>
    </row>
    <row r="4193" spans="1:9" ht="60">
      <c r="A4193" s="3" t="s">
        <v>6</v>
      </c>
      <c r="B4193" s="3" t="s">
        <v>17278</v>
      </c>
      <c r="C4193" s="3" t="s">
        <v>17279</v>
      </c>
      <c r="D4193" s="3" t="s">
        <v>17280</v>
      </c>
      <c r="E4193" s="3" t="s">
        <v>17281</v>
      </c>
      <c r="F4193" s="3" t="s">
        <v>17282</v>
      </c>
      <c r="G4193" s="3" t="str">
        <f ca="1">IFERROR(__xludf.DUMMYFUNCTION("googletranslate(D4193,""en"",""ja"")"),"ホスファチジルグリセロール/肺界面活性剤;ホスファチジルグリセロール/肺界面活性剤")</f>
        <v>ホスファチジルグリセロール/肺界面活性剤;ホスファチジルグリセロール/肺界面活性剤</v>
      </c>
      <c r="H4193" s="3" t="str">
        <f ca="1">IFERROR(__xludf.DUMMYFUNCTION("googletranslate(E4193,""en"",""ja"")"),"生物学的検体中の総肺サーファクタントに対するホスファチジルグリセロールの相対測定値 (比)。")</f>
        <v>生物学的検体中の総肺サーファクタントに対するホスファチジルグリセロールの相対測定値 (比)。</v>
      </c>
      <c r="I4193" s="3" t="str">
        <f ca="1">IFERROR(__xludf.DUMMYFUNCTION("googletranslate(F4193,""en"",""ja"")"),"ホスファチジルグリセロール対肺サーファクタント比の測定")</f>
        <v>ホスファチジルグリセロール対肺サーファクタント比の測定</v>
      </c>
    </row>
    <row r="4194" spans="1:9">
      <c r="A4194" s="3" t="s">
        <v>6</v>
      </c>
      <c r="B4194" s="3" t="s">
        <v>17283</v>
      </c>
      <c r="C4194" s="3" t="s">
        <v>17284</v>
      </c>
      <c r="D4194" s="3" t="s">
        <v>17285</v>
      </c>
      <c r="E4194" s="3" t="s">
        <v>17286</v>
      </c>
      <c r="F4194" s="3" t="s">
        <v>17287</v>
      </c>
      <c r="G4194" s="3" t="str">
        <f ca="1">IFERROR(__xludf.DUMMYFUNCTION("googletranslate(D4194,""en"",""ja"")"),"GMP-140; P-セレクチン")</f>
        <v>GMP-140; P-セレクチン</v>
      </c>
      <c r="H4194" s="3" t="str">
        <f ca="1">IFERROR(__xludf.DUMMYFUNCTION("googletranslate(E4194,""en"",""ja"")"),"生物学的検体中の総 P-セレクチンの測定。")</f>
        <v>生物学的検体中の総 P-セレクチンの測定。</v>
      </c>
      <c r="I4194" s="3" t="str">
        <f ca="1">IFERROR(__xludf.DUMMYFUNCTION("googletranslate(F4194,""en"",""ja"")"),"P-セレクチンの測定")</f>
        <v>P-セレクチンの測定</v>
      </c>
    </row>
    <row r="4195" spans="1:9" ht="30">
      <c r="A4195" s="3" t="s">
        <v>6</v>
      </c>
      <c r="B4195" s="3" t="s">
        <v>17288</v>
      </c>
      <c r="C4195" s="3" t="s">
        <v>17289</v>
      </c>
      <c r="D4195" s="3" t="s">
        <v>17289</v>
      </c>
      <c r="E4195" s="3" t="s">
        <v>17290</v>
      </c>
      <c r="F4195" s="3" t="s">
        <v>17291</v>
      </c>
      <c r="G4195" s="3" t="str">
        <f ca="1">IFERROR(__xludf.DUMMYFUNCTION("googletranslate(D4195,""en"",""ja"")"),"可溶性 P-セレクチン")</f>
        <v>可溶性 P-セレクチン</v>
      </c>
      <c r="H4195" s="3" t="str">
        <f ca="1">IFERROR(__xludf.DUMMYFUNCTION("googletranslate(E4195,""en"",""ja"")"),"生物学的標本中の可溶性 P-セレクチンの測定。")</f>
        <v>生物学的標本中の可溶性 P-セレクチンの測定。</v>
      </c>
      <c r="I4195" s="3" t="str">
        <f ca="1">IFERROR(__xludf.DUMMYFUNCTION("googletranslate(F4195,""en"",""ja"")"),"可溶性P-セレクチンの測定")</f>
        <v>可溶性P-セレクチンの測定</v>
      </c>
    </row>
    <row r="4196" spans="1:9" ht="45">
      <c r="A4196" s="3" t="s">
        <v>67</v>
      </c>
      <c r="B4196" s="3" t="s">
        <v>17292</v>
      </c>
      <c r="C4196" s="3" t="s">
        <v>17293</v>
      </c>
      <c r="D4196" s="3" t="s">
        <v>17293</v>
      </c>
      <c r="E4196" s="3" t="s">
        <v>17294</v>
      </c>
      <c r="F4196" s="3" t="s">
        <v>17295</v>
      </c>
      <c r="G4196" s="3" t="str">
        <f ca="1">IFERROR(__xludf.DUMMYFUNCTION("googletranslate(D4196,""en"",""ja"")"),"シュードモナス属")</f>
        <v>シュードモナス属</v>
      </c>
      <c r="H4196" s="3" t="str">
        <f ca="1">IFERROR(__xludf.DUMMYFUNCTION("googletranslate(E4196,""en"",""ja"")"),"生物学的標本において種レベルには割り当てられていないが、シュードモナス属レベルに割り当てられている生物の測定値。")</f>
        <v>生物学的標本において種レベルには割り当てられていないが、シュードモナス属レベルに割り当てられている生物の測定値。</v>
      </c>
      <c r="I4196" s="3" t="str">
        <f ca="1">IFERROR(__xludf.DUMMYFUNCTION("googletranslate(F4196,""en"",""ja"")"),"シュードモナスの測定")</f>
        <v>シュードモナスの測定</v>
      </c>
    </row>
    <row r="4197" spans="1:9" ht="30">
      <c r="A4197" s="3" t="s">
        <v>67</v>
      </c>
      <c r="B4197" s="3" t="s">
        <v>17296</v>
      </c>
      <c r="C4197" s="3" t="s">
        <v>17297</v>
      </c>
      <c r="D4197" s="3" t="s">
        <v>17297</v>
      </c>
      <c r="E4197" s="3" t="s">
        <v>17298</v>
      </c>
      <c r="F4197" s="3" t="s">
        <v>17299</v>
      </c>
      <c r="G4197" s="3" t="str">
        <f ca="1">IFERROR(__xludf.DUMMYFUNCTION("googletranslate(D4197,""en"",""ja"")"),"プレシオモナス・シゲロイデス DNA")</f>
        <v>プレシオモナス・シゲロイデス DNA</v>
      </c>
      <c r="H4197" s="3" t="str">
        <f ca="1">IFERROR(__xludf.DUMMYFUNCTION("googletranslate(E4197,""en"",""ja"")"),"生物学的標本中の Plesiomonas shigelloides DNA の測定。")</f>
        <v>生物学的標本中の Plesiomonas shigelloides DNA の測定。</v>
      </c>
      <c r="I4197" s="3" t="str">
        <f ca="1">IFERROR(__xludf.DUMMYFUNCTION("googletranslate(F4197,""en"",""ja"")"),"Plesiomonas shigelloides DNA 測定")</f>
        <v>Plesiomonas shigelloides DNA 測定</v>
      </c>
    </row>
    <row r="4198" spans="1:9" ht="30">
      <c r="A4198" s="3" t="s">
        <v>6</v>
      </c>
      <c r="B4198" s="3" t="s">
        <v>17300</v>
      </c>
      <c r="C4198" s="3" t="s">
        <v>17301</v>
      </c>
      <c r="D4198" s="3" t="s">
        <v>17302</v>
      </c>
      <c r="E4198" s="3" t="s">
        <v>17303</v>
      </c>
      <c r="F4198" s="3" t="s">
        <v>17304</v>
      </c>
      <c r="G4198" s="3" t="str">
        <f ca="1">IFERROR(__xludf.DUMMYFUNCTION("googletranslate(D4198,""en"",""ja"")"),"マジックマッシュルーム;シロシビン;シロシビン")</f>
        <v>マジックマッシュルーム;シロシビン;シロシビン</v>
      </c>
      <c r="H4198" s="3" t="str">
        <f ca="1">IFERROR(__xludf.DUMMYFUNCTION("googletranslate(E4198,""en"",""ja"")"),"生物学的標本中のシロシビンの測定。")</f>
        <v>生物学的標本中のシロシビンの測定。</v>
      </c>
      <c r="I4198" s="3" t="str">
        <f ca="1">IFERROR(__xludf.DUMMYFUNCTION("googletranslate(F4198,""en"",""ja"")"),"シロシビンの測定")</f>
        <v>シロシビンの測定</v>
      </c>
    </row>
    <row r="4199" spans="1:9" ht="45">
      <c r="A4199" s="3" t="s">
        <v>1255</v>
      </c>
      <c r="B4199" s="3" t="s">
        <v>17305</v>
      </c>
      <c r="C4199" s="3" t="s">
        <v>17306</v>
      </c>
      <c r="D4199" s="3" t="s">
        <v>17306</v>
      </c>
      <c r="E4199" s="3" t="s">
        <v>17307</v>
      </c>
      <c r="F4199" s="3" t="s">
        <v>17308</v>
      </c>
      <c r="G4199" s="3" t="str">
        <f ca="1">IFERROR(__xludf.DUMMYFUNCTION("googletranslate(D4199,""en"",""ja"")"),"圧力サポート設定")</f>
        <v>圧力サポート設定</v>
      </c>
      <c r="H4199" s="3" t="str">
        <f ca="1">IFERROR(__xludf.DUMMYFUNCTION("googletranslate(E4199,""en"",""ja"")"),"被験者の自発呼吸を部分的または完全にサポートできるように、一貫した吸気圧を調整して提供するデバイス設定。")</f>
        <v>被験者の自発呼吸を部分的または完全にサポートできるように、一貫した吸気圧を調整して提供するデバイス設定。</v>
      </c>
      <c r="I4199" s="3" t="str">
        <f ca="1">IFERROR(__xludf.DUMMYFUNCTION("googletranslate(F4199,""en"",""ja"")"),"圧力サポート装置の設定")</f>
        <v>圧力サポート装置の設定</v>
      </c>
    </row>
    <row r="4200" spans="1:9" ht="30">
      <c r="A4200" s="3" t="s">
        <v>67</v>
      </c>
      <c r="B4200" s="3" t="s">
        <v>17309</v>
      </c>
      <c r="C4200" s="3" t="s">
        <v>17310</v>
      </c>
      <c r="D4200" s="3" t="s">
        <v>17310</v>
      </c>
      <c r="E4200" s="3" t="s">
        <v>17311</v>
      </c>
      <c r="F4200" s="3" t="s">
        <v>17312</v>
      </c>
      <c r="G4200" s="3" t="str">
        <f ca="1">IFERROR(__xludf.DUMMYFUNCTION("googletranslate(D4200,""en"",""ja"")"),"プロビデンシア・スチュアルティ")</f>
        <v>プロビデンシア・スチュアルティ</v>
      </c>
      <c r="H4200" s="3" t="str">
        <f ca="1">IFERROR(__xludf.DUMMYFUNCTION("googletranslate(E4200,""en"",""ja"")"),"生物学的標本中の Providencia staurtii の測定。")</f>
        <v>生物学的標本中の Providencia staurtii の測定。</v>
      </c>
      <c r="I4200" s="3" t="str">
        <f ca="1">IFERROR(__xludf.DUMMYFUNCTION("googletranslate(F4200,""en"",""ja"")"),"Providencia stuartee 測定")</f>
        <v>Providencia stuartee 測定</v>
      </c>
    </row>
    <row r="4201" spans="1:9" ht="45">
      <c r="A4201" s="3" t="s">
        <v>142</v>
      </c>
      <c r="B4201" s="3" t="s">
        <v>17313</v>
      </c>
      <c r="C4201" s="3" t="s">
        <v>17314</v>
      </c>
      <c r="D4201" s="3" t="s">
        <v>17314</v>
      </c>
      <c r="E4201" s="3" t="s">
        <v>17315</v>
      </c>
      <c r="F4201" s="3" t="s">
        <v>17314</v>
      </c>
      <c r="G4201" s="3" t="str">
        <f ca="1">IFERROR(__xludf.DUMMYFUNCTION("googletranslate(D4201,""en"",""ja"")"),"妊娠の疑いのある指標")</f>
        <v>妊娠の疑いのある指標</v>
      </c>
      <c r="H4201" s="3" t="str">
        <f ca="1">IFERROR(__xludf.DUMMYFUNCTION("googletranslate(E4201,""en"",""ja"")"),"質問された時点で対象者また​​は関連者が妊娠を疑っているかどうかに関する指標。")</f>
        <v>質問された時点で対象者また​​は関連者が妊娠を疑っているかどうかに関する指標。</v>
      </c>
      <c r="I4201" s="3" t="str">
        <f ca="1">IFERROR(__xludf.DUMMYFUNCTION("googletranslate(F4201,""en"",""ja"")"),"妊娠の疑いのある指標")</f>
        <v>妊娠の疑いのある指標</v>
      </c>
    </row>
    <row r="4202" spans="1:9" ht="30">
      <c r="A4202" s="3" t="s">
        <v>6</v>
      </c>
      <c r="B4202" s="3" t="s">
        <v>51</v>
      </c>
      <c r="C4202" s="3" t="s">
        <v>17316</v>
      </c>
      <c r="D4202" s="3" t="s">
        <v>17316</v>
      </c>
      <c r="E4202" s="3" t="s">
        <v>17317</v>
      </c>
      <c r="F4202" s="3" t="s">
        <v>17316</v>
      </c>
      <c r="G4202" s="3" t="str">
        <f ca="1">IFERROR(__xludf.DUMMYFUNCTION("googletranslate(D4202,""en"",""ja"")"),"プロトロンビン時間")</f>
        <v>プロトロンビン時間</v>
      </c>
      <c r="H4202" s="3" t="str">
        <f ca="1">IFERROR(__xludf.DUMMYFUNCTION("googletranslate(E4202,""en"",""ja"")"),"凝固の外因性経路を評価する血液凝固測定。")</f>
        <v>凝固の外因性経路を評価する血液凝固測定。</v>
      </c>
      <c r="I4202" s="3" t="str">
        <f ca="1">IFERROR(__xludf.DUMMYFUNCTION("googletranslate(F4202,""en"",""ja"")"),"プロトロンビン時間")</f>
        <v>プロトロンビン時間</v>
      </c>
    </row>
    <row r="4203" spans="1:9" ht="30">
      <c r="A4203" s="3" t="s">
        <v>6</v>
      </c>
      <c r="B4203" s="3" t="s">
        <v>17318</v>
      </c>
      <c r="C4203" s="3" t="s">
        <v>17319</v>
      </c>
      <c r="D4203" s="3" t="s">
        <v>17320</v>
      </c>
      <c r="E4203" s="3" t="s">
        <v>17321</v>
      </c>
      <c r="F4203" s="3" t="s">
        <v>17322</v>
      </c>
      <c r="G4203" s="3" t="str">
        <f ca="1">IFERROR(__xludf.DUMMYFUNCTION("googletranslate(D4203,""en"",""ja"")"),"第 II 因子活性;プロトロンビン活性")</f>
        <v>第 II 因子活性;プロトロンビン活性</v>
      </c>
      <c r="H4203" s="3" t="str">
        <f ca="1">IFERROR(__xludf.DUMMYFUNCTION("googletranslate(E4203,""en"",""ja"")"),"生物学的検体中の凝固因子プロトロンビンの生物学的活性の測定。")</f>
        <v>生物学的検体中の凝固因子プロトロンビンの生物学的活性の測定。</v>
      </c>
      <c r="I4203" s="3" t="str">
        <f ca="1">IFERROR(__xludf.DUMMYFUNCTION("googletranslate(F4203,""en"",""ja"")"),"プロトロンビン活性測定")</f>
        <v>プロトロンビン活性測定</v>
      </c>
    </row>
    <row r="4204" spans="1:9" ht="45">
      <c r="A4204" s="3" t="s">
        <v>6</v>
      </c>
      <c r="B4204" s="3" t="s">
        <v>17323</v>
      </c>
      <c r="C4204" s="3" t="s">
        <v>17324</v>
      </c>
      <c r="D4204" s="3" t="s">
        <v>17324</v>
      </c>
      <c r="E4204" s="3" t="s">
        <v>17325</v>
      </c>
      <c r="F4204" s="3" t="s">
        <v>17326</v>
      </c>
      <c r="G4204" s="3" t="str">
        <f ca="1">IFERROR(__xludf.DUMMYFUNCTION("googletranslate(D4204,""en"",""ja"")"),"プロトロンビン時間の実測値/制御値")</f>
        <v>プロトロンビン時間の実測値/制御値</v>
      </c>
      <c r="H4204" s="3" t="str">
        <f ca="1">IFERROR(__xludf.DUMMYFUNCTION("googletranslate(E4204,""en"",""ja"")"),"対照検体と比較した場合の、被験者の検体におけるプロトロンビン時間の相対測定値（比率またはパーセンテージ）。")</f>
        <v>対照検体と比較した場合の、被験者の検体におけるプロトロンビン時間の相対測定値（比率またはパーセンテージ）。</v>
      </c>
      <c r="I4204" s="3" t="str">
        <f ca="1">IFERROR(__xludf.DUMMYFUNCTION("googletranslate(F4204,""en"",""ja"")"),"プロトロンビン時間の実測値と制御比の測定値")</f>
        <v>プロトロンビン時間の実測値と制御比の測定値</v>
      </c>
    </row>
    <row r="4205" spans="1:9" ht="60">
      <c r="A4205" s="3" t="s">
        <v>6</v>
      </c>
      <c r="B4205" s="3" t="s">
        <v>17327</v>
      </c>
      <c r="C4205" s="3" t="s">
        <v>17328</v>
      </c>
      <c r="D4205" s="3" t="s">
        <v>17329</v>
      </c>
      <c r="E4205" s="3" t="s">
        <v>17330</v>
      </c>
      <c r="F4205" s="3" t="s">
        <v>17331</v>
      </c>
      <c r="G4205" s="3" t="str">
        <f ca="1">IFERROR(__xludf.DUMMYFUNCTION("googletranslate(D4205,""en"",""ja"")"),"リン酸化タウプロット/アミロイドベータ1-42;リン酸化タウタンパク質/アミロイドベータ 1-42")</f>
        <v>リン酸化タウプロット/アミロイドベータ1-42;リン酸化タウタンパク質/アミロイドベータ 1-42</v>
      </c>
      <c r="H4205" s="3" t="str">
        <f ca="1">IFERROR(__xludf.DUMMYFUNCTION("googletranslate(E4205,""en"",""ja"")"),"生物学的標本におけるアミロイド ベータ 1-42 に対するリン酸化タウ タンパク質の相対測定値 (比)。")</f>
        <v>生物学的標本におけるアミロイド ベータ 1-42 に対するリン酸化タウ タンパク質の相対測定値 (比)。</v>
      </c>
      <c r="I4205" s="3" t="str">
        <f ca="1">IFERROR(__xludf.DUMMYFUNCTION("googletranslate(F4205,""en"",""ja"")"),"リン酸化タウタンパク質とアミロイドβ1-42の比率の測定")</f>
        <v>リン酸化タウタンパク質とアミロイドβ1-42の比率の測定</v>
      </c>
    </row>
    <row r="4206" spans="1:9" ht="30">
      <c r="A4206" s="3" t="s">
        <v>6</v>
      </c>
      <c r="B4206" s="3" t="s">
        <v>17332</v>
      </c>
      <c r="C4206" s="3" t="s">
        <v>17333</v>
      </c>
      <c r="D4206" s="3" t="s">
        <v>17333</v>
      </c>
      <c r="E4206" s="3" t="s">
        <v>17334</v>
      </c>
      <c r="F4206" s="3" t="s">
        <v>17335</v>
      </c>
      <c r="G4206" s="3" t="str">
        <f ca="1">IFERROR(__xludf.DUMMYFUNCTION("googletranslate(D4206,""en"",""ja"")"),"プロトロンビンフラグメント 1")</f>
        <v>プロトロンビンフラグメント 1</v>
      </c>
      <c r="H4206" s="3" t="str">
        <f ca="1">IFERROR(__xludf.DUMMYFUNCTION("googletranslate(E4206,""en"",""ja"")"),"生体試料中のプロトロンビン フラグメント 1 の測定。")</f>
        <v>生体試料中のプロトロンビン フラグメント 1 の測定。</v>
      </c>
      <c r="I4206" s="3" t="str">
        <f ca="1">IFERROR(__xludf.DUMMYFUNCTION("googletranslate(F4206,""en"",""ja"")"),"プロトロンビンフラグメント1の測定")</f>
        <v>プロトロンビンフラグメント1の測定</v>
      </c>
    </row>
    <row r="4207" spans="1:9" ht="30">
      <c r="A4207" s="3" t="s">
        <v>6</v>
      </c>
      <c r="B4207" s="3" t="s">
        <v>17336</v>
      </c>
      <c r="C4207" s="3" t="s">
        <v>17337</v>
      </c>
      <c r="D4207" s="3" t="s">
        <v>17337</v>
      </c>
      <c r="E4207" s="3" t="s">
        <v>17338</v>
      </c>
      <c r="F4207" s="3" t="s">
        <v>17339</v>
      </c>
      <c r="G4207" s="3" t="str">
        <f ca="1">IFERROR(__xludf.DUMMYFUNCTION("googletranslate(D4207,""en"",""ja"")"),"プロトロンビンフラグメント 1 + 2")</f>
        <v>プロトロンビンフラグメント 1 + 2</v>
      </c>
      <c r="H4207" s="3" t="str">
        <f ca="1">IFERROR(__xludf.DUMMYFUNCTION("googletranslate(E4207,""en"",""ja"")"),"生物学的標本中のプロトロンビン フラグメント 1 および 2 の測定。")</f>
        <v>生物学的標本中のプロトロンビン フラグメント 1 および 2 の測定。</v>
      </c>
      <c r="I4207" s="3" t="str">
        <f ca="1">IFERROR(__xludf.DUMMYFUNCTION("googletranslate(F4207,""en"",""ja"")"),"プロトロンビンフラグメント 1 および 2 の測定")</f>
        <v>プロトロンビンフラグメント 1 および 2 の測定</v>
      </c>
    </row>
    <row r="4208" spans="1:9" ht="30">
      <c r="A4208" s="3" t="s">
        <v>6</v>
      </c>
      <c r="B4208" s="3" t="s">
        <v>17340</v>
      </c>
      <c r="C4208" s="3" t="s">
        <v>17341</v>
      </c>
      <c r="D4208" s="3" t="s">
        <v>17341</v>
      </c>
      <c r="E4208" s="3" t="s">
        <v>17342</v>
      </c>
      <c r="F4208" s="3" t="s">
        <v>17343</v>
      </c>
      <c r="G4208" s="3" t="str">
        <f ca="1">IFERROR(__xludf.DUMMYFUNCTION("googletranslate(D4208,""en"",""ja"")"),"プロトロンビンフラグメント 2")</f>
        <v>プロトロンビンフラグメント 2</v>
      </c>
      <c r="H4208" s="3" t="str">
        <f ca="1">IFERROR(__xludf.DUMMYFUNCTION("googletranslate(E4208,""en"",""ja"")"),"生物学的標本中のプロトロンビン フラグメント 2 の測定。")</f>
        <v>生物学的標本中のプロトロンビン フラグメント 2 の測定。</v>
      </c>
      <c r="I4208" s="3" t="str">
        <f ca="1">IFERROR(__xludf.DUMMYFUNCTION("googletranslate(F4208,""en"",""ja"")"),"プロトロンビンフラグメント2の測定")</f>
        <v>プロトロンビンフラグメント2の測定</v>
      </c>
    </row>
    <row r="4209" spans="1:9" ht="30">
      <c r="A4209" s="3" t="s">
        <v>6</v>
      </c>
      <c r="B4209" s="3" t="s">
        <v>17344</v>
      </c>
      <c r="C4209" s="3" t="s">
        <v>17345</v>
      </c>
      <c r="D4209" s="3" t="s">
        <v>17346</v>
      </c>
      <c r="E4209" s="3" t="s">
        <v>17347</v>
      </c>
      <c r="F4209" s="3" t="s">
        <v>17348</v>
      </c>
      <c r="G4209" s="3" t="str">
        <f ca="1">IFERROR(__xludf.DUMMYFUNCTION("googletranslate(D4209,""en"",""ja"")"),"パラチリン ホルモン、C 末端;副甲状腺ホルモン、C 末端")</f>
        <v>パラチリン ホルモン、C 末端;副甲状腺ホルモン、C 末端</v>
      </c>
      <c r="H4209" s="3" t="str">
        <f ca="1">IFERROR(__xludf.DUMMYFUNCTION("googletranslate(E4209,""en"",""ja"")"),"生物学的標本中の副甲状腺ホルモンの C 末端フラグメントの測定。")</f>
        <v>生物学的標本中の副甲状腺ホルモンの C 末端フラグメントの測定。</v>
      </c>
      <c r="I4209" s="3" t="str">
        <f ca="1">IFERROR(__xludf.DUMMYFUNCTION("googletranslate(F4209,""en"",""ja"")"),"C末端副甲状腺ホルモン測定")</f>
        <v>C末端副甲状腺ホルモン測定</v>
      </c>
    </row>
    <row r="4210" spans="1:9" ht="45">
      <c r="A4210" s="3" t="s">
        <v>6</v>
      </c>
      <c r="B4210" s="3" t="s">
        <v>17349</v>
      </c>
      <c r="C4210" s="3" t="s">
        <v>17350</v>
      </c>
      <c r="D4210" s="3" t="s">
        <v>17351</v>
      </c>
      <c r="E4210" s="3" t="s">
        <v>17352</v>
      </c>
      <c r="F4210" s="3" t="s">
        <v>17353</v>
      </c>
      <c r="G4210" s="3" t="str">
        <f ca="1">IFERROR(__xludf.DUMMYFUNCTION("googletranslate(D4210,""en"",""ja"")"),"パラチリン ホルモン、断片化。副甲状腺ホルモン、断片化")</f>
        <v>パラチリン ホルモン、断片化。副甲状腺ホルモン、断片化</v>
      </c>
      <c r="H4210" s="3" t="str">
        <f ca="1">IFERROR(__xludf.DUMMYFUNCTION("googletranslate(E4210,""en"",""ja"")"),"生物学的標本中の断片化された副甲状腺ホルモンの測定。")</f>
        <v>生物学的標本中の断片化された副甲状腺ホルモンの測定。</v>
      </c>
      <c r="I4210" s="3" t="str">
        <f ca="1">IFERROR(__xludf.DUMMYFUNCTION("googletranslate(F4210,""en"",""ja"")"),"断片化副甲状腺ホルモンの測定")</f>
        <v>断片化副甲状腺ホルモンの測定</v>
      </c>
    </row>
    <row r="4211" spans="1:9" ht="30">
      <c r="A4211" s="3" t="s">
        <v>6</v>
      </c>
      <c r="B4211" s="3" t="s">
        <v>17354</v>
      </c>
      <c r="C4211" s="3" t="s">
        <v>17355</v>
      </c>
      <c r="D4211" s="3" t="s">
        <v>17356</v>
      </c>
      <c r="E4211" s="3" t="s">
        <v>17357</v>
      </c>
      <c r="F4211" s="3" t="s">
        <v>17358</v>
      </c>
      <c r="G4211" s="3" t="str">
        <f ca="1">IFERROR(__xludf.DUMMYFUNCTION("googletranslate(D4211,""en"",""ja"")"),"パラチリン、無傷。副甲状腺ホルモン、無傷")</f>
        <v>パラチリン、無傷。副甲状腺ホルモン、無傷</v>
      </c>
      <c r="H4211" s="3" t="str">
        <f ca="1">IFERROR(__xludf.DUMMYFUNCTION("googletranslate(E4211,""en"",""ja"")"),"生物学的標本中の完全な副甲状腺ホルモン (アミノ酸 1 ～ 84 または 7 ～ 84 で構成される) の測定。")</f>
        <v>生物学的標本中の完全な副甲状腺ホルモン (アミノ酸 1 ～ 84 または 7 ～ 84 で構成される) の測定。</v>
      </c>
      <c r="I4211" s="3" t="str">
        <f ca="1">IFERROR(__xludf.DUMMYFUNCTION("googletranslate(F4211,""en"",""ja"")"),"インタクトな副甲状腺ホルモン測定")</f>
        <v>インタクトな副甲状腺ホルモン測定</v>
      </c>
    </row>
    <row r="4212" spans="1:9" ht="45">
      <c r="A4212" s="3" t="s">
        <v>6</v>
      </c>
      <c r="B4212" s="3" t="s">
        <v>17359</v>
      </c>
      <c r="C4212" s="3" t="s">
        <v>17360</v>
      </c>
      <c r="D4212" s="3" t="s">
        <v>17361</v>
      </c>
      <c r="E4212" s="3" t="s">
        <v>17362</v>
      </c>
      <c r="F4212" s="3" t="s">
        <v>17363</v>
      </c>
      <c r="G4212" s="3" t="str">
        <f ca="1">IFERROR(__xludf.DUMMYFUNCTION("googletranslate(D4212,""en"",""ja"")"),"パラチリン ホルモン、中分子。副甲状腺ホルモン、中分子")</f>
        <v>パラチリン ホルモン、中分子。副甲状腺ホルモン、中分子</v>
      </c>
      <c r="H4212" s="3" t="str">
        <f ca="1">IFERROR(__xludf.DUMMYFUNCTION("googletranslate(E4212,""en"",""ja"")"),"生物学的標本中の副甲状腺ホルモンの中分子フラグメントの測定。")</f>
        <v>生物学的標本中の副甲状腺ホルモンの中分子フラグメントの測定。</v>
      </c>
      <c r="I4212" s="3" t="str">
        <f ca="1">IFERROR(__xludf.DUMMYFUNCTION("googletranslate(F4212,""en"",""ja"")"),"中分子副甲状腺ホルモンの測定")</f>
        <v>中分子副甲状腺ホルモンの測定</v>
      </c>
    </row>
    <row r="4213" spans="1:9" ht="30">
      <c r="A4213" s="3" t="s">
        <v>6</v>
      </c>
      <c r="B4213" s="3" t="s">
        <v>17364</v>
      </c>
      <c r="C4213" s="3" t="s">
        <v>17365</v>
      </c>
      <c r="D4213" s="3" t="s">
        <v>17366</v>
      </c>
      <c r="E4213" s="3" t="s">
        <v>17367</v>
      </c>
      <c r="F4213" s="3" t="s">
        <v>17368</v>
      </c>
      <c r="G4213" s="3" t="str">
        <f ca="1">IFERROR(__xludf.DUMMYFUNCTION("googletranslate(D4213,""en"",""ja"")"),"パラチリン ホルモン、N 末端;副甲状腺ホルモン、N末端")</f>
        <v>パラチリン ホルモン、N 末端;副甲状腺ホルモン、N末端</v>
      </c>
      <c r="H4213" s="3" t="str">
        <f ca="1">IFERROR(__xludf.DUMMYFUNCTION("googletranslate(E4213,""en"",""ja"")"),"生物学的標本中の副甲状腺ホルモンの N 末端フラグメントの測定。")</f>
        <v>生物学的標本中の副甲状腺ホルモンの N 末端フラグメントの測定。</v>
      </c>
      <c r="I4213" s="3" t="str">
        <f ca="1">IFERROR(__xludf.DUMMYFUNCTION("googletranslate(F4213,""en"",""ja"")"),"N末端副甲状腺ホルモン測定")</f>
        <v>N末端副甲状腺ホルモン測定</v>
      </c>
    </row>
    <row r="4214" spans="1:9" ht="60">
      <c r="A4214" s="3" t="s">
        <v>6</v>
      </c>
      <c r="B4214" s="3" t="s">
        <v>17369</v>
      </c>
      <c r="C4214" s="3" t="s">
        <v>17370</v>
      </c>
      <c r="D4214" s="3" t="s">
        <v>17371</v>
      </c>
      <c r="E4214" s="3" t="s">
        <v>17372</v>
      </c>
      <c r="F4214" s="3" t="s">
        <v>17373</v>
      </c>
      <c r="G4214" s="3" t="str">
        <f ca="1">IFERROR(__xludf.DUMMYFUNCTION("googletranslate(D4214,""en"",""ja"")"),"パラチリンホルモン関連タンパク質。副甲状腺ホルモン関連ペプチド;副甲状腺ホルモン関連タンパク質")</f>
        <v>パラチリンホルモン関連タンパク質。副甲状腺ホルモン関連ペプチド;副甲状腺ホルモン関連タンパク質</v>
      </c>
      <c r="H4214" s="3" t="str">
        <f ca="1">IFERROR(__xludf.DUMMYFUNCTION("googletranslate(E4214,""en"",""ja"")"),"生物学的標本中の副甲状腺ホルモン関連タンパク質の測定。")</f>
        <v>生物学的標本中の副甲状腺ホルモン関連タンパク質の測定。</v>
      </c>
      <c r="I4214" s="3" t="str">
        <f ca="1">IFERROR(__xludf.DUMMYFUNCTION("googletranslate(F4214,""en"",""ja"")"),"副甲状腺ホルモン関連タンパク質の測定")</f>
        <v>副甲状腺ホルモン関連タンパク質の測定</v>
      </c>
    </row>
    <row r="4215" spans="1:9" ht="30">
      <c r="A4215" s="3" t="s">
        <v>6</v>
      </c>
      <c r="B4215" s="3" t="s">
        <v>17374</v>
      </c>
      <c r="C4215" s="3" t="s">
        <v>17375</v>
      </c>
      <c r="D4215" s="3" t="s">
        <v>17376</v>
      </c>
      <c r="E4215" s="3" t="s">
        <v>17377</v>
      </c>
      <c r="F4215" s="3" t="s">
        <v>17378</v>
      </c>
      <c r="G4215" s="3" t="str">
        <f ca="1">IFERROR(__xludf.DUMMYFUNCTION("googletranslate(D4215,""en"",""ja"")"),"パラチリン ホルモン、全体。副甲状腺ホルモン、ホール")</f>
        <v>パラチリン ホルモン、全体。副甲状腺ホルモン、ホール</v>
      </c>
      <c r="H4215" s="3" t="str">
        <f ca="1">IFERROR(__xludf.DUMMYFUNCTION("googletranslate(E4215,""en"",""ja"")"),"生物学的標本中の副甲状腺ホルモン全体 (アミノ酸 1 ～ 84 からなる) の測定。")</f>
        <v>生物学的標本中の副甲状腺ホルモン全体 (アミノ酸 1 ～ 84 からなる) の測定。</v>
      </c>
      <c r="I4215" s="3" t="str">
        <f ca="1">IFERROR(__xludf.DUMMYFUNCTION("googletranslate(F4215,""en"",""ja"")"),"副甲状腺ホルモン全体の測定")</f>
        <v>副甲状腺ホルモン全体の測定</v>
      </c>
    </row>
    <row r="4216" spans="1:9" ht="60">
      <c r="A4216" s="3" t="s">
        <v>6</v>
      </c>
      <c r="B4216" s="3" t="s">
        <v>17379</v>
      </c>
      <c r="C4216" s="3" t="s">
        <v>17380</v>
      </c>
      <c r="D4216" s="3" t="s">
        <v>17381</v>
      </c>
      <c r="E4216" s="3" t="s">
        <v>17382</v>
      </c>
      <c r="F4216" s="3" t="s">
        <v>17383</v>
      </c>
      <c r="G4216" s="3" t="str">
        <f ca="1">IFERROR(__xludf.DUMMYFUNCTION("googletranslate(D4216,""en"",""ja"")"),"プロテイン S 活性の実際/対照。プロテイン S 活性の実際/正常。プロテイン S 活性実際/プロテイン S 活性コントロール")</f>
        <v>プロテイン S 活性の実際/対照。プロテイン S 活性の実際/正常。プロテイン S 活性実際/プロテイン S 活性コントロール</v>
      </c>
      <c r="H4216" s="3" t="str">
        <f ca="1">IFERROR(__xludf.DUMMYFUNCTION("googletranslate(E4216,""en"",""ja"")"),"対照標本における同じ活性と比較した場合の、被験者の標本におけるプロテイン S の生物学的活性の相対測定値 (比率またはパーセンテージ)。")</f>
        <v>対照標本における同じ活性と比較した場合の、被験者の標本におけるプロテイン S の生物学的活性の相対測定値 (比率またはパーセンテージ)。</v>
      </c>
      <c r="I4216" s="3" t="str">
        <f ca="1">IFERROR(__xludf.DUMMYFUNCTION("googletranslate(F4216,""en"",""ja"")"),"プロテイン S 活性の実際と対照比の測定")</f>
        <v>プロテイン S 活性の実際と対照比の測定</v>
      </c>
    </row>
    <row r="4217" spans="1:9" ht="45">
      <c r="A4217" s="3" t="s">
        <v>6</v>
      </c>
      <c r="B4217" s="3" t="s">
        <v>17384</v>
      </c>
      <c r="C4217" s="3" t="s">
        <v>17385</v>
      </c>
      <c r="D4217" s="3" t="s">
        <v>17385</v>
      </c>
      <c r="E4217" s="3" t="s">
        <v>17386</v>
      </c>
      <c r="F4217" s="3" t="s">
        <v>17387</v>
      </c>
      <c r="G4217" s="3" t="str">
        <f ca="1">IFERROR(__xludf.DUMMYFUNCTION("googletranslate(D4217,""en"",""ja"")"),"プロテイン S 実体/対照")</f>
        <v>プロテイン S 実体/対照</v>
      </c>
      <c r="H4217" s="3" t="str">
        <f ca="1">IFERROR(__xludf.DUMMYFUNCTION("googletranslate(E4217,""en"",""ja"")"),"対照検体と比較した場合の、被験者の検体中のプロテイン S の相対測定値 (比率またはパーセンテージ)。")</f>
        <v>対照検体と比較した場合の、被験者の検体中のプロテイン S の相対測定値 (比率またはパーセンテージ)。</v>
      </c>
      <c r="I4217" s="3" t="str">
        <f ca="1">IFERROR(__xludf.DUMMYFUNCTION("googletranslate(F4217,""en"",""ja"")"),"プロテイン S の実際対対照比の測定")</f>
        <v>プロテイン S の実際対対照比の測定</v>
      </c>
    </row>
    <row r="4218" spans="1:9" ht="75">
      <c r="A4218" s="3" t="s">
        <v>6</v>
      </c>
      <c r="B4218" s="3" t="s">
        <v>17388</v>
      </c>
      <c r="C4218" s="3" t="s">
        <v>17389</v>
      </c>
      <c r="D4218" s="3" t="s">
        <v>17390</v>
      </c>
      <c r="E4218" s="3" t="s">
        <v>17391</v>
      </c>
      <c r="F4218" s="3" t="s">
        <v>17392</v>
      </c>
      <c r="G4218" s="3" t="str">
        <f ca="1">IFERROR(__xludf.DUMMYFUNCTION("googletranslate(D4218,""en"",""ja"")"),"プロテイン S 遊離活性の実際/対照。プロテイン S のない活性は実際/正常です。プロテイン S 遊離活性実際/プロテイン S 遊離活性コントロール")</f>
        <v>プロテイン S 遊離活性の実際/対照。プロテイン S のない活性は実際/正常です。プロテイン S 遊離活性実際/プロテイン S 遊離活性コントロール</v>
      </c>
      <c r="H4218" s="3" t="str">
        <f ca="1">IFERROR(__xludf.DUMMYFUNCTION("googletranslate(E4218,""en"",""ja"")"),"対照標本の同じ活性と比較した場合の、被験者の標本中の遊離プロテイン S の生物学的活性の相対測定値 (比率またはパーセンテージ)。")</f>
        <v>対照標本の同じ活性と比較した場合の、被験者の標本中の遊離プロテイン S の生物学的活性の相対測定値 (比率またはパーセンテージ)。</v>
      </c>
      <c r="I4218" s="3" t="str">
        <f ca="1">IFERROR(__xludf.DUMMYFUNCTION("googletranslate(F4218,""en"",""ja"")"),"遊離プロテイン S 活性の実際対対照比の測定")</f>
        <v>遊離プロテイン S 活性の実際対対照比の測定</v>
      </c>
    </row>
    <row r="4219" spans="1:9" ht="45">
      <c r="A4219" s="3" t="s">
        <v>6</v>
      </c>
      <c r="B4219" s="3" t="s">
        <v>17393</v>
      </c>
      <c r="C4219" s="3" t="s">
        <v>17394</v>
      </c>
      <c r="D4219" s="3" t="s">
        <v>17394</v>
      </c>
      <c r="E4219" s="3" t="s">
        <v>17395</v>
      </c>
      <c r="F4219" s="3" t="s">
        <v>17396</v>
      </c>
      <c r="G4219" s="3" t="str">
        <f ca="1">IFERROR(__xludf.DUMMYFUNCTION("googletranslate(D4219,""en"",""ja"")"),"プロテイン S、フリーの実際/コントロール")</f>
        <v>プロテイン S、フリーの実際/コントロール</v>
      </c>
      <c r="H4219" s="3" t="str">
        <f ca="1">IFERROR(__xludf.DUMMYFUNCTION("googletranslate(E4219,""en"",""ja"")"),"対照標本と比較した場合の、被験者の標本中の遊離プロテイン S の相対測定値 (比率またはパーセンテージ)。")</f>
        <v>対照標本と比較した場合の、被験者の標本中の遊離プロテイン S の相対測定値 (比率またはパーセンテージ)。</v>
      </c>
      <c r="I4219" s="3" t="str">
        <f ca="1">IFERROR(__xludf.DUMMYFUNCTION("googletranslate(F4219,""en"",""ja"")"),"遊離プロテイン S の実際対対照比の測定")</f>
        <v>遊離プロテイン S の実際対対照比の測定</v>
      </c>
    </row>
    <row r="4220" spans="1:9" ht="30">
      <c r="A4220" s="3" t="s">
        <v>5519</v>
      </c>
      <c r="B4220" s="3" t="s">
        <v>17397</v>
      </c>
      <c r="C4220" s="3" t="s">
        <v>17398</v>
      </c>
      <c r="D4220" s="3" t="s">
        <v>17398</v>
      </c>
      <c r="E4220" s="3" t="s">
        <v>17399</v>
      </c>
      <c r="F4220" s="3" t="s">
        <v>17398</v>
      </c>
      <c r="G4220" s="3" t="str">
        <f ca="1">IFERROR(__xludf.DUMMYFUNCTION("googletranslate(D4220,""en"",""ja"")"),"原発腫瘍部位指標")</f>
        <v>原発腫瘍部位指標</v>
      </c>
      <c r="H4220" s="3" t="str">
        <f ca="1">IFERROR(__xludf.DUMMYFUNCTION("googletranslate(E4220,""en"",""ja"")"),"解剖学的位置が疾患の原発腫瘍部位であるかどうかを示す指標。")</f>
        <v>解剖学的位置が疾患の原発腫瘍部位であるかどうかを示す指標。</v>
      </c>
      <c r="I4220" s="3" t="str">
        <f ca="1">IFERROR(__xludf.DUMMYFUNCTION("googletranslate(F4220,""en"",""ja"")"),"原発腫瘍部位指標")</f>
        <v>原発腫瘍部位指標</v>
      </c>
    </row>
    <row r="4221" spans="1:9" ht="60">
      <c r="A4221" s="3" t="s">
        <v>6</v>
      </c>
      <c r="B4221" s="3" t="s">
        <v>17400</v>
      </c>
      <c r="C4221" s="3" t="s">
        <v>17401</v>
      </c>
      <c r="D4221" s="3" t="s">
        <v>17401</v>
      </c>
      <c r="E4221" s="3" t="s">
        <v>17402</v>
      </c>
      <c r="F4221" s="3" t="s">
        <v>17401</v>
      </c>
      <c r="G4221" s="3" t="str">
        <f ca="1">IFERROR(__xludf.DUMMYFUNCTION("googletranslate(D4221,""en"",""ja"")"),"部分トロンボプラスチン時間")</f>
        <v>部分トロンボプラスチン時間</v>
      </c>
      <c r="H4221" s="3" t="str">
        <f ca="1">IFERROR(__xludf.DUMMYFUNCTION("googletranslate(E4221,""en"",""ja"")"),"生物学的検体に活性化試薬を添加しない場合に、凝固が起こるまでにかかる時間の測定値。反応混合物には組織因子 (第 III 因子) が存在しないため、テストは部分的です。")</f>
        <v>生物学的検体に活性化試薬を添加しない場合に、凝固が起こるまでにかかる時間の測定値。反応混合物には組織因子 (第 III 因子) が存在しないため、テストは部分的です。</v>
      </c>
      <c r="I4221" s="3" t="str">
        <f ca="1">IFERROR(__xludf.DUMMYFUNCTION("googletranslate(F4221,""en"",""ja"")"),"部分トロンボプラスチン時間")</f>
        <v>部分トロンボプラスチン時間</v>
      </c>
    </row>
    <row r="4222" spans="1:9" ht="60">
      <c r="A4222" s="3" t="s">
        <v>6</v>
      </c>
      <c r="B4222" s="3" t="s">
        <v>17403</v>
      </c>
      <c r="C4222" s="3" t="s">
        <v>17404</v>
      </c>
      <c r="D4222" s="3" t="s">
        <v>17405</v>
      </c>
      <c r="E4222" s="3" t="s">
        <v>17406</v>
      </c>
      <c r="F4222" s="3" t="s">
        <v>17407</v>
      </c>
      <c r="G4222" s="3" t="str">
        <f ca="1">IFERROR(__xludf.DUMMYFUNCTION("googletranslate(D4222,""en"",""ja"")"),"部分トロンボプラスチン時間/標準トロンボプラスチン時間; PTT/標準; PTT/標準PTT")</f>
        <v>部分トロンボプラスチン時間/標準トロンボプラスチン時間; PTT/標準; PTT/標準PTT</v>
      </c>
      <c r="H4222" s="3" t="str">
        <f ca="1">IFERROR(__xludf.DUMMYFUNCTION("googletranslate(E4222,""en"",""ja"")"),"標準または対照の部分トロンボプラスチン時間に対する被験者の部分トロンボプラスチン時間の相対測定値（比率またはパーセンテージ）。")</f>
        <v>標準または対照の部分トロンボプラスチン時間に対する被験者の部分トロンボプラスチン時間の相対測定値（比率またはパーセンテージ）。</v>
      </c>
      <c r="I4222" s="3" t="str">
        <f ca="1">IFERROR(__xludf.DUMMYFUNCTION("googletranslate(F4222,""en"",""ja"")"),"部分トロンボプラスチン時間と標準トロンボプラスチン時間の比の測定")</f>
        <v>部分トロンボプラスチン時間と標準トロンボプラスチン時間の比の測定</v>
      </c>
    </row>
    <row r="4223" spans="1:9">
      <c r="A4223" s="3" t="s">
        <v>142</v>
      </c>
      <c r="B4223" s="3" t="s">
        <v>17408</v>
      </c>
      <c r="C4223" s="3" t="s">
        <v>17409</v>
      </c>
      <c r="D4223" s="3" t="s">
        <v>17409</v>
      </c>
      <c r="E4223" s="3" t="s">
        <v>17410</v>
      </c>
      <c r="F4223" s="3" t="s">
        <v>17409</v>
      </c>
      <c r="G4223" s="3" t="str">
        <f ca="1">IFERROR(__xludf.DUMMYFUNCTION("googletranslate(D4223,""en"",""ja"")"),"思春期の年齢")</f>
        <v>思春期の年齢</v>
      </c>
      <c r="H4223" s="3" t="str">
        <f ca="1">IFERROR(__xludf.DUMMYFUNCTION("googletranslate(E4223,""en"",""ja"")"),"思春期が始まる年齢。")</f>
        <v>思春期が始まる年齢。</v>
      </c>
      <c r="I4223" s="3" t="str">
        <f ca="1">IFERROR(__xludf.DUMMYFUNCTION("googletranslate(F4223,""en"",""ja"")"),"思春期の年齢")</f>
        <v>思春期の年齢</v>
      </c>
    </row>
    <row r="4224" spans="1:9" ht="30">
      <c r="A4224" s="3" t="s">
        <v>142</v>
      </c>
      <c r="B4224" s="3" t="s">
        <v>17411</v>
      </c>
      <c r="C4224" s="3" t="s">
        <v>17412</v>
      </c>
      <c r="D4224" s="3" t="s">
        <v>17412</v>
      </c>
      <c r="E4224" s="3" t="s">
        <v>17413</v>
      </c>
      <c r="F4224" s="3" t="s">
        <v>17412</v>
      </c>
      <c r="G4224" s="3" t="str">
        <f ca="1">IFERROR(__xludf.DUMMYFUNCTION("googletranslate(D4224,""en"",""ja"")"),"思春期の指標")</f>
        <v>思春期の指標</v>
      </c>
      <c r="H4224" s="3" t="str">
        <f ca="1">IFERROR(__xludf.DUMMYFUNCTION("googletranslate(E4224,""en"",""ja"")"),"個人が思春期を迎えているのか、あるいはすでに思春期を迎えているのかを示す指標。")</f>
        <v>個人が思春期を迎えているのか、あるいはすでに思春期を迎えているのかを示す指標。</v>
      </c>
      <c r="I4224" s="3" t="str">
        <f ca="1">IFERROR(__xludf.DUMMYFUNCTION("googletranslate(F4224,""en"",""ja"")"),"思春期の指標")</f>
        <v>思春期の指標</v>
      </c>
    </row>
    <row r="4225" spans="1:9">
      <c r="A4225" s="3" t="s">
        <v>51</v>
      </c>
      <c r="B4225" s="3" t="s">
        <v>17414</v>
      </c>
      <c r="C4225" s="3" t="s">
        <v>17415</v>
      </c>
      <c r="D4225" s="3" t="s">
        <v>17415</v>
      </c>
      <c r="E4225" s="3" t="s">
        <v>17416</v>
      </c>
      <c r="F4225" s="3" t="s">
        <v>17415</v>
      </c>
      <c r="G4225" s="3" t="str">
        <f ca="1">IFERROR(__xludf.DUMMYFUNCTION("googletranslate(D4225,""en"",""ja"")"),"パフ数")</f>
        <v>パフ数</v>
      </c>
      <c r="H4225" s="3" t="str">
        <f ca="1">IFERROR(__xludf.DUMMYFUNCTION("googletranslate(E4225,""en"",""ja"")"),"タバコ製品が提供するドローの数。")</f>
        <v>タバコ製品が提供するドローの数。</v>
      </c>
      <c r="I4225" s="3" t="str">
        <f ca="1">IFERROR(__xludf.DUMMYFUNCTION("googletranslate(F4225,""en"",""ja"")"),"パフ数")</f>
        <v>パフ数</v>
      </c>
    </row>
    <row r="4226" spans="1:9" ht="60">
      <c r="A4226" s="3" t="s">
        <v>1255</v>
      </c>
      <c r="B4226" s="3" t="s">
        <v>17417</v>
      </c>
      <c r="C4226" s="3" t="s">
        <v>17418</v>
      </c>
      <c r="D4226" s="3" t="s">
        <v>17418</v>
      </c>
      <c r="E4226" s="3" t="s">
        <v>17419</v>
      </c>
      <c r="F4226" s="3" t="s">
        <v>17420</v>
      </c>
      <c r="G4226" s="3" t="str">
        <f ca="1">IFERROR(__xludf.DUMMYFUNCTION("googletranslate(D4226,""en"",""ja"")"),"パフブロック")</f>
        <v>パフブロック</v>
      </c>
      <c r="H4226" s="3" t="str">
        <f ca="1">IFERROR(__xludf.DUMMYFUNCTION("googletranslate(E4226,""en"",""ja"")"),"パフイベント中に吸入喫煙装置のフィルター通気孔全体に対してブロックされるフィルター通気孔の量の相対的な測定値 (パーセンテージ) を決定および調整する装置設定。")</f>
        <v>パフイベント中に吸入喫煙装置のフィルター通気孔全体に対してブロックされるフィルター通気孔の量の相対的な測定値 (パーセンテージ) を決定および調整する装置設定。</v>
      </c>
      <c r="I4226" s="3" t="str">
        <f ca="1">IFERROR(__xludf.DUMMYFUNCTION("googletranslate(F4226,""en"",""ja"")"),"パフブロックデバイスの設定")</f>
        <v>パフブロックデバイスの設定</v>
      </c>
    </row>
    <row r="4227" spans="1:9" ht="30">
      <c r="A4227" s="3" t="s">
        <v>1255</v>
      </c>
      <c r="B4227" s="3" t="s">
        <v>17421</v>
      </c>
      <c r="C4227" s="3" t="s">
        <v>17422</v>
      </c>
      <c r="D4227" s="3" t="s">
        <v>17422</v>
      </c>
      <c r="E4227" s="3" t="s">
        <v>17423</v>
      </c>
      <c r="F4227" s="3" t="s">
        <v>17424</v>
      </c>
      <c r="G4227" s="3" t="str">
        <f ca="1">IFERROR(__xludf.DUMMYFUNCTION("googletranslate(D4227,""en"",""ja"")"),"パフ持続時間")</f>
        <v>パフ持続時間</v>
      </c>
      <c r="H4227" s="3" t="str">
        <f ca="1">IFERROR(__xludf.DUMMYFUNCTION("googletranslate(E4227,""en"",""ja"")"),"吸入パフが発生する時間の長さを決定および調整するデバイス設定。")</f>
        <v>吸入パフが発生する時間の長さを決定および調整するデバイス設定。</v>
      </c>
      <c r="I4227" s="3" t="str">
        <f ca="1">IFERROR(__xludf.DUMMYFUNCTION("googletranslate(F4227,""en"",""ja"")"),"パフ持続時間のデバイス設定")</f>
        <v>パフ持続時間のデバイス設定</v>
      </c>
    </row>
    <row r="4228" spans="1:9" ht="30">
      <c r="A4228" s="3" t="s">
        <v>1255</v>
      </c>
      <c r="B4228" s="3" t="s">
        <v>17425</v>
      </c>
      <c r="C4228" s="3" t="s">
        <v>17426</v>
      </c>
      <c r="D4228" s="3" t="s">
        <v>17426</v>
      </c>
      <c r="E4228" s="3" t="s">
        <v>17427</v>
      </c>
      <c r="F4228" s="3" t="s">
        <v>17428</v>
      </c>
      <c r="G4228" s="3" t="str">
        <f ca="1">IFERROR(__xludf.DUMMYFUNCTION("googletranslate(D4228,""en"",""ja"")"),"パフ間隔")</f>
        <v>パフ間隔</v>
      </c>
      <c r="H4228" s="3" t="str">
        <f ca="1">IFERROR(__xludf.DUMMYFUNCTION("googletranslate(E4228,""en"",""ja"")"),"単位時間当たりに発生できる吸入パフの数を決定および制御するデバイス設定。")</f>
        <v>単位時間当たりに発生できる吸入パフの数を決定および制御するデバイス設定。</v>
      </c>
      <c r="I4228" s="3" t="str">
        <f ca="1">IFERROR(__xludf.DUMMYFUNCTION("googletranslate(F4228,""en"",""ja"")"),"パフ間隔デバイスの設定")</f>
        <v>パフ間隔デバイスの設定</v>
      </c>
    </row>
    <row r="4229" spans="1:9" ht="30">
      <c r="A4229" s="3" t="s">
        <v>1255</v>
      </c>
      <c r="B4229" s="3" t="s">
        <v>17429</v>
      </c>
      <c r="C4229" s="3" t="s">
        <v>17430</v>
      </c>
      <c r="D4229" s="3" t="s">
        <v>17431</v>
      </c>
      <c r="E4229" s="3" t="s">
        <v>17432</v>
      </c>
      <c r="F4229" s="3" t="s">
        <v>17433</v>
      </c>
      <c r="G4229" s="3" t="str">
        <f ca="1">IFERROR(__xludf.DUMMYFUNCTION("googletranslate(D4229,""en"",""ja"")"),"パフの数;合計パフ数")</f>
        <v>パフの数;合計パフ数</v>
      </c>
      <c r="H4229" s="3" t="str">
        <f ca="1">IFERROR(__xludf.DUMMYFUNCTION("googletranslate(E4229,""en"",""ja"")"),"吸入パフの合計数を決定および制御するデバイス設定。")</f>
        <v>吸入パフの合計数を決定および制御するデバイス設定。</v>
      </c>
      <c r="I4229" s="3" t="str">
        <f ca="1">IFERROR(__xludf.DUMMYFUNCTION("googletranslate(F4229,""en"",""ja"")"),"パフ数のデバイス設定")</f>
        <v>パフ数のデバイス設定</v>
      </c>
    </row>
    <row r="4230" spans="1:9" ht="45">
      <c r="A4230" s="3" t="s">
        <v>1255</v>
      </c>
      <c r="B4230" s="3" t="s">
        <v>17434</v>
      </c>
      <c r="C4230" s="3" t="s">
        <v>17435</v>
      </c>
      <c r="D4230" s="3" t="s">
        <v>17435</v>
      </c>
      <c r="E4230" s="3" t="s">
        <v>17436</v>
      </c>
      <c r="F4230" s="3" t="s">
        <v>17437</v>
      </c>
      <c r="G4230" s="3" t="str">
        <f ca="1">IFERROR(__xludf.DUMMYFUNCTION("googletranslate(D4230,""en"",""ja"")"),"パフポーズ")</f>
        <v>パフポーズ</v>
      </c>
      <c r="H4230" s="3" t="str">
        <f ca="1">IFERROR(__xludf.DUMMYFUNCTION("googletranslate(E4230,""en"",""ja"")"),"所定の吸入パフの完了後に、吸入パフを一時的に停止する時間を決定および調整する装置設定。")</f>
        <v>所定の吸入パフの完了後に、吸入パフを一時的に停止する時間を決定および調整する装置設定。</v>
      </c>
      <c r="I4230" s="3" t="str">
        <f ca="1">IFERROR(__xludf.DUMMYFUNCTION("googletranslate(F4230,""en"",""ja"")"),"パフ一時停止装置の設定")</f>
        <v>パフ一時停止装置の設定</v>
      </c>
    </row>
    <row r="4231" spans="1:9" ht="45">
      <c r="A4231" s="3" t="s">
        <v>1255</v>
      </c>
      <c r="B4231" s="3" t="s">
        <v>17438</v>
      </c>
      <c r="C4231" s="3" t="s">
        <v>17439</v>
      </c>
      <c r="D4231" s="3" t="s">
        <v>17439</v>
      </c>
      <c r="E4231" s="3" t="s">
        <v>17440</v>
      </c>
      <c r="F4231" s="3" t="s">
        <v>17441</v>
      </c>
      <c r="G4231" s="3" t="str">
        <f ca="1">IFERROR(__xludf.DUMMYFUNCTION("googletranslate(D4231,""en"",""ja"")"),"パフ一時停止間隔")</f>
        <v>パフ一時停止間隔</v>
      </c>
      <c r="H4231" s="3" t="str">
        <f ca="1">IFERROR(__xludf.DUMMYFUNCTION("googletranslate(E4231,""en"",""ja"")"),"パフ一時停止が発生する前に行うことができる吸入パフの数を決定および調整するデバイス設定。")</f>
        <v>パフ一時停止が発生する前に行うことができる吸入パフの数を決定および調整するデバイス設定。</v>
      </c>
      <c r="I4231" s="3" t="str">
        <f ca="1">IFERROR(__xludf.DUMMYFUNCTION("googletranslate(F4231,""en"",""ja"")"),"パフ一時停止間隔のデバイス設定")</f>
        <v>パフ一時停止間隔のデバイス設定</v>
      </c>
    </row>
    <row r="4232" spans="1:9" ht="60">
      <c r="A4232" s="3" t="s">
        <v>1255</v>
      </c>
      <c r="B4232" s="3" t="s">
        <v>17442</v>
      </c>
      <c r="C4232" s="3" t="s">
        <v>17443</v>
      </c>
      <c r="D4232" s="3" t="s">
        <v>17443</v>
      </c>
      <c r="E4232" s="3" t="s">
        <v>17444</v>
      </c>
      <c r="F4232" s="3" t="s">
        <v>17445</v>
      </c>
      <c r="G4232" s="3" t="str">
        <f ca="1">IFERROR(__xludf.DUMMYFUNCTION("googletranslate(D4232,""en"",""ja"")"),"パフプロファイル")</f>
        <v>パフプロファイル</v>
      </c>
      <c r="H4232" s="3" t="str">
        <f ca="1">IFERROR(__xludf.DUMMYFUNCTION("googletranslate(E4232,""en"",""ja"")"),"パフ量、持続時間、頻度、流量、パフ間隔などの尺度によって表される、特徴的な吸入パフ動作を表すパターンを決定および調整するデバイス設定。")</f>
        <v>パフ量、持続時間、頻度、流量、パフ間隔などの尺度によって表される、特徴的な吸入パフ動作を表すパターンを決定および調整するデバイス設定。</v>
      </c>
      <c r="I4232" s="3" t="str">
        <f ca="1">IFERROR(__xludf.DUMMYFUNCTION("googletranslate(F4232,""en"",""ja"")"),"パフプロファイルのデバイス設定")</f>
        <v>パフプロファイルのデバイス設定</v>
      </c>
    </row>
    <row r="4233" spans="1:9" ht="45">
      <c r="A4233" s="3" t="s">
        <v>1255</v>
      </c>
      <c r="B4233" s="3" t="s">
        <v>17446</v>
      </c>
      <c r="C4233" s="3" t="s">
        <v>17447</v>
      </c>
      <c r="D4233" s="3" t="s">
        <v>17448</v>
      </c>
      <c r="E4233" s="3" t="s">
        <v>17449</v>
      </c>
      <c r="F4233" s="3" t="s">
        <v>17450</v>
      </c>
      <c r="G4233" s="3" t="str">
        <f ca="1">IFERROR(__xludf.DUMMYFUNCTION("googletranslate(D4233,""en"",""ja"")"),"パフ範囲;パフサンプル採取範囲")</f>
        <v>パフ範囲;パフサンプル採取範囲</v>
      </c>
      <c r="H4233" s="3" t="str">
        <f ca="1">IFERROR(__xludf.DUMMYFUNCTION("googletranslate(E4233,""en"",""ja"")"),"検体またはサンプルの収集が行われるパフ範囲の上限と下限を決定および調整する装置設定。")</f>
        <v>検体またはサンプルの収集が行われるパフ範囲の上限と下限を決定および調整する装置設定。</v>
      </c>
      <c r="I4233" s="3" t="str">
        <f ca="1">IFERROR(__xludf.DUMMYFUNCTION("googletranslate(F4233,""en"",""ja"")"),"パフレンジのデバイス設定")</f>
        <v>パフレンジのデバイス設定</v>
      </c>
    </row>
    <row r="4234" spans="1:9" ht="45">
      <c r="A4234" s="3" t="s">
        <v>1255</v>
      </c>
      <c r="B4234" s="3" t="s">
        <v>17451</v>
      </c>
      <c r="C4234" s="3" t="s">
        <v>17452</v>
      </c>
      <c r="D4234" s="3" t="s">
        <v>17452</v>
      </c>
      <c r="E4234" s="3" t="s">
        <v>17453</v>
      </c>
      <c r="F4234" s="3" t="s">
        <v>17454</v>
      </c>
      <c r="G4234" s="3" t="str">
        <f ca="1">IFERROR(__xludf.DUMMYFUNCTION("googletranslate(D4234,""en"",""ja"")"),"パフ量")</f>
        <v>パフ量</v>
      </c>
      <c r="H4234" s="3" t="str">
        <f ca="1">IFERROR(__xludf.DUMMYFUNCTION("googletranslate(E4234,""en"",""ja"")"),"デバイスから排出される量を決定および調整し、各吸入パフで利用できるデバイス設定。")</f>
        <v>デバイスから排出される量を決定および調整し、各吸入パフで利用できるデバイス設定。</v>
      </c>
      <c r="I4234" s="3" t="str">
        <f ca="1">IFERROR(__xludf.DUMMYFUNCTION("googletranslate(F4234,""en"",""ja"")"),"パフ量デバイスの設定")</f>
        <v>パフ量デバイスの設定</v>
      </c>
    </row>
    <row r="4235" spans="1:9" ht="30">
      <c r="A4235" s="3" t="s">
        <v>1255</v>
      </c>
      <c r="B4235" s="3" t="s">
        <v>17455</v>
      </c>
      <c r="C4235" s="3" t="s">
        <v>17456</v>
      </c>
      <c r="D4235" s="3" t="s">
        <v>17456</v>
      </c>
      <c r="E4235" s="3" t="s">
        <v>17457</v>
      </c>
      <c r="F4235" s="3" t="s">
        <v>17458</v>
      </c>
      <c r="G4235" s="3" t="str">
        <f ca="1">IFERROR(__xludf.DUMMYFUNCTION("googletranslate(D4235,""en"",""ja"")"),"パルスオキシメーターインジケーター")</f>
        <v>パルスオキシメーターインジケーター</v>
      </c>
      <c r="H4235" s="3" t="str">
        <f ca="1">IFERROR(__xludf.DUMMYFUNCTION("googletranslate(E4235,""en"",""ja"")"),"評価にパルスオキシメーターが使用されているかどうかの指標。")</f>
        <v>評価にパルスオキシメーターが使用されているかどうかの指標。</v>
      </c>
      <c r="I4235" s="3" t="str">
        <f ca="1">IFERROR(__xludf.DUMMYFUNCTION("googletranslate(F4235,""en"",""ja"")"),"パルスオキシメーター使用インジケーター")</f>
        <v>パルスオキシメーター使用インジケーター</v>
      </c>
    </row>
    <row r="4236" spans="1:9" ht="60">
      <c r="A4236" s="3" t="s">
        <v>118</v>
      </c>
      <c r="B4236" s="3" t="s">
        <v>17459</v>
      </c>
      <c r="C4236" s="3" t="s">
        <v>17460</v>
      </c>
      <c r="D4236" s="3" t="s">
        <v>17460</v>
      </c>
      <c r="E4236" s="3" t="s">
        <v>17461</v>
      </c>
      <c r="F4236" s="3" t="s">
        <v>17460</v>
      </c>
      <c r="G4236" s="3" t="str">
        <f ca="1">IFERROR(__xludf.DUMMYFUNCTION("googletranslate(D4236,""en"",""ja"")"),"脈拍数")</f>
        <v>脈拍数</v>
      </c>
      <c r="H4236" s="3" t="str">
        <f ca="1">IFERROR(__xludf.DUMMYFUNCTION("googletranslate(E4236,""en"",""ja"")"),"動脈内で観察される脈拍数で、1 分あたりの拍数として表されます。手首、首、こめかみ、鼠径部、膝の後ろ、足の甲など、いくつかの解剖学的部位で測定できます。 (NCI)")</f>
        <v>動脈内で観察される脈拍数で、1 分あたりの拍数として表されます。手首、首、こめかみ、鼠径部、膝の後ろ、足の甲など、いくつかの解剖学的部位で測定できます。 (NCI)</v>
      </c>
      <c r="I4236" s="3" t="str">
        <f ca="1">IFERROR(__xludf.DUMMYFUNCTION("googletranslate(F4236,""en"",""ja"")"),"脈拍数")</f>
        <v>脈拍数</v>
      </c>
    </row>
    <row r="4237" spans="1:9" ht="30">
      <c r="A4237" s="3" t="s">
        <v>118</v>
      </c>
      <c r="B4237" s="3" t="s">
        <v>17462</v>
      </c>
      <c r="C4237" s="3" t="s">
        <v>17463</v>
      </c>
      <c r="D4237" s="3" t="s">
        <v>17463</v>
      </c>
      <c r="E4237" s="3" t="s">
        <v>17464</v>
      </c>
      <c r="F4237" s="3" t="s">
        <v>17463</v>
      </c>
      <c r="G4237" s="3" t="str">
        <f ca="1">IFERROR(__xludf.DUMMYFUNCTION("googletranslate(D4237,""en"",""ja"")"),"脈圧")</f>
        <v>脈圧</v>
      </c>
      <c r="H4237" s="3" t="str">
        <f ca="1">IFERROR(__xludf.DUMMYFUNCTION("googletranslate(E4237,""en"",""ja"")"),"脈拍を生み出す収縮期血圧から拡張期血圧への変化。")</f>
        <v>脈拍を生み出す収縮期血圧から拡張期血圧への変化。</v>
      </c>
      <c r="I4237" s="3" t="str">
        <f ca="1">IFERROR(__xludf.DUMMYFUNCTION("googletranslate(F4237,""en"",""ja"")"),"脈圧")</f>
        <v>脈圧</v>
      </c>
    </row>
    <row r="4238" spans="1:9" ht="30">
      <c r="A4238" s="3" t="s">
        <v>1255</v>
      </c>
      <c r="B4238" s="3" t="s">
        <v>17465</v>
      </c>
      <c r="C4238" s="3" t="s">
        <v>17466</v>
      </c>
      <c r="D4238" s="3" t="s">
        <v>17466</v>
      </c>
      <c r="E4238" s="3" t="s">
        <v>17467</v>
      </c>
      <c r="F4238" s="3" t="s">
        <v>17466</v>
      </c>
      <c r="G4238" s="3" t="str">
        <f ca="1">IFERROR(__xludf.DUMMYFUNCTION("googletranslate(D4238,""en"",""ja"")"),"パルスシーケンス")</f>
        <v>パルスシーケンス</v>
      </c>
      <c r="H4238" s="3" t="str">
        <f ca="1">IFERROR(__xludf.DUMMYFUNCTION("googletranslate(E4238,""en"",""ja"")"),"サンプルに印加される高周波パルスの連続反復配置。 (NCI)")</f>
        <v>サンプルに印加される高周波パルスの連続反復配置。 (NCI)</v>
      </c>
      <c r="I4238" s="3" t="str">
        <f ca="1">IFERROR(__xludf.DUMMYFUNCTION("googletranslate(F4238,""en"",""ja"")"),"パルスシーケンス")</f>
        <v>パルスシーケンス</v>
      </c>
    </row>
    <row r="4239" spans="1:9">
      <c r="A4239" s="3" t="s">
        <v>6</v>
      </c>
      <c r="B4239" s="3" t="s">
        <v>17468</v>
      </c>
      <c r="C4239" s="3" t="s">
        <v>17469</v>
      </c>
      <c r="D4239" s="3" t="s">
        <v>17469</v>
      </c>
      <c r="E4239" s="3" t="s">
        <v>17470</v>
      </c>
      <c r="F4239" s="3" t="s">
        <v>17471</v>
      </c>
      <c r="G4239" s="3" t="str">
        <f ca="1">IFERROR(__xludf.DUMMYFUNCTION("googletranslate(D4239,""en"",""ja"")"),"膿")</f>
        <v>膿</v>
      </c>
      <c r="H4239" s="3" t="str">
        <f ca="1">IFERROR(__xludf.DUMMYFUNCTION("googletranslate(E4239,""en"",""ja"")"),"生物学的標本中の膿の測定。")</f>
        <v>生物学的標本中の膿の測定。</v>
      </c>
      <c r="I4239" s="3" t="str">
        <f ca="1">IFERROR(__xludf.DUMMYFUNCTION("googletranslate(F4239,""en"",""ja"")"),"膿の測定")</f>
        <v>膿の測定</v>
      </c>
    </row>
    <row r="4240" spans="1:9">
      <c r="A4240" s="3" t="s">
        <v>142</v>
      </c>
      <c r="B4240" s="3" t="s">
        <v>17472</v>
      </c>
      <c r="C4240" s="3" t="s">
        <v>17473</v>
      </c>
      <c r="D4240" s="3" t="s">
        <v>17473</v>
      </c>
      <c r="E4240" s="3" t="s">
        <v>17474</v>
      </c>
      <c r="F4240" s="3" t="s">
        <v>17473</v>
      </c>
      <c r="G4240" s="3" t="str">
        <f ca="1">IFERROR(__xludf.DUMMYFUNCTION("googletranslate(D4240,""en"",""ja"")"),"膿疱インジケーター")</f>
        <v>膿疱インジケーター</v>
      </c>
      <c r="H4240" s="3" t="str">
        <f ca="1">IFERROR(__xludf.DUMMYFUNCTION("googletranslate(E4240,""en"",""ja"")"),"膿疱が存在するかどうかの指標。")</f>
        <v>膿疱が存在するかどうかの指標。</v>
      </c>
      <c r="I4240" s="3" t="str">
        <f ca="1">IFERROR(__xludf.DUMMYFUNCTION("googletranslate(F4240,""en"",""ja"")"),"膿疱インジケーター")</f>
        <v>膿疱インジケーター</v>
      </c>
    </row>
    <row r="4241" spans="1:9" ht="30">
      <c r="A4241" s="3" t="s">
        <v>81</v>
      </c>
      <c r="B4241" s="3" t="s">
        <v>17475</v>
      </c>
      <c r="C4241" s="3" t="s">
        <v>17476</v>
      </c>
      <c r="D4241" s="3" t="s">
        <v>17476</v>
      </c>
      <c r="E4241" s="3" t="s">
        <v>17477</v>
      </c>
      <c r="F4241" s="3" t="s">
        <v>17476</v>
      </c>
      <c r="G4241" s="3" t="str">
        <f ca="1">IFERROR(__xludf.DUMMYFUNCTION("googletranslate(D4241,""en"",""ja"")"),"肺静脈優位")</f>
        <v>肺静脈優位</v>
      </c>
      <c r="H4241" s="3" t="str">
        <f ca="1">IFERROR(__xludf.DUMMYFUNCTION("googletranslate(E4241,""en"",""ja"")"),"肺静脈内の血流が心室収縮期と心室拡張期のどちらが多いかを判断します。")</f>
        <v>肺静脈内の血流が心室収縮期と心室拡張期のどちらが多いかを判断します。</v>
      </c>
      <c r="I4241" s="3" t="str">
        <f ca="1">IFERROR(__xludf.DUMMYFUNCTION("googletranslate(F4241,""en"",""ja"")"),"肺静脈優位")</f>
        <v>肺静脈優位</v>
      </c>
    </row>
    <row r="4242" spans="1:9" ht="30">
      <c r="A4242" s="3" t="s">
        <v>81</v>
      </c>
      <c r="B4242" s="3" t="s">
        <v>17478</v>
      </c>
      <c r="C4242" s="3" t="s">
        <v>17479</v>
      </c>
      <c r="D4242" s="3" t="s">
        <v>17479</v>
      </c>
      <c r="E4242" s="3" t="s">
        <v>17480</v>
      </c>
      <c r="F4242" s="3" t="s">
        <v>17479</v>
      </c>
      <c r="G4242" s="3" t="str">
        <f ca="1">IFERROR(__xludf.DUMMYFUNCTION("googletranslate(D4242,""en"",""ja"")"),"肺血管抵抗")</f>
        <v>肺血管抵抗</v>
      </c>
      <c r="H4242" s="3" t="str">
        <f ca="1">IFERROR(__xludf.DUMMYFUNCTION("googletranslate(E4242,""en"",""ja"")"),"肺血管系を通る血流に対する抵抗。")</f>
        <v>肺血管系を通る血流に対する抵抗。</v>
      </c>
      <c r="I4242" s="3" t="str">
        <f ca="1">IFERROR(__xludf.DUMMYFUNCTION("googletranslate(F4242,""en"",""ja"")"),"肺血管抵抗")</f>
        <v>肺血管抵抗</v>
      </c>
    </row>
    <row r="4243" spans="1:9" ht="45">
      <c r="A4243" s="3" t="s">
        <v>81</v>
      </c>
      <c r="B4243" s="3" t="s">
        <v>17481</v>
      </c>
      <c r="C4243" s="3" t="s">
        <v>17482</v>
      </c>
      <c r="D4243" s="3" t="s">
        <v>17482</v>
      </c>
      <c r="E4243" s="3" t="s">
        <v>17483</v>
      </c>
      <c r="F4243" s="3" t="s">
        <v>17482</v>
      </c>
      <c r="G4243" s="3" t="str">
        <f ca="1">IFERROR(__xludf.DUMMYFUNCTION("googletranslate(D4243,""en"",""ja"")"),"肺弁逆流画分")</f>
        <v>肺弁逆流画分</v>
      </c>
      <c r="H4243" s="3" t="str">
        <f ca="1">IFERROR(__xludf.DUMMYFUNCTION("googletranslate(E4243,""en"",""ja"")"),"肺動脈弁の開口部を通過する逆行性血流量の測定値で、順行性血流量のパーセンテージとして表されます。")</f>
        <v>肺動脈弁の開口部を通過する逆行性血流量の測定値で、順行性血流量のパーセンテージとして表されます。</v>
      </c>
      <c r="I4243" s="3" t="str">
        <f ca="1">IFERROR(__xludf.DUMMYFUNCTION("googletranslate(F4243,""en"",""ja"")"),"肺弁逆流画分")</f>
        <v>肺弁逆流画分</v>
      </c>
    </row>
    <row r="4244" spans="1:9" ht="30">
      <c r="A4244" s="3" t="s">
        <v>81</v>
      </c>
      <c r="B4244" s="3" t="s">
        <v>17484</v>
      </c>
      <c r="C4244" s="3" t="s">
        <v>17485</v>
      </c>
      <c r="D4244" s="3" t="s">
        <v>17485</v>
      </c>
      <c r="E4244" s="3" t="s">
        <v>17486</v>
      </c>
      <c r="F4244" s="3" t="s">
        <v>17485</v>
      </c>
      <c r="G4244" s="3" t="str">
        <f ca="1">IFERROR(__xludf.DUMMYFUNCTION("googletranslate(D4244,""en"",""ja"")"),"肺動脈弁逆流ジェット幅")</f>
        <v>肺動脈弁逆流ジェット幅</v>
      </c>
      <c r="H4244" s="3" t="str">
        <f ca="1">IFERROR(__xludf.DUMMYFUNCTION("googletranslate(E4244,""en"",""ja"")"),"右心室流出路への血液逆流の測定幅。")</f>
        <v>右心室流出路への血液逆流の測定幅。</v>
      </c>
      <c r="I4244" s="3" t="str">
        <f ca="1">IFERROR(__xludf.DUMMYFUNCTION("googletranslate(F4244,""en"",""ja"")"),"肺動脈弁逆流ジェット幅")</f>
        <v>肺動脈弁逆流ジェット幅</v>
      </c>
    </row>
    <row r="4245" spans="1:9" ht="30">
      <c r="A4245" s="3" t="s">
        <v>81</v>
      </c>
      <c r="B4245" s="3" t="s">
        <v>17487</v>
      </c>
      <c r="C4245" s="3" t="s">
        <v>17488</v>
      </c>
      <c r="D4245" s="3" t="s">
        <v>17488</v>
      </c>
      <c r="E4245" s="3" t="s">
        <v>17489</v>
      </c>
      <c r="F4245" s="3" t="s">
        <v>17488</v>
      </c>
      <c r="G4245" s="3" t="str">
        <f ca="1">IFERROR(__xludf.DUMMYFUNCTION("googletranslate(D4245,""en"",""ja"")"),"肺弁逆流量")</f>
        <v>肺弁逆流量</v>
      </c>
      <c r="H4245" s="3" t="str">
        <f ca="1">IFERROR(__xludf.DUMMYFUNCTION("googletranslate(E4245,""en"",""ja"")"),"肺動脈弁の開口部を通過する逆行性血流量の測定値。")</f>
        <v>肺動脈弁の開口部を通過する逆行性血流量の測定値。</v>
      </c>
      <c r="I4245" s="3" t="str">
        <f ca="1">IFERROR(__xludf.DUMMYFUNCTION("googletranslate(F4245,""en"",""ja"")"),"肺弁逆流量")</f>
        <v>肺弁逆流量</v>
      </c>
    </row>
    <row r="4246" spans="1:9" ht="30">
      <c r="A4246" s="3" t="s">
        <v>67</v>
      </c>
      <c r="B4246" s="3" t="s">
        <v>17490</v>
      </c>
      <c r="C4246" s="3" t="s">
        <v>17491</v>
      </c>
      <c r="D4246" s="3" t="s">
        <v>17491</v>
      </c>
      <c r="E4246" s="3" t="s">
        <v>17492</v>
      </c>
      <c r="F4246" s="3" t="s">
        <v>17493</v>
      </c>
      <c r="G4246" s="3" t="str">
        <f ca="1">IFERROR(__xludf.DUMMYFUNCTION("googletranslate(D4246,""en"",""ja"")"),"プロテウス尋常性")</f>
        <v>プロテウス尋常性</v>
      </c>
      <c r="H4246" s="3" t="str">
        <f ca="1">IFERROR(__xludf.DUMMYFUNCTION("googletranslate(E4246,""en"",""ja"")"),"生物学的標本中の Proteus vulgaris の測定。")</f>
        <v>生物学的標本中の Proteus vulgaris の測定。</v>
      </c>
      <c r="I4246" s="3" t="str">
        <f ca="1">IFERROR(__xludf.DUMMYFUNCTION("googletranslate(F4246,""en"",""ja"")"),"プロテウス・ブルガリスの測定")</f>
        <v>プロテウス・ブルガリスの測定</v>
      </c>
    </row>
    <row r="4247" spans="1:9" ht="30">
      <c r="A4247" s="3" t="s">
        <v>81</v>
      </c>
      <c r="B4247" s="3" t="s">
        <v>17494</v>
      </c>
      <c r="C4247" s="3" t="s">
        <v>17495</v>
      </c>
      <c r="D4247" s="3" t="s">
        <v>17495</v>
      </c>
      <c r="E4247" s="3" t="s">
        <v>17496</v>
      </c>
      <c r="F4247" s="3" t="s">
        <v>17495</v>
      </c>
      <c r="G4247" s="3" t="str">
        <f ca="1">IFERROR(__xludf.DUMMYFUNCTION("googletranslate(D4247,""en"",""ja"")"),"肺弁大静脈収縮領域")</f>
        <v>肺弁大静脈収縮領域</v>
      </c>
      <c r="H4247" s="3" t="str">
        <f ca="1">IFERROR(__xludf.DUMMYFUNCTION("googletranslate(E4247,""en"",""ja"")"),"肺動脈弁の収縮部の領域。")</f>
        <v>肺動脈弁の収縮部の領域。</v>
      </c>
      <c r="I4247" s="3" t="str">
        <f ca="1">IFERROR(__xludf.DUMMYFUNCTION("googletranslate(F4247,""en"",""ja"")"),"肺弁大静脈収縮領域")</f>
        <v>肺弁大静脈収縮領域</v>
      </c>
    </row>
    <row r="4248" spans="1:9" ht="30">
      <c r="A4248" s="3" t="s">
        <v>81</v>
      </c>
      <c r="B4248" s="3" t="s">
        <v>17497</v>
      </c>
      <c r="C4248" s="3" t="s">
        <v>17498</v>
      </c>
      <c r="D4248" s="3" t="s">
        <v>17498</v>
      </c>
      <c r="E4248" s="3" t="s">
        <v>17499</v>
      </c>
      <c r="F4248" s="3" t="s">
        <v>17498</v>
      </c>
      <c r="G4248" s="3" t="str">
        <f ca="1">IFERROR(__xludf.DUMMYFUNCTION("googletranslate(D4248,""en"",""ja"")"),"肺弁大静脈収縮幅")</f>
        <v>肺弁大静脈収縮幅</v>
      </c>
      <c r="H4248" s="3" t="str">
        <f ca="1">IFERROR(__xludf.DUMMYFUNCTION("googletranslate(E4248,""en"",""ja"")"),"肺動脈弁の収縮部の幅。")</f>
        <v>肺動脈弁の収縮部の幅。</v>
      </c>
      <c r="I4248" s="3" t="str">
        <f ca="1">IFERROR(__xludf.DUMMYFUNCTION("googletranslate(F4248,""en"",""ja"")"),"肺弁大静脈収縮幅")</f>
        <v>肺弁大静脈収縮幅</v>
      </c>
    </row>
    <row r="4249" spans="1:9" ht="75">
      <c r="A4249" s="3" t="s">
        <v>985</v>
      </c>
      <c r="B4249" s="3" t="s">
        <v>17500</v>
      </c>
      <c r="C4249" s="3" t="s">
        <v>17501</v>
      </c>
      <c r="D4249" s="3" t="s">
        <v>17501</v>
      </c>
      <c r="E4249" s="3" t="s">
        <v>17502</v>
      </c>
      <c r="F4249" s="3" t="s">
        <v>17503</v>
      </c>
      <c r="G4249" s="3" t="str">
        <f ca="1">IFERROR(__xludf.DUMMYFUNCTION("googletranslate(D4249,""en"",""ja"")"),"P 波の持続時間、合計")</f>
        <v>P 波の持続時間、合計</v>
      </c>
      <c r="H4249" s="3" t="str">
        <f ca="1">IFERROR(__xludf.DUMMYFUNCTION("googletranslate(E4249,""en"",""ja"")"),"単一の ECG 内の複数の拍動からの P 波持続時間間隔の測定に基づく集計 P 波持続時間値。集計方法はさまざまですが、通常は平均などの中心傾向の尺度です。")</f>
        <v>単一の ECG 内の複数の拍動からの P 波持続時間間隔の測定に基づく集計 P 波持続時間値。集計方法はさまざまですが、通常は平均などの中心傾向の尺度です。</v>
      </c>
      <c r="I4249" s="3" t="str">
        <f ca="1">IFERROR(__xludf.DUMMYFUNCTION("googletranslate(F4249,""en"",""ja"")"),"総P波持続時間")</f>
        <v>総P波持続時間</v>
      </c>
    </row>
    <row r="4250" spans="1:9" ht="45">
      <c r="A4250" s="3" t="s">
        <v>985</v>
      </c>
      <c r="B4250" s="3" t="s">
        <v>17504</v>
      </c>
      <c r="C4250" s="3" t="s">
        <v>17505</v>
      </c>
      <c r="D4250" s="3" t="s">
        <v>17505</v>
      </c>
      <c r="E4250" s="3" t="s">
        <v>17506</v>
      </c>
      <c r="F4250" s="3" t="s">
        <v>17507</v>
      </c>
      <c r="G4250" s="3" t="str">
        <f ca="1">IFERROR(__xludf.DUMMYFUNCTION("googletranslate(D4250,""en"",""ja"")"),"P 波の長さ、シングルビート")</f>
        <v>P 波の長さ、シングルビート</v>
      </c>
      <c r="H4250" s="3" t="str">
        <f ca="1">IFERROR(__xludf.DUMMYFUNCTION("googletranslate(E4250,""en"",""ja"")"),"1 つまたは複数のリードを使用して、単一拍動の P 波の開始から P 波のオフセットまで測定される心電図間隔。")</f>
        <v>1 つまたは複数のリードを使用して、単一拍動の P 波の開始から P 波のオフセットまで測定される心電図間隔。</v>
      </c>
      <c r="I4250" s="3" t="str">
        <f ca="1">IFERROR(__xludf.DUMMYFUNCTION("googletranslate(F4250,""en"",""ja"")"),"シングルビート P 波の長さ")</f>
        <v>シングルビート P 波の長さ</v>
      </c>
    </row>
    <row r="4251" spans="1:9" ht="75">
      <c r="A4251" s="3" t="s">
        <v>985</v>
      </c>
      <c r="B4251" s="3" t="s">
        <v>17508</v>
      </c>
      <c r="C4251" s="3" t="s">
        <v>17509</v>
      </c>
      <c r="D4251" s="3" t="s">
        <v>17509</v>
      </c>
      <c r="E4251" s="3" t="s">
        <v>17510</v>
      </c>
      <c r="F4251" s="3" t="s">
        <v>17511</v>
      </c>
      <c r="G4251" s="3" t="str">
        <f ca="1">IFERROR(__xludf.DUMMYFUNCTION("googletranslate(D4251,""en"",""ja"")"),"P 波振幅、集合体")</f>
        <v>P 波振幅、集合体</v>
      </c>
      <c r="H4251" s="3" t="str">
        <f ca="1">IFERROR(__xludf.DUMMYFUNCTION("googletranslate(E4251,""en"",""ja"")"),"単一の ECG 内の複数の拍動からの P 波振幅の測定に基づく集計 P 波振幅値。集計方法はさまざまですが、通常は平均などの中心傾向の尺度です。")</f>
        <v>単一の ECG 内の複数の拍動からの P 波振幅の測定に基づく集計 P 波振幅値。集計方法はさまざまですが、通常は平均などの中心傾向の尺度です。</v>
      </c>
      <c r="I4251" s="3" t="str">
        <f ca="1">IFERROR(__xludf.DUMMYFUNCTION("googletranslate(F4251,""en"",""ja"")"),"集合 P 波振幅")</f>
        <v>集合 P 波振幅</v>
      </c>
    </row>
    <row r="4252" spans="1:9" ht="75">
      <c r="A4252" s="3" t="s">
        <v>985</v>
      </c>
      <c r="B4252" s="3" t="s">
        <v>17512</v>
      </c>
      <c r="C4252" s="3" t="s">
        <v>17513</v>
      </c>
      <c r="D4252" s="3" t="s">
        <v>17513</v>
      </c>
      <c r="E4252" s="3" t="s">
        <v>17514</v>
      </c>
      <c r="F4252" s="3" t="s">
        <v>17515</v>
      </c>
      <c r="G4252" s="3" t="str">
        <f ca="1">IFERROR(__xludf.DUMMYFUNCTION("googletranslate(D4252,""en"",""ja"")"),"P 波振幅、シングルビート")</f>
        <v>P 波振幅、シングルビート</v>
      </c>
      <c r="H4252" s="3" t="str">
        <f ca="1">IFERROR(__xludf.DUMMYFUNCTION("googletranslate(E4252,""en"",""ja"")"),"1つまたは複数のリードを使用して、単一拍動の等電性ベースラインからP波のピークまで測定されたP波の平均振幅（通常はmmで測定）の心電図測定。録音ゲインに基づいて、この測定は")</f>
        <v>1つまたは複数のリードを使用して、単一拍動の等電性ベースラインからP波のピークまで測定されたP波の平均振幅（通常はmmで測定）の心電図測定。録音ゲインに基づいて、この測定は</v>
      </c>
      <c r="I4252" s="3" t="str">
        <f ca="1">IFERROR(__xludf.DUMMYFUNCTION("googletranslate(F4252,""en"",""ja"")"),"シングルビート P 波振幅")</f>
        <v>シングルビート P 波振幅</v>
      </c>
    </row>
    <row r="4253" spans="1:9" ht="30">
      <c r="A4253" s="3" t="s">
        <v>81</v>
      </c>
      <c r="B4253" s="3" t="s">
        <v>17516</v>
      </c>
      <c r="C4253" s="3" t="s">
        <v>17517</v>
      </c>
      <c r="D4253" s="3" t="s">
        <v>17517</v>
      </c>
      <c r="E4253" s="3" t="s">
        <v>17518</v>
      </c>
      <c r="F4253" s="3" t="s">
        <v>17517</v>
      </c>
      <c r="G4253" s="3" t="str">
        <f ca="1">IFERROR(__xludf.DUMMYFUNCTION("googletranslate(D4253,""en"",""ja"")"),"脈波伝播速度")</f>
        <v>脈波伝播速度</v>
      </c>
      <c r="H4253" s="3" t="str">
        <f ca="1">IFERROR(__xludf.DUMMYFUNCTION("googletranslate(E4253,""en"",""ja"")"),"心室駆出圧波のピークが単位時間当たりに移動する距離。")</f>
        <v>心室駆出圧波のピークが単位時間当たりに移動する距離。</v>
      </c>
      <c r="I4253" s="3" t="str">
        <f ca="1">IFERROR(__xludf.DUMMYFUNCTION("googletranslate(F4253,""en"",""ja"")"),"脈波伝播速度")</f>
        <v>脈波伝播速度</v>
      </c>
    </row>
    <row r="4254" spans="1:9" ht="30">
      <c r="A4254" s="3" t="s">
        <v>6</v>
      </c>
      <c r="B4254" s="3" t="s">
        <v>17519</v>
      </c>
      <c r="C4254" s="3" t="s">
        <v>17520</v>
      </c>
      <c r="D4254" s="3" t="s">
        <v>17520</v>
      </c>
      <c r="E4254" s="3" t="s">
        <v>17521</v>
      </c>
      <c r="F4254" s="3" t="s">
        <v>17522</v>
      </c>
      <c r="G4254" s="3" t="str">
        <f ca="1">IFERROR(__xludf.DUMMYFUNCTION("googletranslate(D4254,""en"",""ja"")"),"ピリジノリン/クレアチニン")</f>
        <v>ピリジノリン/クレアチニン</v>
      </c>
      <c r="H4254" s="3" t="str">
        <f ca="1">IFERROR(__xludf.DUMMYFUNCTION("googletranslate(E4254,""en"",""ja"")"),"生物学的標本中のクレアチニンに対するピリジノリンの相対測定値 (比率またはパーセンテージ)。")</f>
        <v>生物学的標本中のクレアチニンに対するピリジノリンの相対測定値 (比率またはパーセンテージ)。</v>
      </c>
      <c r="I4254" s="3" t="str">
        <f ca="1">IFERROR(__xludf.DUMMYFUNCTION("googletranslate(F4254,""en"",""ja"")"),"ピリジノリンとクレアチニンの比率の測定")</f>
        <v>ピリジノリンとクレアチニンの比率の測定</v>
      </c>
    </row>
    <row r="4255" spans="1:9" ht="30">
      <c r="A4255" s="3" t="s">
        <v>6</v>
      </c>
      <c r="B4255" s="3" t="s">
        <v>17523</v>
      </c>
      <c r="C4255" s="3" t="s">
        <v>17524</v>
      </c>
      <c r="D4255" s="3" t="s">
        <v>17525</v>
      </c>
      <c r="E4255" s="3" t="s">
        <v>17526</v>
      </c>
      <c r="F4255" s="3" t="s">
        <v>17527</v>
      </c>
      <c r="G4255" s="3" t="str">
        <f ca="1">IFERROR(__xludf.DUMMYFUNCTION("googletranslate(D4255,""en"",""ja"")"),"PK;ピルビン酸キナーゼ")</f>
        <v>PK;ピルビン酸キナーゼ</v>
      </c>
      <c r="H4255" s="3" t="str">
        <f ca="1">IFERROR(__xludf.DUMMYFUNCTION("googletranslate(E4255,""en"",""ja"")"),"生物学的標本中の総ピルビン酸キナーゼの測定。")</f>
        <v>生物学的標本中の総ピルビン酸キナーゼの測定。</v>
      </c>
      <c r="I4255" s="3" t="str">
        <f ca="1">IFERROR(__xludf.DUMMYFUNCTION("googletranslate(F4255,""en"",""ja"")"),"ピルビン酸キナーゼの測定")</f>
        <v>ピルビン酸キナーゼの測定</v>
      </c>
    </row>
    <row r="4256" spans="1:9">
      <c r="A4256" s="3" t="s">
        <v>6</v>
      </c>
      <c r="B4256" s="3" t="s">
        <v>17528</v>
      </c>
      <c r="C4256" s="3" t="s">
        <v>17529</v>
      </c>
      <c r="D4256" s="3" t="s">
        <v>17530</v>
      </c>
      <c r="E4256" s="3" t="s">
        <v>17531</v>
      </c>
      <c r="F4256" s="3" t="s">
        <v>17532</v>
      </c>
      <c r="G4256" s="3" t="str">
        <f ca="1">IFERROR(__xludf.DUMMYFUNCTION("googletranslate(D4256,""en"",""ja"")"),"核濃縮細胞;濃縮細胞")</f>
        <v>核濃縮細胞;濃縮細胞</v>
      </c>
      <c r="H4256" s="3" t="str">
        <f ca="1">IFERROR(__xludf.DUMMYFUNCTION("googletranslate(E4256,""en"",""ja"")"),"生物学的標本中の濃縮細胞の測定。")</f>
        <v>生物学的標本中の濃縮細胞の測定。</v>
      </c>
      <c r="I4256" s="3" t="str">
        <f ca="1">IFERROR(__xludf.DUMMYFUNCTION("googletranslate(F4256,""en"",""ja"")"),"濃縮細胞数")</f>
        <v>濃縮細胞数</v>
      </c>
    </row>
    <row r="4257" spans="1:9">
      <c r="A4257" s="3" t="s">
        <v>6</v>
      </c>
      <c r="B4257" s="3" t="s">
        <v>17533</v>
      </c>
      <c r="C4257" s="3" t="s">
        <v>17534</v>
      </c>
      <c r="D4257" s="3" t="s">
        <v>17534</v>
      </c>
      <c r="E4257" s="3" t="s">
        <v>17535</v>
      </c>
      <c r="F4257" s="3" t="s">
        <v>17536</v>
      </c>
      <c r="G4257" s="3" t="str">
        <f ca="1">IFERROR(__xludf.DUMMYFUNCTION("googletranslate(D4257,""en"",""ja"")"),"化膿細胞")</f>
        <v>化膿細胞</v>
      </c>
      <c r="H4257" s="3" t="str">
        <f ca="1">IFERROR(__xludf.DUMMYFUNCTION("googletranslate(E4257,""en"",""ja"")"),"生物学的標本中の化膿細胞の測定。")</f>
        <v>生物学的標本中の化膿細胞の測定。</v>
      </c>
      <c r="I4257" s="3" t="str">
        <f ca="1">IFERROR(__xludf.DUMMYFUNCTION("googletranslate(F4257,""en"",""ja"")"),"化膿細胞の測定")</f>
        <v>化膿細胞の測定</v>
      </c>
    </row>
    <row r="4258" spans="1:9">
      <c r="A4258" s="3" t="s">
        <v>6</v>
      </c>
      <c r="B4258" s="3" t="s">
        <v>17537</v>
      </c>
      <c r="C4258" s="3" t="s">
        <v>17538</v>
      </c>
      <c r="D4258" s="3" t="s">
        <v>17538</v>
      </c>
      <c r="E4258" s="3" t="s">
        <v>17539</v>
      </c>
      <c r="F4258" s="3" t="s">
        <v>17540</v>
      </c>
      <c r="G4258" s="3" t="str">
        <f ca="1">IFERROR(__xludf.DUMMYFUNCTION("googletranslate(D4258,""en"",""ja"")"),"ピリジノリン")</f>
        <v>ピリジノリン</v>
      </c>
      <c r="H4258" s="3" t="str">
        <f ca="1">IFERROR(__xludf.DUMMYFUNCTION("googletranslate(E4258,""en"",""ja"")"),"生物学的標本中のピリジノリンの測定。")</f>
        <v>生物学的標本中のピリジノリンの測定。</v>
      </c>
      <c r="I4258" s="3" t="str">
        <f ca="1">IFERROR(__xludf.DUMMYFUNCTION("googletranslate(F4258,""en"",""ja"")"),"ピリジノリンの測定")</f>
        <v>ピリジノリンの測定</v>
      </c>
    </row>
    <row r="4259" spans="1:9">
      <c r="A4259" s="3" t="s">
        <v>6</v>
      </c>
      <c r="B4259" s="3" t="s">
        <v>17541</v>
      </c>
      <c r="C4259" s="3" t="s">
        <v>17542</v>
      </c>
      <c r="D4259" s="3" t="s">
        <v>17542</v>
      </c>
      <c r="E4259" s="3" t="s">
        <v>17543</v>
      </c>
      <c r="F4259" s="3" t="s">
        <v>17544</v>
      </c>
      <c r="G4259" s="3" t="str">
        <f ca="1">IFERROR(__xludf.DUMMYFUNCTION("googletranslate(D4259,""en"",""ja"")"),"ピロバレロン")</f>
        <v>ピロバレロン</v>
      </c>
      <c r="H4259" s="3" t="str">
        <f ca="1">IFERROR(__xludf.DUMMYFUNCTION("googletranslate(E4259,""en"",""ja"")"),"生物学的標本中のピロバレロンの測定。")</f>
        <v>生物学的標本中のピロバレロンの測定。</v>
      </c>
      <c r="I4259" s="3" t="str">
        <f ca="1">IFERROR(__xludf.DUMMYFUNCTION("googletranslate(F4259,""en"",""ja"")"),"ピロバレロンの測定")</f>
        <v>ピロバレロンの測定</v>
      </c>
    </row>
    <row r="4260" spans="1:9">
      <c r="A4260" s="3" t="s">
        <v>6</v>
      </c>
      <c r="B4260" s="3" t="s">
        <v>17545</v>
      </c>
      <c r="C4260" s="3" t="s">
        <v>17546</v>
      </c>
      <c r="D4260" s="3" t="s">
        <v>17547</v>
      </c>
      <c r="E4260" s="3" t="s">
        <v>17548</v>
      </c>
      <c r="F4260" s="3" t="s">
        <v>17549</v>
      </c>
      <c r="G4260" s="3" t="str">
        <f ca="1">IFERROR(__xludf.DUMMYFUNCTION("googletranslate(D4260,""en"",""ja"")"),"ピルビン酸塩;ピルビン酸")</f>
        <v>ピルビン酸塩;ピルビン酸</v>
      </c>
      <c r="H4260" s="3" t="str">
        <f ca="1">IFERROR(__xludf.DUMMYFUNCTION("googletranslate(E4260,""en"",""ja"")"),"生物学的標本中のピルビン酸の測定。")</f>
        <v>生物学的標本中のピルビン酸の測定。</v>
      </c>
      <c r="I4260" s="3" t="str">
        <f ca="1">IFERROR(__xludf.DUMMYFUNCTION("googletranslate(F4260,""en"",""ja"")"),"ピルビン酸の測定")</f>
        <v>ピルビン酸の測定</v>
      </c>
    </row>
    <row r="4261" spans="1:9" ht="30">
      <c r="A4261" s="3" t="s">
        <v>6</v>
      </c>
      <c r="B4261" s="3" t="s">
        <v>17550</v>
      </c>
      <c r="C4261" s="3" t="s">
        <v>17551</v>
      </c>
      <c r="D4261" s="3" t="s">
        <v>17552</v>
      </c>
      <c r="E4261" s="3" t="s">
        <v>17553</v>
      </c>
      <c r="F4261" s="3" t="s">
        <v>17554</v>
      </c>
      <c r="G4261" s="3" t="str">
        <f ca="1">IFERROR(__xludf.DUMMYFUNCTION("googletranslate(D4261,""en"",""ja"")"),"ペプチドチロシン チロシン;ペプチドYY")</f>
        <v>ペプチドチロシン チロシン;ペプチドYY</v>
      </c>
      <c r="H4261" s="3" t="str">
        <f ca="1">IFERROR(__xludf.DUMMYFUNCTION("googletranslate(E4261,""en"",""ja"")"),"生物学的標本中のペプチド YY の測定。")</f>
        <v>生物学的標本中のペプチド YY の測定。</v>
      </c>
      <c r="I4261" s="3" t="str">
        <f ca="1">IFERROR(__xludf.DUMMYFUNCTION("googletranslate(F4261,""en"",""ja"")"),"ペプチドYY測定")</f>
        <v>ペプチドYY測定</v>
      </c>
    </row>
    <row r="4262" spans="1:9" ht="30">
      <c r="A4262" s="3" t="s">
        <v>185</v>
      </c>
      <c r="B4262" s="3" t="s">
        <v>17555</v>
      </c>
      <c r="C4262" s="3" t="s">
        <v>17556</v>
      </c>
      <c r="D4262" s="3" t="s">
        <v>17557</v>
      </c>
      <c r="E4262" s="3" t="s">
        <v>17558</v>
      </c>
      <c r="F4262" s="3" t="s">
        <v>17559</v>
      </c>
      <c r="G4262" s="3" t="str">
        <f ca="1">IFERROR(__xludf.DUMMYFUNCTION("googletranslate(D4262,""en"",""ja"")"),"QOLへの影響。生活の質への影響")</f>
        <v>QOLへの影響。生活の質への影響</v>
      </c>
      <c r="H4262" s="3" t="str">
        <f ca="1">IFERROR(__xludf.DUMMYFUNCTION("googletranslate(E4262,""en"",""ja"")"),"個人の幸福感や人生を楽しむ能力に対する出来事や状態の影響や結果。")</f>
        <v>個人の幸福感や人生を楽しむ能力に対する出来事や状態の影響や結果。</v>
      </c>
      <c r="I4262" s="3" t="str">
        <f ca="1">IFERROR(__xludf.DUMMYFUNCTION("googletranslate(F4262,""en"",""ja"")"),"生活の質への影響")</f>
        <v>生活の質への影響</v>
      </c>
    </row>
    <row r="4263" spans="1:9" ht="45">
      <c r="A4263" s="3" t="s">
        <v>985</v>
      </c>
      <c r="B4263" s="3" t="s">
        <v>17560</v>
      </c>
      <c r="C4263" s="3" t="s">
        <v>17561</v>
      </c>
      <c r="D4263" s="3" t="s">
        <v>17561</v>
      </c>
      <c r="E4263" s="3" t="s">
        <v>17562</v>
      </c>
      <c r="F4263" s="3" t="s">
        <v>17561</v>
      </c>
      <c r="G4263" s="3" t="str">
        <f ca="1">IFERROR(__xludf.DUMMYFUNCTION("googletranslate(D4263,""en"",""ja"")"),"QRS軸")</f>
        <v>QRS軸</v>
      </c>
      <c r="H4263" s="3" t="str">
        <f ca="1">IFERROR(__xludf.DUMMYFUNCTION("googletranslate(E4263,""en"",""ja"")"),"等電ベースラインからの QRS 群の最大偏差で評価された心電図ベクトルの数値表現。通常は前額面について報告されます。")</f>
        <v>等電ベースラインからの QRS 群の最大偏差で評価された心電図ベクトルの数値表現。通常は前額面について報告されます。</v>
      </c>
      <c r="I4263" s="3" t="str">
        <f ca="1">IFERROR(__xludf.DUMMYFUNCTION("googletranslate(F4263,""en"",""ja"")"),"QRS軸")</f>
        <v>QRS軸</v>
      </c>
    </row>
    <row r="4264" spans="1:9" ht="60">
      <c r="A4264" s="3" t="s">
        <v>985</v>
      </c>
      <c r="B4264" s="3" t="s">
        <v>17563</v>
      </c>
      <c r="C4264" s="3" t="s">
        <v>17564</v>
      </c>
      <c r="D4264" s="3" t="s">
        <v>17564</v>
      </c>
      <c r="E4264" s="3" t="s">
        <v>17565</v>
      </c>
      <c r="F4264" s="3" t="s">
        <v>17566</v>
      </c>
      <c r="G4264" s="3" t="str">
        <f ca="1">IFERROR(__xludf.DUMMYFUNCTION("googletranslate(D4264,""en"",""ja"")"),"QRS期間、集計")</f>
        <v>QRS期間、集計</v>
      </c>
      <c r="H4264" s="3" t="str">
        <f ca="1">IFERROR(__xludf.DUMMYFUNCTION("googletranslate(E4264,""en"",""ja"")"),"単一の ECG 内の複数の拍動からの QRS 間隔の測定に基づく集計 QRS 値。集計方法はさまざまですが、通常は平均などの中心傾向の尺度です。")</f>
        <v>単一の ECG 内の複数の拍動からの QRS 間隔の測定に基づく集計 QRS 値。集計方法はさまざまですが、通常は平均などの中心傾向の尺度です。</v>
      </c>
      <c r="I4264" s="3" t="str">
        <f ca="1">IFERROR(__xludf.DUMMYFUNCTION("googletranslate(F4264,""en"",""ja"")"),"集計 QRS 期間")</f>
        <v>集計 QRS 期間</v>
      </c>
    </row>
    <row r="4265" spans="1:9" ht="45">
      <c r="A4265" s="3" t="s">
        <v>985</v>
      </c>
      <c r="B4265" s="3" t="s">
        <v>17567</v>
      </c>
      <c r="C4265" s="3" t="s">
        <v>17568</v>
      </c>
      <c r="D4265" s="3" t="s">
        <v>17568</v>
      </c>
      <c r="E4265" s="3" t="s">
        <v>17569</v>
      </c>
      <c r="F4265" s="3" t="s">
        <v>17570</v>
      </c>
      <c r="G4265" s="3" t="str">
        <f ca="1">IFERROR(__xludf.DUMMYFUNCTION("googletranslate(D4265,""en"",""ja"")"),"QRS 持続時間、シングルビート")</f>
        <v>QRS 持続時間、シングルビート</v>
      </c>
      <c r="H4265" s="3" t="str">
        <f ca="1">IFERROR(__xludf.DUMMYFUNCTION("googletranslate(E4265,""en"",""ja"")"),"1 つまたは複数のリードを使用して、単一拍動の QRS 群の開始から QRS 群のオフセットまで測定される心電図間隔。")</f>
        <v>1 つまたは複数のリードを使用して、単一拍動の QRS 群の開始から QRS 群のオフセットまで測定される心電図間隔。</v>
      </c>
      <c r="I4265" s="3" t="str">
        <f ca="1">IFERROR(__xludf.DUMMYFUNCTION("googletranslate(F4265,""en"",""ja"")"),"シングルビート QRS 持続時間")</f>
        <v>シングルビート QRS 持続時間</v>
      </c>
    </row>
    <row r="4266" spans="1:9" ht="75">
      <c r="A4266" s="3" t="s">
        <v>985</v>
      </c>
      <c r="B4266" s="3" t="s">
        <v>17571</v>
      </c>
      <c r="C4266" s="3" t="s">
        <v>17572</v>
      </c>
      <c r="D4266" s="3" t="s">
        <v>17572</v>
      </c>
      <c r="E4266" s="3" t="s">
        <v>17573</v>
      </c>
      <c r="F4266" s="3" t="s">
        <v>17574</v>
      </c>
      <c r="G4266" s="3" t="str">
        <f ca="1">IFERROR(__xludf.DUMMYFUNCTION("googletranslate(D4266,""en"",""ja"")"),"QRS 持続時間、腹部。ペース、集約")</f>
        <v>QRS 持続時間、腹部。ペース、集約</v>
      </c>
      <c r="H4266" s="3" t="str">
        <f ca="1">IFERROR(__xludf.DUMMYFUNCTION("googletranslate(E4266,""en"",""ja"")"),"単一 ECG 内の複数の拍動からのペーシング QRS 持続時間間隔の測定に基づく、ペーシング QRS 持続時間の集計値。集計方法はさまざまですが、通常は平均などの中心傾向の尺度です。")</f>
        <v>単一 ECG 内の複数の拍動からのペーシング QRS 持続時間間隔の測定に基づく、ペーシング QRS 持続時間の集計値。集計方法はさまざまですが、通常は平均などの中心傾向の尺度です。</v>
      </c>
      <c r="I4266" s="3" t="str">
        <f ca="1">IFERROR(__xludf.DUMMYFUNCTION("googletranslate(F4266,""en"",""ja"")"),"ペーシングされた心室集合 QRS 持続時間")</f>
        <v>ペーシングされた心室集合 QRS 持続時間</v>
      </c>
    </row>
    <row r="4267" spans="1:9" ht="45">
      <c r="A4267" s="3" t="s">
        <v>985</v>
      </c>
      <c r="B4267" s="3" t="s">
        <v>17575</v>
      </c>
      <c r="C4267" s="3" t="s">
        <v>17576</v>
      </c>
      <c r="D4267" s="3" t="s">
        <v>17576</v>
      </c>
      <c r="E4267" s="3" t="s">
        <v>17577</v>
      </c>
      <c r="F4267" s="3" t="s">
        <v>17578</v>
      </c>
      <c r="G4267" s="3" t="str">
        <f ca="1">IFERROR(__xludf.DUMMYFUNCTION("googletranslate(D4267,""en"",""ja"")"),"QRS 持続時間、腹部。ペース、シングルビート")</f>
        <v>QRS 持続時間、腹部。ペース、シングルビート</v>
      </c>
      <c r="H4267" s="3" t="str">
        <f ca="1">IFERROR(__xludf.DUMMYFUNCTION("googletranslate(E4267,""en"",""ja"")"),"1 つまたは複数のリードを使用して、ペーシングされた QRS 群の開始から単一拍動の QRS 群のオフセットまで測定される心電図間隔。")</f>
        <v>1 つまたは複数のリードを使用して、ペーシングされた QRS 群の開始から単一拍動の QRS 群のオフセットまで測定される心電図間隔。</v>
      </c>
      <c r="I4267" s="3" t="str">
        <f ca="1">IFERROR(__xludf.DUMMYFUNCTION("googletranslate(F4267,""en"",""ja"")"),"ペーシングされた心室単一拍動 QRS 持続時間")</f>
        <v>ペーシングされた心室単一拍動 QRS 持続時間</v>
      </c>
    </row>
    <row r="4268" spans="1:9" ht="60">
      <c r="A4268" s="3" t="s">
        <v>985</v>
      </c>
      <c r="B4268" s="3" t="s">
        <v>17579</v>
      </c>
      <c r="C4268" s="3" t="s">
        <v>17580</v>
      </c>
      <c r="D4268" s="3" t="s">
        <v>17580</v>
      </c>
      <c r="E4268" s="3" t="s">
        <v>17581</v>
      </c>
      <c r="F4268" s="3" t="s">
        <v>17582</v>
      </c>
      <c r="G4268" s="3" t="str">
        <f ca="1">IFERROR(__xludf.DUMMYFUNCTION("googletranslate(D4268,""en"",""ja"")"),"QT 間隔、集計")</f>
        <v>QT 間隔、集計</v>
      </c>
      <c r="H4268" s="3" t="str">
        <f ca="1">IFERROR(__xludf.DUMMYFUNCTION("googletranslate(E4268,""en"",""ja"")"),"単一の ECG 内の複数の拍動からの QT 間隔の測定に基づく集計 QT 値。集計方法はさまざまですが、通常は平均などの中心傾向の尺度です。")</f>
        <v>単一の ECG 内の複数の拍動からの QT 間隔の測定に基づく集計 QT 値。集計方法はさまざまですが、通常は平均などの中心傾向の尺度です。</v>
      </c>
      <c r="I4268" s="3" t="str">
        <f ca="1">IFERROR(__xludf.DUMMYFUNCTION("googletranslate(F4268,""en"",""ja"")"),"総QT間隔")</f>
        <v>総QT間隔</v>
      </c>
    </row>
    <row r="4269" spans="1:9" ht="75">
      <c r="A4269" s="3" t="s">
        <v>985</v>
      </c>
      <c r="B4269" s="3" t="s">
        <v>17583</v>
      </c>
      <c r="C4269" s="3" t="s">
        <v>17584</v>
      </c>
      <c r="D4269" s="3" t="s">
        <v>17584</v>
      </c>
      <c r="E4269" s="3" t="s">
        <v>17585</v>
      </c>
      <c r="F4269" s="3" t="s">
        <v>17586</v>
      </c>
      <c r="G4269" s="3" t="str">
        <f ca="1">IFERROR(__xludf.DUMMYFUNCTION("googletranslate(D4269,""en"",""ja"")"),"QTca 間隔、集計")</f>
        <v>QTca 間隔、集計</v>
      </c>
      <c r="H4269" s="3" t="str">
        <f ca="1">IFERROR(__xludf.DUMMYFUNCTION("googletranslate(E4269,""en"",""ja"")"),"単一の ECG または連続 ECG 期間内の複数の拍動からの QT 間隔の測定に基づいて、各被験者の個別の確率的 QT/RR 勾配を使用して心拍数を補正した QT 集計間隔。集計方法")</f>
        <v>単一の ECG または連続 ECG 期間内の複数の拍動からの QT 間隔の測定に基づいて、各被験者の個別の確率的 QT/RR 勾配を使用して心拍数を補正した QT 集計間隔。集計方法</v>
      </c>
      <c r="I4269" s="3" t="str">
        <f ca="1">IFERROR(__xludf.DUMMYFUNCTION("googletranslate(F4269,""en"",""ja"")"),"集計 QTca 間隔")</f>
        <v>集計 QTca 間隔</v>
      </c>
    </row>
    <row r="4270" spans="1:9" ht="60">
      <c r="A4270" s="3" t="s">
        <v>985</v>
      </c>
      <c r="B4270" s="3" t="s">
        <v>17587</v>
      </c>
      <c r="C4270" s="3" t="s">
        <v>17588</v>
      </c>
      <c r="D4270" s="3" t="s">
        <v>17588</v>
      </c>
      <c r="E4270" s="3" t="s">
        <v>17589</v>
      </c>
      <c r="F4270" s="3" t="s">
        <v>17590</v>
      </c>
      <c r="G4270" s="3" t="str">
        <f ca="1">IFERROR(__xludf.DUMMYFUNCTION("googletranslate(D4270,""en"",""ja"")"),"QTca インターバル、シングルビート")</f>
        <v>QTca インターバル、シングルビート</v>
      </c>
      <c r="H4270" s="3" t="str">
        <f ca="1">IFERROR(__xludf.DUMMYFUNCTION("googletranslate(E4270,""en"",""ja"")"),"1 つ以上の ECG リードを使用して単一拍動で測定された QT 間隔に基づいて、各被験者の個別の確率的 QT/RR 勾配を使用して心拍数を補正した QT 間隔。")</f>
        <v>1 つ以上の ECG リードを使用して単一拍動で測定された QT 間隔に基づいて、各被験者の個別の確率的 QT/RR 勾配を使用して心拍数を補正した QT 間隔。</v>
      </c>
      <c r="I4270" s="3" t="str">
        <f ca="1">IFERROR(__xludf.DUMMYFUNCTION("googletranslate(F4270,""en"",""ja"")"),"シングルビート QTca インターバル")</f>
        <v>シングルビート QTca インターバル</v>
      </c>
    </row>
    <row r="4271" spans="1:9" ht="75">
      <c r="A4271" s="3" t="s">
        <v>985</v>
      </c>
      <c r="B4271" s="3" t="s">
        <v>17591</v>
      </c>
      <c r="C4271" s="3" t="s">
        <v>17592</v>
      </c>
      <c r="D4271" s="3" t="s">
        <v>17592</v>
      </c>
      <c r="E4271" s="3" t="s">
        <v>17593</v>
      </c>
      <c r="F4271" s="3" t="s">
        <v>17594</v>
      </c>
      <c r="G4271" s="3" t="str">
        <f ca="1">IFERROR(__xludf.DUMMYFUNCTION("googletranslate(D4271,""en"",""ja"")"),"QTcB 間隔、集計")</f>
        <v>QTcB 間隔、集計</v>
      </c>
      <c r="H4271" s="3" t="str">
        <f ca="1">IFERROR(__xludf.DUMMYFUNCTION("googletranslate(E4271,""en"",""ja"")"),"単一の ECG 内の複数の拍動からの QT 間隔の測定に基づいて、Bazett の公式を使用して心拍数を補正した QT 集計間隔。集計方法はさまざまですが、通常は次のような中心的な傾向を測定します。")</f>
        <v>単一の ECG 内の複数の拍動からの QT 間隔の測定に基づいて、Bazett の公式を使用して心拍数を補正した QT 集計間隔。集計方法はさまざまですが、通常は次のような中心的な傾向を測定します。</v>
      </c>
      <c r="I4271" s="3" t="str">
        <f ca="1">IFERROR(__xludf.DUMMYFUNCTION("googletranslate(F4271,""en"",""ja"")"),"集約 QTCB 間隔")</f>
        <v>集約 QTCB 間隔</v>
      </c>
    </row>
    <row r="4272" spans="1:9" ht="45">
      <c r="A4272" s="3" t="s">
        <v>985</v>
      </c>
      <c r="B4272" s="3" t="s">
        <v>17595</v>
      </c>
      <c r="C4272" s="3" t="s">
        <v>17596</v>
      </c>
      <c r="D4272" s="3" t="s">
        <v>17596</v>
      </c>
      <c r="E4272" s="3" t="s">
        <v>17597</v>
      </c>
      <c r="F4272" s="3" t="s">
        <v>17598</v>
      </c>
      <c r="G4272" s="3" t="str">
        <f ca="1">IFERROR(__xludf.DUMMYFUNCTION("googletranslate(D4272,""en"",""ja"")"),"QTcB インターバル、シングルビート")</f>
        <v>QTcB インターバル、シングルビート</v>
      </c>
      <c r="H4272" s="3" t="str">
        <f ca="1">IFERROR(__xludf.DUMMYFUNCTION("googletranslate(E4272,""en"",""ja"")"),"1 つ以上の ECG リードを使用して単一拍動で測定された QT 間隔に基づいて、Bazett の公式を使用して心拍数を補正した QT 単一拍動間隔。")</f>
        <v>1 つ以上の ECG リードを使用して単一拍動で測定された QT 間隔に基づいて、Bazett の公式を使用して心拍数を補正した QT 単一拍動間隔。</v>
      </c>
      <c r="I4272" s="3" t="str">
        <f ca="1">IFERROR(__xludf.DUMMYFUNCTION("googletranslate(F4272,""en"",""ja"")"),"シングルビート QTCB インターバル")</f>
        <v>シングルビート QTCB インターバル</v>
      </c>
    </row>
    <row r="4273" spans="1:9" ht="75">
      <c r="A4273" s="3" t="s">
        <v>985</v>
      </c>
      <c r="B4273" s="3" t="s">
        <v>17599</v>
      </c>
      <c r="C4273" s="3" t="s">
        <v>17600</v>
      </c>
      <c r="D4273" s="3" t="s">
        <v>17600</v>
      </c>
      <c r="E4273" s="3" t="s">
        <v>17601</v>
      </c>
      <c r="F4273" s="3" t="s">
        <v>17602</v>
      </c>
      <c r="G4273" s="3" t="str">
        <f ca="1">IFERROR(__xludf.DUMMYFUNCTION("googletranslate(D4273,""en"",""ja"")"),"QTcF 間隔、集計")</f>
        <v>QTcF 間隔、集計</v>
      </c>
      <c r="H4273" s="3" t="str">
        <f ca="1">IFERROR(__xludf.DUMMYFUNCTION("googletranslate(E4273,""en"",""ja"")"),"単一の ECG 内の複数の拍動からの QT 間隔の測定に基づいて、フリデリシアの公式を使用して心拍数を補正した QT 集計間隔。集計方法はさまざまですが、通常は中心的な傾向の尺度です。")</f>
        <v>単一の ECG 内の複数の拍動からの QT 間隔の測定に基づいて、フリデリシアの公式を使用して心拍数を補正した QT 集計間隔。集計方法はさまざまですが、通常は中心的な傾向の尺度です。</v>
      </c>
      <c r="I4273" s="3" t="str">
        <f ca="1">IFERROR(__xludf.DUMMYFUNCTION("googletranslate(F4273,""en"",""ja"")"),"集計 QTCF 間隔")</f>
        <v>集計 QTCF 間隔</v>
      </c>
    </row>
    <row r="4274" spans="1:9" ht="45">
      <c r="A4274" s="3" t="s">
        <v>985</v>
      </c>
      <c r="B4274" s="3" t="s">
        <v>17603</v>
      </c>
      <c r="C4274" s="3" t="s">
        <v>17604</v>
      </c>
      <c r="D4274" s="3" t="s">
        <v>17604</v>
      </c>
      <c r="E4274" s="3" t="s">
        <v>17605</v>
      </c>
      <c r="F4274" s="3" t="s">
        <v>17606</v>
      </c>
      <c r="G4274" s="3" t="str">
        <f ca="1">IFERROR(__xludf.DUMMYFUNCTION("googletranslate(D4274,""en"",""ja"")"),"QTcF インターバル、シングルビート")</f>
        <v>QTcF インターバル、シングルビート</v>
      </c>
      <c r="H4274" s="3" t="str">
        <f ca="1">IFERROR(__xludf.DUMMYFUNCTION("googletranslate(E4274,""en"",""ja"")"),"1 つ以上の ECG リードを使用して単一拍動で測定された QT 間隔に基づいて、フリデリシアの公式を使用して心拍数を補正した QT 単一拍動間隔。")</f>
        <v>1 つ以上の ECG リードを使用して単一拍動で測定された QT 間隔に基づいて、フリデリシアの公式を使用して心拍数を補正した QT 単一拍動間隔。</v>
      </c>
      <c r="I4274" s="3" t="str">
        <f ca="1">IFERROR(__xludf.DUMMYFUNCTION("googletranslate(F4274,""en"",""ja"")"),"シングルビート QTCF インターバル")</f>
        <v>シングルビート QTCF インターバル</v>
      </c>
    </row>
    <row r="4275" spans="1:9" ht="30">
      <c r="A4275" s="3" t="s">
        <v>985</v>
      </c>
      <c r="B4275" s="3" t="s">
        <v>17607</v>
      </c>
      <c r="C4275" s="3" t="s">
        <v>17608</v>
      </c>
      <c r="D4275" s="3" t="s">
        <v>17608</v>
      </c>
      <c r="E4275" s="3" t="s">
        <v>17609</v>
      </c>
      <c r="F4275" s="3" t="s">
        <v>17610</v>
      </c>
      <c r="G4275" s="3" t="str">
        <f ca="1">IFERROR(__xludf.DUMMYFUNCTION("googletranslate(D4275,""en"",""ja"")"),"QTcL 間隔、集計")</f>
        <v>QTcL 間隔、集計</v>
      </c>
      <c r="H4275" s="3" t="str">
        <f ca="1">IFERROR(__xludf.DUMMYFUNCTION("googletranslate(E4275,""en"",""ja"")"),"線形補正式を使用して心拍数を補正した QT 集計間隔。")</f>
        <v>線形補正式を使用して心拍数を補正した QT 集計間隔。</v>
      </c>
      <c r="I4275" s="3" t="str">
        <f ca="1">IFERROR(__xludf.DUMMYFUNCTION("googletranslate(F4275,""en"",""ja"")"),"集計 QTcL 間隔")</f>
        <v>集計 QTcL 間隔</v>
      </c>
    </row>
    <row r="4276" spans="1:9" ht="30">
      <c r="A4276" s="3" t="s">
        <v>985</v>
      </c>
      <c r="B4276" s="3" t="s">
        <v>17611</v>
      </c>
      <c r="C4276" s="3" t="s">
        <v>17612</v>
      </c>
      <c r="D4276" s="3" t="s">
        <v>17612</v>
      </c>
      <c r="E4276" s="3" t="s">
        <v>17613</v>
      </c>
      <c r="F4276" s="3" t="s">
        <v>17614</v>
      </c>
      <c r="G4276" s="3" t="str">
        <f ca="1">IFERROR(__xludf.DUMMYFUNCTION("googletranslate(D4276,""en"",""ja"")"),"QTcL インターバル、シングルビート")</f>
        <v>QTcL インターバル、シングルビート</v>
      </c>
      <c r="H4276" s="3" t="str">
        <f ca="1">IFERROR(__xludf.DUMMYFUNCTION("googletranslate(E4276,""en"",""ja"")"),"線形補正式を使用して心拍数を補正した QT 単一心拍間隔。")</f>
        <v>線形補正式を使用して心拍数を補正した QT 単一心拍間隔。</v>
      </c>
      <c r="I4276" s="3" t="str">
        <f ca="1">IFERROR(__xludf.DUMMYFUNCTION("googletranslate(F4276,""en"",""ja"")"),"シングルビート QTcL 間隔")</f>
        <v>シングルビート QTcL 間隔</v>
      </c>
    </row>
    <row r="4277" spans="1:9" ht="30">
      <c r="A4277" s="3" t="s">
        <v>985</v>
      </c>
      <c r="B4277" s="3" t="s">
        <v>17615</v>
      </c>
      <c r="C4277" s="3" t="s">
        <v>17616</v>
      </c>
      <c r="D4277" s="3" t="s">
        <v>17616</v>
      </c>
      <c r="E4277" s="3" t="s">
        <v>17617</v>
      </c>
      <c r="F4277" s="3" t="s">
        <v>17618</v>
      </c>
      <c r="G4277" s="3" t="str">
        <f ca="1">IFERROR(__xludf.DUMMYFUNCTION("googletranslate(D4277,""en"",""ja"")"),"QTc 補正方法が指定されていない")</f>
        <v>QTc 補正方法が指定されていない</v>
      </c>
      <c r="H4277" s="3" t="str">
        <f ca="1">IFERROR(__xludf.DUMMYFUNCTION("googletranslate(E4277,""en"",""ja"")"),"指定されていない補正方法または非標準の補正方法によって心拍数が補正された QT 間隔。")</f>
        <v>指定されていない補正方法または非標準の補正方法によって心拍数が補正された QT 間隔。</v>
      </c>
      <c r="I4277" s="3" t="str">
        <f ca="1">IFERROR(__xludf.DUMMYFUNCTION("googletranslate(F4277,""en"",""ja"")"),"修正された QT 間隔")</f>
        <v>修正された QT 間隔</v>
      </c>
    </row>
    <row r="4278" spans="1:9" ht="45">
      <c r="A4278" s="3" t="s">
        <v>985</v>
      </c>
      <c r="B4278" s="3" t="s">
        <v>17619</v>
      </c>
      <c r="C4278" s="3" t="s">
        <v>17620</v>
      </c>
      <c r="D4278" s="3" t="s">
        <v>17621</v>
      </c>
      <c r="E4278" s="3" t="s">
        <v>17622</v>
      </c>
      <c r="F4278" s="3" t="s">
        <v>17623</v>
      </c>
      <c r="G4278" s="3" t="str">
        <f ca="1">IFERROR(__xludf.DUMMYFUNCTION("googletranslate(D4278,""en"",""ja"")"),"QTc Corr メソッドが指定されていない、集計。 QTc 補正方法未指定、集計")</f>
        <v>QTc Corr メソッドが指定されていない、集計。 QTc 補正方法未指定、集計</v>
      </c>
      <c r="H4278" s="3" t="str">
        <f ca="1">IFERROR(__xludf.DUMMYFUNCTION("googletranslate(E4278,""en"",""ja"")"),"指定されていない補正方法または非標準の補正方法によって心拍数が補正された QT 集計間隔。")</f>
        <v>指定されていない補正方法または非標準の補正方法によって心拍数が補正された QT 集計間隔。</v>
      </c>
      <c r="I4278" s="3" t="str">
        <f ca="1">IFERROR(__xludf.DUMMYFUNCTION("googletranslate(F4278,""en"",""ja"")"),"QTc 補正方法未指定、集計")</f>
        <v>QTc 補正方法未指定、集計</v>
      </c>
    </row>
    <row r="4279" spans="1:9" ht="60">
      <c r="A4279" s="3" t="s">
        <v>985</v>
      </c>
      <c r="B4279" s="3" t="s">
        <v>17624</v>
      </c>
      <c r="C4279" s="3" t="s">
        <v>17625</v>
      </c>
      <c r="D4279" s="3" t="s">
        <v>17626</v>
      </c>
      <c r="E4279" s="3" t="s">
        <v>17627</v>
      </c>
      <c r="F4279" s="3" t="s">
        <v>17628</v>
      </c>
      <c r="G4279" s="3" t="str">
        <f ca="1">IFERROR(__xludf.DUMMYFUNCTION("googletranslate(D4279,""en"",""ja"")"),"QTc Corr メソッドが指定されていない、単一ビート。 QTc 補正方法指定なし、シングルビート")</f>
        <v>QTc Corr メソッドが指定されていない、単一ビート。 QTc 補正方法指定なし、シングルビート</v>
      </c>
      <c r="H4279" s="3" t="str">
        <f ca="1">IFERROR(__xludf.DUMMYFUNCTION("googletranslate(E4279,""en"",""ja"")"),"1 つ以上の ECG リードを使用して単一拍動で測定された QT 間隔に基づいて、指定されていない補正方法または非標準の補正方法によって心拍数が補正された QT 間隔。")</f>
        <v>1 つ以上の ECG リードを使用して単一拍動で測定された QT 間隔に基づいて、指定されていない補正方法または非標準の補正方法によって心拍数が補正された QT 間隔。</v>
      </c>
      <c r="I4279" s="3" t="str">
        <f ca="1">IFERROR(__xludf.DUMMYFUNCTION("googletranslate(F4279,""en"",""ja"")"),"QTc 補正方法指定なし、シングルビート")</f>
        <v>QTc 補正方法指定なし、シングルビート</v>
      </c>
    </row>
    <row r="4280" spans="1:9" ht="30">
      <c r="A4280" s="3" t="s">
        <v>985</v>
      </c>
      <c r="B4280" s="3" t="s">
        <v>17629</v>
      </c>
      <c r="C4280" s="3" t="s">
        <v>17630</v>
      </c>
      <c r="D4280" s="3" t="s">
        <v>17630</v>
      </c>
      <c r="E4280" s="3" t="s">
        <v>17631</v>
      </c>
      <c r="F4280" s="3" t="s">
        <v>17632</v>
      </c>
      <c r="G4280" s="3" t="str">
        <f ca="1">IFERROR(__xludf.DUMMYFUNCTION("googletranslate(D4280,""en"",""ja"")"),"QTcV 間隔、集計")</f>
        <v>QTcV 間隔、集計</v>
      </c>
      <c r="H4280" s="3" t="str">
        <f ca="1">IFERROR(__xludf.DUMMYFUNCTION("googletranslate(E4280,""en"",""ja"")"),"Van der Water の補正式を使用して心拍数を補正した QT 集計間隔。")</f>
        <v>Van der Water の補正式を使用して心拍数を補正した QT 集計間隔。</v>
      </c>
      <c r="I4280" s="3" t="str">
        <f ca="1">IFERROR(__xludf.DUMMYFUNCTION("googletranslate(F4280,""en"",""ja"")"),"集計 QTcV 間隔")</f>
        <v>集計 QTcV 間隔</v>
      </c>
    </row>
    <row r="4281" spans="1:9" ht="30">
      <c r="A4281" s="3" t="s">
        <v>985</v>
      </c>
      <c r="B4281" s="3" t="s">
        <v>17633</v>
      </c>
      <c r="C4281" s="3" t="s">
        <v>17634</v>
      </c>
      <c r="D4281" s="3" t="s">
        <v>17634</v>
      </c>
      <c r="E4281" s="3" t="s">
        <v>17635</v>
      </c>
      <c r="F4281" s="3" t="s">
        <v>17636</v>
      </c>
      <c r="G4281" s="3" t="str">
        <f ca="1">IFERROR(__xludf.DUMMYFUNCTION("googletranslate(D4281,""en"",""ja"")"),"QTcV インターバル、シングルビート")</f>
        <v>QTcV インターバル、シングルビート</v>
      </c>
      <c r="H4281" s="3" t="str">
        <f ca="1">IFERROR(__xludf.DUMMYFUNCTION("googletranslate(E4281,""en"",""ja"")"),"Van der Water の補正式を使用して心拍数を補正した QT 単一心拍間隔。")</f>
        <v>Van der Water の補正式を使用して心拍数を補正した QT 単一心拍間隔。</v>
      </c>
      <c r="I4281" s="3" t="str">
        <f ca="1">IFERROR(__xludf.DUMMYFUNCTION("googletranslate(F4281,""en"",""ja"")"),"シングルビート QTcV 間隔")</f>
        <v>シングルビート QTcV 間隔</v>
      </c>
    </row>
    <row r="4282" spans="1:9" ht="75">
      <c r="A4282" s="3" t="s">
        <v>985</v>
      </c>
      <c r="B4282" s="3" t="s">
        <v>17637</v>
      </c>
      <c r="C4282" s="3" t="s">
        <v>17638</v>
      </c>
      <c r="D4282" s="3" t="s">
        <v>17638</v>
      </c>
      <c r="E4282" s="3" t="s">
        <v>17639</v>
      </c>
      <c r="F4282" s="3" t="s">
        <v>17640</v>
      </c>
      <c r="G4282" s="3" t="str">
        <f ca="1">IFERROR(__xludf.DUMMYFUNCTION("googletranslate(D4282,""en"",""ja"")"),"概要 (最大) QT 期間")</f>
        <v>概要 (最大) QT 期間</v>
      </c>
      <c r="H4282" s="3" t="str">
        <f ca="1">IFERROR(__xludf.DUMMYFUNCTION("googletranslate(E4282,""en"",""ja"")"),"QT 間隔の一連の測定値から取得される、QT 間隔の最大継続時間 (時間)。 QT 間隔は、QRS 波の開始から T 波の終了までの時間として定義され、心室の作動にかかる時間を表します。")</f>
        <v>QT 間隔の一連の測定値から取得される、QT 間隔の最大継続時間 (時間)。 QT 間隔は、QRS 波の開始から T 波の終了までの時間として定義され、心室の作動にかかる時間を表します。</v>
      </c>
      <c r="I4282" s="3" t="str">
        <f ca="1">IFERROR(__xludf.DUMMYFUNCTION("googletranslate(F4282,""en"",""ja"")"),"最大 QT 期間")</f>
        <v>最大 QT 期間</v>
      </c>
    </row>
    <row r="4283" spans="1:9" ht="75">
      <c r="A4283" s="3" t="s">
        <v>985</v>
      </c>
      <c r="B4283" s="3" t="s">
        <v>17641</v>
      </c>
      <c r="C4283" s="3" t="s">
        <v>17642</v>
      </c>
      <c r="D4283" s="3" t="s">
        <v>17642</v>
      </c>
      <c r="E4283" s="3" t="s">
        <v>17643</v>
      </c>
      <c r="F4283" s="3" t="s">
        <v>17644</v>
      </c>
      <c r="G4283" s="3" t="str">
        <f ca="1">IFERROR(__xludf.DUMMYFUNCTION("googletranslate(D4283,""en"",""ja"")"),"概要 (分) QT 期間")</f>
        <v>概要 (分) QT 期間</v>
      </c>
      <c r="H4283" s="3" t="str">
        <f ca="1">IFERROR(__xludf.DUMMYFUNCTION("googletranslate(E4283,""en"",""ja"")"),"QT 間隔の最小持続時間 (時間)。QT 間隔の一連の測定値から取得されます。 QT 間隔は、QRS 波の開始から T 波の終了までの時間として定義され、心室の作動にかかる時間を表します。")</f>
        <v>QT 間隔の最小持続時間 (時間)。QT 間隔の一連の測定値から取得されます。 QT 間隔は、QRS 波の開始から T 波の終了までの時間として定義され、心室の作動にかかる時間を表します。</v>
      </c>
      <c r="I4283" s="3" t="str">
        <f ca="1">IFERROR(__xludf.DUMMYFUNCTION("googletranslate(F4283,""en"",""ja"")"),"最小 QT 期間")</f>
        <v>最小 QT 期間</v>
      </c>
    </row>
    <row r="4284" spans="1:9" ht="45">
      <c r="A4284" s="3" t="s">
        <v>985</v>
      </c>
      <c r="B4284" s="3" t="s">
        <v>17645</v>
      </c>
      <c r="C4284" s="3" t="s">
        <v>17646</v>
      </c>
      <c r="D4284" s="3" t="s">
        <v>17646</v>
      </c>
      <c r="E4284" s="3" t="s">
        <v>17647</v>
      </c>
      <c r="F4284" s="3" t="s">
        <v>17648</v>
      </c>
      <c r="G4284" s="3" t="str">
        <f ca="1">IFERROR(__xludf.DUMMYFUNCTION("googletranslate(D4284,""en"",""ja"")"),"QT インターバル、シングルビート")</f>
        <v>QT インターバル、シングルビート</v>
      </c>
      <c r="H4284" s="3" t="str">
        <f ca="1">IFERROR(__xludf.DUMMYFUNCTION("googletranslate(E4284,""en"",""ja"")"),"1 つ以上の誘導を使用して、QRS 群の開始から単一拍動の T 波のオフセットまで測定される心電図間隔。")</f>
        <v>1 つ以上の誘導を使用して、QRS 群の開始から単一拍動の T 波のオフセットまで測定される心電図間隔。</v>
      </c>
      <c r="I4284" s="3" t="str">
        <f ca="1">IFERROR(__xludf.DUMMYFUNCTION("googletranslate(F4284,""en"",""ja"")"),"シングルビート QT 間隔")</f>
        <v>シングルビート QT 間隔</v>
      </c>
    </row>
    <row r="4285" spans="1:9">
      <c r="A4285" s="3" t="s">
        <v>33</v>
      </c>
      <c r="B4285" s="3" t="s">
        <v>17649</v>
      </c>
      <c r="C4285" s="3" t="s">
        <v>17650</v>
      </c>
      <c r="D4285" s="3" t="s">
        <v>17650</v>
      </c>
      <c r="E4285" s="3" t="s">
        <v>17651</v>
      </c>
      <c r="F4285" s="3" t="s">
        <v>17650</v>
      </c>
      <c r="G4285" s="3" t="str">
        <f ca="1">IFERROR(__xludf.DUMMYFUNCTION("googletranslate(D4285,""en"",""ja"")"),"品質")</f>
        <v>品質</v>
      </c>
      <c r="H4285" s="3" t="str">
        <f ca="1">IFERROR(__xludf.DUMMYFUNCTION("googletranslate(E4285,""en"",""ja"")"),"卓越性、価値、または使用への適合性の評価。")</f>
        <v>卓越性、価値、または使用への適合性の評価。</v>
      </c>
      <c r="I4285" s="3" t="str">
        <f ca="1">IFERROR(__xludf.DUMMYFUNCTION("googletranslate(F4285,""en"",""ja"")"),"品質")</f>
        <v>品質</v>
      </c>
    </row>
    <row r="4286" spans="1:9" ht="30">
      <c r="A4286" s="3" t="s">
        <v>490</v>
      </c>
      <c r="B4286" s="3" t="s">
        <v>17652</v>
      </c>
      <c r="C4286" s="3" t="s">
        <v>17653</v>
      </c>
      <c r="D4286" s="3" t="s">
        <v>17653</v>
      </c>
      <c r="E4286" s="3" t="s">
        <v>17654</v>
      </c>
      <c r="F4286" s="3" t="s">
        <v>17653</v>
      </c>
      <c r="G4286" s="3" t="str">
        <f ca="1">IFERROR(__xludf.DUMMYFUNCTION("googletranslate(D4286,""en"",""ja"")"),"準静的コンプライアンス")</f>
        <v>準静的コンプライアンス</v>
      </c>
      <c r="H4286" s="3" t="str">
        <f ca="1">IFERROR(__xludf.DUMMYFUNCTION("googletranslate(E4286,""en"",""ja"")"),"所定の肺容積における肺の静弾性反動圧力。")</f>
        <v>所定の肺容積における肺の静弾性反動圧力。</v>
      </c>
      <c r="I4286" s="3" t="str">
        <f ca="1">IFERROR(__xludf.DUMMYFUNCTION("googletranslate(F4286,""en"",""ja"")"),"準静的コンプライアンス")</f>
        <v>準静的コンプライアンス</v>
      </c>
    </row>
    <row r="4287" spans="1:9">
      <c r="A4287" s="3" t="s">
        <v>6</v>
      </c>
      <c r="B4287" s="3" t="s">
        <v>17655</v>
      </c>
      <c r="C4287" s="3" t="s">
        <v>17656</v>
      </c>
      <c r="D4287" s="3" t="s">
        <v>17656</v>
      </c>
      <c r="E4287" s="3" t="s">
        <v>17657</v>
      </c>
      <c r="F4287" s="3" t="s">
        <v>17658</v>
      </c>
      <c r="G4287" s="3" t="str">
        <f ca="1">IFERROR(__xludf.DUMMYFUNCTION("googletranslate(D4287,""en"",""ja"")"),"クエチアピン")</f>
        <v>クエチアピン</v>
      </c>
      <c r="H4287" s="3" t="str">
        <f ca="1">IFERROR(__xludf.DUMMYFUNCTION("googletranslate(E4287,""en"",""ja"")"),"生物学的標本中のクエチアピンの測定。")</f>
        <v>生物学的標本中のクエチアピンの測定。</v>
      </c>
      <c r="I4287" s="3" t="str">
        <f ca="1">IFERROR(__xludf.DUMMYFUNCTION("googletranslate(F4287,""en"",""ja"")"),"クエチアピンの測定")</f>
        <v>クエチアピンの測定</v>
      </c>
    </row>
    <row r="4288" spans="1:9">
      <c r="A4288" s="3" t="s">
        <v>51</v>
      </c>
      <c r="B4288" s="3" t="s">
        <v>17659</v>
      </c>
      <c r="C4288" s="3" t="s">
        <v>17660</v>
      </c>
      <c r="D4288" s="3" t="s">
        <v>17660</v>
      </c>
      <c r="E4288" s="3" t="s">
        <v>17661</v>
      </c>
      <c r="F4288" s="3" t="s">
        <v>17662</v>
      </c>
      <c r="G4288" s="3" t="str">
        <f ca="1">IFERROR(__xludf.DUMMYFUNCTION("googletranslate(D4288,""en"",""ja"")"),"キノリン")</f>
        <v>キノリン</v>
      </c>
      <c r="H4288" s="3" t="str">
        <f ca="1">IFERROR(__xludf.DUMMYFUNCTION("googletranslate(E4288,""en"",""ja"")"),"標本中のキノリンの測定。")</f>
        <v>標本中のキノリンの測定。</v>
      </c>
      <c r="I4288" s="3" t="str">
        <f ca="1">IFERROR(__xludf.DUMMYFUNCTION("googletranslate(F4288,""en"",""ja"")"),"キノリンの測定")</f>
        <v>キノリンの測定</v>
      </c>
    </row>
    <row r="4289" spans="1:9">
      <c r="A4289" s="3" t="s">
        <v>6</v>
      </c>
      <c r="B4289" s="3" t="s">
        <v>17663</v>
      </c>
      <c r="C4289" s="3" t="s">
        <v>17664</v>
      </c>
      <c r="D4289" s="3" t="s">
        <v>17664</v>
      </c>
      <c r="E4289" s="3" t="s">
        <v>17665</v>
      </c>
      <c r="F4289" s="3" t="s">
        <v>17666</v>
      </c>
      <c r="G4289" s="3" t="str">
        <f ca="1">IFERROR(__xludf.DUMMYFUNCTION("googletranslate(D4289,""en"",""ja"")"),"クアゼパム")</f>
        <v>クアゼパム</v>
      </c>
      <c r="H4289" s="3" t="str">
        <f ca="1">IFERROR(__xludf.DUMMYFUNCTION("googletranslate(E4289,""en"",""ja"")"),"生物学的標本中のクアゼパムの測定。")</f>
        <v>生物学的標本中のクアゼパムの測定。</v>
      </c>
      <c r="I4289" s="3" t="str">
        <f ca="1">IFERROR(__xludf.DUMMYFUNCTION("googletranslate(F4289,""en"",""ja"")"),"クアゼパムの測定")</f>
        <v>クアゼパムの測定</v>
      </c>
    </row>
    <row r="4290" spans="1:9" ht="75">
      <c r="A4290" s="3" t="s">
        <v>985</v>
      </c>
      <c r="B4290" s="3" t="s">
        <v>17667</v>
      </c>
      <c r="C4290" s="3" t="s">
        <v>17668</v>
      </c>
      <c r="D4290" s="3" t="s">
        <v>17668</v>
      </c>
      <c r="E4290" s="3" t="s">
        <v>17669</v>
      </c>
      <c r="F4290" s="3" t="s">
        <v>17670</v>
      </c>
      <c r="G4290" s="3" t="str">
        <f ca="1">IFERROR(__xludf.DUMMYFUNCTION("googletranslate(D4290,""en"",""ja"")"),"Q 波の振幅、総計")</f>
        <v>Q 波の振幅、総計</v>
      </c>
      <c r="H4290" s="3" t="str">
        <f ca="1">IFERROR(__xludf.DUMMYFUNCTION("googletranslate(E4290,""en"",""ja"")"),"単一の ECG 内の複数の拍動からの Q 波振幅の測定に基づく集計 Q 波振幅値。集計方法はさまざまですが、通常は平均などの中心傾向の尺度です。")</f>
        <v>単一の ECG 内の複数の拍動からの Q 波振幅の測定に基づく集計 Q 波振幅値。集計方法はさまざまですが、通常は平均などの中心傾向の尺度です。</v>
      </c>
      <c r="I4290" s="3" t="str">
        <f ca="1">IFERROR(__xludf.DUMMYFUNCTION("googletranslate(F4290,""en"",""ja"")"),"集合Q波振幅")</f>
        <v>集合Q波振幅</v>
      </c>
    </row>
    <row r="4291" spans="1:9" ht="75">
      <c r="A4291" s="3" t="s">
        <v>985</v>
      </c>
      <c r="B4291" s="3" t="s">
        <v>17671</v>
      </c>
      <c r="C4291" s="3" t="s">
        <v>17672</v>
      </c>
      <c r="D4291" s="3" t="s">
        <v>17672</v>
      </c>
      <c r="E4291" s="3" t="s">
        <v>17673</v>
      </c>
      <c r="F4291" s="3" t="s">
        <v>17674</v>
      </c>
      <c r="G4291" s="3" t="str">
        <f ca="1">IFERROR(__xludf.DUMMYFUNCTION("googletranslate(D4291,""en"",""ja"")"),"Q 波振幅、シングルビート")</f>
        <v>Q 波振幅、シングルビート</v>
      </c>
      <c r="H4291" s="3" t="str">
        <f ca="1">IFERROR(__xludf.DUMMYFUNCTION("googletranslate(E4291,""en"",""ja"")"),"1つまたは複数のリードを使用して、単一拍動の等電性ベースラインからQ波のピークまで測定されるQ波の平均振幅(通常はmmで測定される)の心電図測定。録音ゲインに基づいて、この測定は m")</f>
        <v>1つまたは複数のリードを使用して、単一拍動の等電性ベースラインからQ波のピークまで測定されるQ波の平均振幅(通常はmmで測定される)の心電図測定。録音ゲインに基づいて、この測定は m</v>
      </c>
      <c r="I4291" s="3" t="str">
        <f ca="1">IFERROR(__xludf.DUMMYFUNCTION("googletranslate(F4291,""en"",""ja"")"),"シングルビートQ波振幅")</f>
        <v>シングルビートQ波振幅</v>
      </c>
    </row>
    <row r="4292" spans="1:9" ht="30">
      <c r="A4292" s="3" t="s">
        <v>210</v>
      </c>
      <c r="B4292" s="3" t="s">
        <v>17675</v>
      </c>
      <c r="C4292" s="3" t="s">
        <v>17676</v>
      </c>
      <c r="D4292" s="3" t="s">
        <v>17676</v>
      </c>
      <c r="E4292" s="3" t="s">
        <v>17677</v>
      </c>
      <c r="F4292" s="3" t="s">
        <v>17676</v>
      </c>
      <c r="G4292" s="3" t="str">
        <f ca="1">IFERROR(__xludf.DUMMYFUNCTION("googletranslate(D4292,""en"",""ja"")"),"放射線密度")</f>
        <v>放射線密度</v>
      </c>
      <c r="H4292" s="3" t="str">
        <f ca="1">IFERROR(__xludf.DUMMYFUNCTION("googletranslate(E4292,""en"",""ja"")"),"X 線やその他の形態の放射線の通過に対する材料の透明度。")</f>
        <v>X 線やその他の形態の放射線の通過に対する材料の透明度。</v>
      </c>
      <c r="I4292" s="3" t="str">
        <f ca="1">IFERROR(__xludf.DUMMYFUNCTION("googletranslate(F4292,""en"",""ja"")"),"放射線密度")</f>
        <v>放射線密度</v>
      </c>
    </row>
    <row r="4293" spans="1:9" ht="60">
      <c r="A4293" s="3" t="s">
        <v>6</v>
      </c>
      <c r="B4293" s="3" t="s">
        <v>17678</v>
      </c>
      <c r="C4293" s="3" t="s">
        <v>17679</v>
      </c>
      <c r="D4293" s="3" t="s">
        <v>17680</v>
      </c>
      <c r="E4293" s="3" t="s">
        <v>17681</v>
      </c>
      <c r="F4293" s="3" t="s">
        <v>17682</v>
      </c>
      <c r="G4293" s="3" t="str">
        <f ca="1">IFERROR(__xludf.DUMMYFUNCTION("googletranslate(D4293,""en"",""ja"")"),"高度なグリコシル化最終生成物特異的受容体;老化;受容体の高度な糖化最終産物")</f>
        <v>高度なグリコシル化最終生成物特異的受容体;老化;受容体の高度な糖化最終産物</v>
      </c>
      <c r="H4293" s="3" t="str">
        <f ca="1">IFERROR(__xludf.DUMMYFUNCTION("googletranslate(E4293,""en"",""ja"")"),"生物学的標本中の受容体後期糖化最終産物の測定。")</f>
        <v>生物学的標本中の受容体後期糖化最終産物の測定。</v>
      </c>
      <c r="I4293" s="3" t="str">
        <f ca="1">IFERROR(__xludf.DUMMYFUNCTION("googletranslate(F4293,""en"",""ja"")"),"受容体終末糖化生成物の測定")</f>
        <v>受容体終末糖化生成物の測定</v>
      </c>
    </row>
    <row r="4294" spans="1:9" ht="45">
      <c r="A4294" s="3" t="s">
        <v>1255</v>
      </c>
      <c r="B4294" s="3" t="s">
        <v>17683</v>
      </c>
      <c r="C4294" s="3" t="s">
        <v>17684</v>
      </c>
      <c r="D4294" s="3" t="s">
        <v>17684</v>
      </c>
      <c r="E4294" s="3" t="s">
        <v>17685</v>
      </c>
      <c r="F4294" s="3" t="s">
        <v>17684</v>
      </c>
      <c r="G4294" s="3" t="str">
        <f ca="1">IFERROR(__xludf.DUMMYFUNCTION("googletranslate(D4294,""en"",""ja"")"),"ランダム補正インジケーター")</f>
        <v>ランダム補正インジケーター</v>
      </c>
      <c r="H4294" s="3" t="str">
        <f ca="1">IFERROR(__xludf.DUMMYFUNCTION("googletranslate(E4294,""en"",""ja"")"),"偏向陽電子によって生成されるランダム ノイズを補正するようにデバイスが設定されているかどうかを示します。")</f>
        <v>偏向陽電子によって生成されるランダム ノイズを補正するようにデバイスが設定されているかどうかを示します。</v>
      </c>
      <c r="I4294" s="3" t="str">
        <f ca="1">IFERROR(__xludf.DUMMYFUNCTION("googletranslate(F4294,""en"",""ja"")"),"ランダム補正インジケーター")</f>
        <v>ランダム補正インジケーター</v>
      </c>
    </row>
    <row r="4295" spans="1:9" ht="45">
      <c r="A4295" s="3" t="s">
        <v>6</v>
      </c>
      <c r="B4295" s="3" t="s">
        <v>17686</v>
      </c>
      <c r="C4295" s="3" t="s">
        <v>17687</v>
      </c>
      <c r="D4295" s="3" t="s">
        <v>17688</v>
      </c>
      <c r="E4295" s="3" t="s">
        <v>17689</v>
      </c>
      <c r="F4295" s="3" t="s">
        <v>17690</v>
      </c>
      <c r="G4295" s="3" t="str">
        <f ca="1">IFERROR(__xludf.DUMMYFUNCTION("googletranslate(D4295,""en"",""ja"")"),"受容体活性化因子核κBリガンド;核カッパ-B リガンドの受容体活性化因子")</f>
        <v>受容体活性化因子核κBリガンド;核カッパ-B リガンドの受容体活性化因子</v>
      </c>
      <c r="H4295" s="3" t="str">
        <f ca="1">IFERROR(__xludf.DUMMYFUNCTION("googletranslate(E4295,""en"",""ja"")"),"生物学的標本中の核カッパ-B リガンドの受容体活性化因子の測定。")</f>
        <v>生物学的標本中の核カッパ-B リガンドの受容体活性化因子の測定。</v>
      </c>
      <c r="I4295" s="3" t="str">
        <f ca="1">IFERROR(__xludf.DUMMYFUNCTION("googletranslate(F4295,""en"",""ja"")"),"受容体活性化因子核内κBリガンド測定")</f>
        <v>受容体活性化因子核内κBリガンド測定</v>
      </c>
    </row>
    <row r="4296" spans="1:9" ht="45">
      <c r="A4296" s="3" t="s">
        <v>6</v>
      </c>
      <c r="B4296" s="3" t="s">
        <v>17691</v>
      </c>
      <c r="C4296" s="3" t="s">
        <v>17692</v>
      </c>
      <c r="D4296" s="3" t="s">
        <v>17693</v>
      </c>
      <c r="E4296" s="3" t="s">
        <v>17694</v>
      </c>
      <c r="F4296" s="3" t="s">
        <v>17695</v>
      </c>
      <c r="G4296" s="3" t="str">
        <f ca="1">IFERROR(__xludf.DUMMYFUNCTION("googletranslate(D4296,""en"",""ja"")"),"ケモカインリガンド 5;正常な T 細胞の発現を制御します。")</f>
        <v>ケモカインリガンド 5;正常な T 細胞の発現を制御します。</v>
      </c>
      <c r="H4296" s="3" t="str">
        <f ca="1">IFERROR(__xludf.DUMMYFUNCTION("googletranslate(E4296,""en"",""ja"")"),"生物学的標本中の RANTES (活性化が調節され、通常は T 細胞で発現および分泌される) ケモカインの測定。")</f>
        <v>生物学的標本中の RANTES (活性化が調節され、通常は T 細胞で発現および分泌される) ケモカインの測定。</v>
      </c>
      <c r="I4296" s="3" t="str">
        <f ca="1">IFERROR(__xludf.DUMMYFUNCTION("googletranslate(F4296,""en"",""ja"")"),"RegUpon Act 正常な T 細胞の Exprd Secrtd 測定")</f>
        <v>RegUpon Act 正常な T 細胞の Exprd Secrtd 測定</v>
      </c>
    </row>
    <row r="4297" spans="1:9">
      <c r="A4297" s="3" t="s">
        <v>142</v>
      </c>
      <c r="B4297" s="3" t="s">
        <v>17696</v>
      </c>
      <c r="C4297" s="3" t="s">
        <v>17697</v>
      </c>
      <c r="D4297" s="3" t="s">
        <v>17697</v>
      </c>
      <c r="E4297" s="3" t="s">
        <v>17698</v>
      </c>
      <c r="F4297" s="3" t="s">
        <v>17697</v>
      </c>
      <c r="G4297" s="3" t="str">
        <f ca="1">IFERROR(__xludf.DUMMYFUNCTION("googletranslate(D4297,""en"",""ja"")"),"発疹インジケーター")</f>
        <v>発疹インジケーター</v>
      </c>
      <c r="H4297" s="3" t="str">
        <f ca="1">IFERROR(__xludf.DUMMYFUNCTION("googletranslate(E4297,""en"",""ja"")"),"発疹が存在するかどうかの指標。")</f>
        <v>発疹が存在するかどうかの指標。</v>
      </c>
      <c r="I4297" s="3" t="str">
        <f ca="1">IFERROR(__xludf.DUMMYFUNCTION("googletranslate(F4297,""en"",""ja"")"),"発疹インジケーター")</f>
        <v>発疹インジケーター</v>
      </c>
    </row>
    <row r="4298" spans="1:9" ht="30">
      <c r="A4298" s="3" t="s">
        <v>490</v>
      </c>
      <c r="B4298" s="3" t="s">
        <v>17699</v>
      </c>
      <c r="C4298" s="3" t="s">
        <v>17700</v>
      </c>
      <c r="D4298" s="3" t="s">
        <v>17700</v>
      </c>
      <c r="E4298" s="3" t="s">
        <v>17701</v>
      </c>
      <c r="F4298" s="3" t="s">
        <v>17700</v>
      </c>
      <c r="G4298" s="3" t="str">
        <f ca="1">IFERROR(__xludf.DUMMYFUNCTION("googletranslate(D4298,""en"",""ja"")"),"気道抵抗")</f>
        <v>気道抵抗</v>
      </c>
      <c r="H4298" s="3" t="str">
        <f ca="1">IFERROR(__xludf.DUMMYFUNCTION("googletranslate(E4298,""en"",""ja"")"),"吸気時と呼気時の空気の流れに対する気道抵抗の測定値。")</f>
        <v>吸気時と呼気時の空気の流れに対する気道抵抗の測定値。</v>
      </c>
      <c r="I4298" s="3" t="str">
        <f ca="1">IFERROR(__xludf.DUMMYFUNCTION("googletranslate(F4298,""en"",""ja"")"),"気道抵抗")</f>
        <v>気道抵抗</v>
      </c>
    </row>
    <row r="4299" spans="1:9" ht="45">
      <c r="A4299" s="3" t="s">
        <v>490</v>
      </c>
      <c r="B4299" s="3" t="s">
        <v>17702</v>
      </c>
      <c r="C4299" s="3" t="s">
        <v>17703</v>
      </c>
      <c r="D4299" s="3" t="s">
        <v>17703</v>
      </c>
      <c r="E4299" s="3" t="s">
        <v>17704</v>
      </c>
      <c r="F4299" s="3" t="s">
        <v>17703</v>
      </c>
      <c r="G4299" s="3" t="str">
        <f ca="1">IFERROR(__xludf.DUMMYFUNCTION("googletranslate(D4299,""en"",""ja"")"),"予測された気道抵抗のパーセント")</f>
        <v>予測された気道抵抗のパーセント</v>
      </c>
      <c r="H4299" s="3" t="str">
        <f ca="1">IFERROR(__xludf.DUMMYFUNCTION("googletranslate(E4299,""en"",""ja"")"),"吸気時と呼気時の空気の流れに対する気道の抵抗を、予測された正常値の割合として測定したもの。")</f>
        <v>吸気時と呼気時の空気の流れに対する気道の抵抗を、予測された正常値の割合として測定したもの。</v>
      </c>
      <c r="I4299" s="3" t="str">
        <f ca="1">IFERROR(__xludf.DUMMYFUNCTION("googletranslate(F4299,""en"",""ja"")"),"予測された気道抵抗のパーセント")</f>
        <v>予測された気道抵抗のパーセント</v>
      </c>
    </row>
    <row r="4300" spans="1:9" ht="30">
      <c r="A4300" s="3" t="s">
        <v>103</v>
      </c>
      <c r="B4300" s="3" t="s">
        <v>17705</v>
      </c>
      <c r="C4300" s="3" t="s">
        <v>17706</v>
      </c>
      <c r="D4300" s="3" t="s">
        <v>17707</v>
      </c>
      <c r="E4300" s="3" t="s">
        <v>17708</v>
      </c>
      <c r="F4300" s="3" t="s">
        <v>17709</v>
      </c>
      <c r="G4300" s="3" t="str">
        <f ca="1">IFERROR(__xludf.DUMMYFUNCTION("googletranslate(D4300,""en"",""ja"")"),"赤血球;赤血球")</f>
        <v>赤血球;赤血球</v>
      </c>
      <c r="H4300" s="3" t="str">
        <f ca="1">IFERROR(__xludf.DUMMYFUNCTION("googletranslate(E4300,""en"",""ja"")"),"生物学的標本中の総赤血球の測定。")</f>
        <v>生物学的標本中の総赤血球の測定。</v>
      </c>
      <c r="I4300" s="3" t="str">
        <f ca="1">IFERROR(__xludf.DUMMYFUNCTION("googletranslate(F4300,""en"",""ja"")"),"赤血球数")</f>
        <v>赤血球数</v>
      </c>
    </row>
    <row r="4301" spans="1:9" ht="30">
      <c r="A4301" s="3" t="s">
        <v>6</v>
      </c>
      <c r="B4301" s="3" t="s">
        <v>17705</v>
      </c>
      <c r="C4301" s="3" t="s">
        <v>17706</v>
      </c>
      <c r="D4301" s="3" t="s">
        <v>17707</v>
      </c>
      <c r="E4301" s="3" t="s">
        <v>17708</v>
      </c>
      <c r="F4301" s="3" t="s">
        <v>17709</v>
      </c>
      <c r="G4301" s="3" t="str">
        <f ca="1">IFERROR(__xludf.DUMMYFUNCTION("googletranslate(D4301,""en"",""ja"")"),"赤血球;赤血球")</f>
        <v>赤血球;赤血球</v>
      </c>
      <c r="H4301" s="3" t="str">
        <f ca="1">IFERROR(__xludf.DUMMYFUNCTION("googletranslate(E4301,""en"",""ja"")"),"生物学的標本中の総赤血球の測定。")</f>
        <v>生物学的標本中の総赤血球の測定。</v>
      </c>
      <c r="I4301" s="3" t="str">
        <f ca="1">IFERROR(__xludf.DUMMYFUNCTION("googletranslate(F4301,""en"",""ja"")"),"赤血球数")</f>
        <v>赤血球数</v>
      </c>
    </row>
    <row r="4302" spans="1:9" ht="30">
      <c r="A4302" s="3" t="s">
        <v>6</v>
      </c>
      <c r="B4302" s="3" t="s">
        <v>17710</v>
      </c>
      <c r="C4302" s="3" t="s">
        <v>17711</v>
      </c>
      <c r="D4302" s="3" t="s">
        <v>17712</v>
      </c>
      <c r="E4302" s="3" t="s">
        <v>17713</v>
      </c>
      <c r="F4302" s="3" t="s">
        <v>17714</v>
      </c>
      <c r="G4302" s="3" t="str">
        <f ca="1">IFERROR(__xludf.DUMMYFUNCTION("googletranslate(D4302,""en"",""ja"")"),"自己凝集;赤血球の凝集;赤血球凝集")</f>
        <v>自己凝集;赤血球の凝集;赤血球凝集</v>
      </c>
      <c r="H4302" s="3" t="str">
        <f ca="1">IFERROR(__xludf.DUMMYFUNCTION("googletranslate(E4302,""en"",""ja"")"),"生物学的標本における赤血球の凝集の測定。")</f>
        <v>生物学的標本における赤血球の凝集の測定。</v>
      </c>
      <c r="I4302" s="3" t="str">
        <f ca="1">IFERROR(__xludf.DUMMYFUNCTION("googletranslate(F4302,""en"",""ja"")"),"赤血球凝集測定")</f>
        <v>赤血球凝集測定</v>
      </c>
    </row>
    <row r="4303" spans="1:9" ht="45">
      <c r="A4303" s="3" t="s">
        <v>6</v>
      </c>
      <c r="B4303" s="3" t="s">
        <v>17715</v>
      </c>
      <c r="C4303" s="3" t="s">
        <v>17716</v>
      </c>
      <c r="D4303" s="3" t="s">
        <v>17717</v>
      </c>
      <c r="E4303" s="3" t="s">
        <v>17718</v>
      </c>
      <c r="F4303" s="3" t="s">
        <v>17719</v>
      </c>
      <c r="G4303" s="3" t="str">
        <f ca="1">IFERROR(__xludf.DUMMYFUNCTION("googletranslate(D4303,""en"",""ja"")"),"赤血球細胞の塊。赤血球凝集体;赤血球の塊;赤血球の塊")</f>
        <v>赤血球細胞の塊。赤血球凝集体;赤血球の塊;赤血球の塊</v>
      </c>
      <c r="H4303" s="3" t="str">
        <f ca="1">IFERROR(__xludf.DUMMYFUNCTION("googletranslate(E4303,""en"",""ja"")"),"生物学的標本中の赤血球の凝集塊の測定。")</f>
        <v>生物学的標本中の赤血球の凝集塊の測定。</v>
      </c>
      <c r="I4303" s="3" t="str">
        <f ca="1">IFERROR(__xludf.DUMMYFUNCTION("googletranslate(F4303,""en"",""ja"")"),"赤血球細胞凝集塊の測定")</f>
        <v>赤血球細胞凝集塊の測定</v>
      </c>
    </row>
    <row r="4304" spans="1:9" ht="45">
      <c r="A4304" s="3" t="s">
        <v>6</v>
      </c>
      <c r="B4304" s="3" t="s">
        <v>17720</v>
      </c>
      <c r="C4304" s="3" t="s">
        <v>17721</v>
      </c>
      <c r="D4304" s="3" t="s">
        <v>17721</v>
      </c>
      <c r="E4304" s="3" t="s">
        <v>17722</v>
      </c>
      <c r="F4304" s="3" t="s">
        <v>17723</v>
      </c>
      <c r="G4304" s="3" t="str">
        <f ca="1">IFERROR(__xludf.DUMMYFUNCTION("googletranslate(D4304,""en"",""ja"")"),"赤血球の変形能")</f>
        <v>赤血球の変形能</v>
      </c>
      <c r="H4304" s="3" t="str">
        <f ca="1">IFERROR(__xludf.DUMMYFUNCTION("googletranslate(E4304,""en"",""ja"")"),"動的に変化する流れ条件にその形状を適応させ、流れに対する抵抗を最小限に抑える赤血球の能力の評価。")</f>
        <v>動的に変化する流れ条件にその形状を適応させ、流れに対する抵抗を最小限に抑える赤血球の能力の評価。</v>
      </c>
      <c r="I4304" s="3" t="str">
        <f ca="1">IFERROR(__xludf.DUMMYFUNCTION("googletranslate(F4304,""en"",""ja"")"),"赤血球変形能測定")</f>
        <v>赤血球変形能測定</v>
      </c>
    </row>
    <row r="4305" spans="1:9" ht="30">
      <c r="A4305" s="3" t="s">
        <v>6</v>
      </c>
      <c r="B4305" s="3" t="s">
        <v>17724</v>
      </c>
      <c r="C4305" s="3" t="s">
        <v>17725</v>
      </c>
      <c r="D4305" s="3" t="s">
        <v>17726</v>
      </c>
      <c r="E4305" s="3" t="s">
        <v>17727</v>
      </c>
      <c r="F4305" s="3" t="s">
        <v>17725</v>
      </c>
      <c r="G4305" s="3" t="str">
        <f ca="1">IFERROR(__xludf.DUMMYFUNCTION("googletranslate(D4305,""en"",""ja"")"),"二形性赤血球集団;二形性赤血球集団")</f>
        <v>二形性赤血球集団;二形性赤血球集団</v>
      </c>
      <c r="H4305" s="3" t="str">
        <f ca="1">IFERROR(__xludf.DUMMYFUNCTION("googletranslate(E4305,""en"",""ja"")"),"二形性赤血球集団の存在を検出するための生物学的標本の検査。")</f>
        <v>二形性赤血球集団の存在を検出するための生物学的標本の検査。</v>
      </c>
      <c r="I4305" s="3" t="str">
        <f ca="1">IFERROR(__xludf.DUMMYFUNCTION("googletranslate(F4305,""en"",""ja"")"),"二形性赤血球集団")</f>
        <v>二形性赤血球集団</v>
      </c>
    </row>
    <row r="4306" spans="1:9" ht="30">
      <c r="A4306" s="3" t="s">
        <v>6</v>
      </c>
      <c r="B4306" s="3" t="s">
        <v>17728</v>
      </c>
      <c r="C4306" s="3" t="s">
        <v>17729</v>
      </c>
      <c r="D4306" s="3" t="s">
        <v>17729</v>
      </c>
      <c r="E4306" s="3" t="s">
        <v>17730</v>
      </c>
      <c r="F4306" s="3" t="s">
        <v>17731</v>
      </c>
      <c r="G4306" s="3" t="str">
        <f ca="1">IFERROR(__xludf.DUMMYFUNCTION("googletranslate(D4306,""en"",""ja"")"),"異形赤血球/赤血球")</f>
        <v>異形赤血球/赤血球</v>
      </c>
      <c r="H4306" s="3" t="str">
        <f ca="1">IFERROR(__xludf.DUMMYFUNCTION("googletranslate(E4306,""en"",""ja"")"),"生物学的標本の全赤血球に対する異形赤血球の測定値（比率またはパーセンテージ）。")</f>
        <v>生物学的標本の全赤血球に対する異形赤血球の測定値（比率またはパーセンテージ）。</v>
      </c>
      <c r="I4306" s="3" t="str">
        <f ca="1">IFERROR(__xludf.DUMMYFUNCTION("googletranslate(F4306,""en"",""ja"")"),"異形赤血球と赤血球の比率の測定")</f>
        <v>異形赤血球と赤血球の比率の測定</v>
      </c>
    </row>
    <row r="4307" spans="1:9" ht="30">
      <c r="A4307" s="3" t="s">
        <v>6</v>
      </c>
      <c r="B4307" s="3" t="s">
        <v>17732</v>
      </c>
      <c r="C4307" s="3" t="s">
        <v>17733</v>
      </c>
      <c r="D4307" s="3" t="s">
        <v>17733</v>
      </c>
      <c r="E4307" s="3" t="s">
        <v>17734</v>
      </c>
      <c r="F4307" s="3" t="s">
        <v>17735</v>
      </c>
      <c r="G4307" s="3" t="str">
        <f ca="1">IFERROR(__xludf.DUMMYFUNCTION("googletranslate(D4307,""en"",""ja"")"),"異形赤血球")</f>
        <v>異形赤血球</v>
      </c>
      <c r="H4307" s="3" t="str">
        <f ca="1">IFERROR(__xludf.DUMMYFUNCTION("googletranslate(E4307,""en"",""ja"")"),"生物学的標本中の異形赤血球の測定。")</f>
        <v>生物学的標本中の異形赤血球の測定。</v>
      </c>
      <c r="I4307" s="3" t="str">
        <f ca="1">IFERROR(__xludf.DUMMYFUNCTION("googletranslate(F4307,""en"",""ja"")"),"異形赤血球数")</f>
        <v>異形赤血球数</v>
      </c>
    </row>
    <row r="4308" spans="1:9" ht="60">
      <c r="A4308" s="3" t="s">
        <v>6</v>
      </c>
      <c r="B4308" s="3" t="s">
        <v>17736</v>
      </c>
      <c r="C4308" s="3" t="s">
        <v>17737</v>
      </c>
      <c r="D4308" s="3" t="s">
        <v>17738</v>
      </c>
      <c r="E4308" s="3" t="s">
        <v>17739</v>
      </c>
      <c r="F4308" s="3" t="s">
        <v>17740</v>
      </c>
      <c r="G4308" s="3" t="str">
        <f ca="1">IFERROR(__xludf.DUMMYFUNCTION("googletranslate(D4308,""en"",""ja"")"),"赤血球断片;赤血球断片")</f>
        <v>赤血球断片;赤血球断片</v>
      </c>
      <c r="H4308" s="3" t="str">
        <f ca="1">IFERROR(__xludf.DUMMYFUNCTION("googletranslate(E4308,""en"",""ja"")"),"生物学的標本中の赤血球の断片（端が丸く針状体を持たない網状の赤血球の断片で、分裂細胞や有棘赤血球と区別されます）の測定。")</f>
        <v>生物学的標本中の赤血球の断片（端が丸く針状体を持たない網状の赤血球の断片で、分裂細胞や有棘赤血球と区別されます）の測定。</v>
      </c>
      <c r="I4308" s="3" t="str">
        <f ca="1">IFERROR(__xludf.DUMMYFUNCTION("googletranslate(F4308,""en"",""ja"")"),"赤血球断片の測定")</f>
        <v>赤血球断片の測定</v>
      </c>
    </row>
    <row r="4309" spans="1:9" ht="45">
      <c r="A4309" s="3" t="s">
        <v>6</v>
      </c>
      <c r="B4309" s="3" t="s">
        <v>17741</v>
      </c>
      <c r="C4309" s="3" t="s">
        <v>17742</v>
      </c>
      <c r="D4309" s="3" t="s">
        <v>17743</v>
      </c>
      <c r="E4309" s="3" t="s">
        <v>17744</v>
      </c>
      <c r="F4309" s="3" t="s">
        <v>17745</v>
      </c>
      <c r="G4309" s="3" t="str">
        <f ca="1">IFERROR(__xludf.DUMMYFUNCTION("googletranslate(D4309,""en"",""ja"")"),"赤血球ゴースト。赤血球ゴースト")</f>
        <v>赤血球ゴースト。赤血球ゴースト</v>
      </c>
      <c r="H4309" s="3" t="str">
        <f ca="1">IFERROR(__xludf.DUMMYFUNCTION("googletranslate(E4309,""en"",""ja"")"),"生体試料中の赤血球ゴースト（溶血によりヘモグロビンが除去された赤血球）の測定。")</f>
        <v>生体試料中の赤血球ゴースト（溶血によりヘモグロビンが除去された赤血球）の測定。</v>
      </c>
      <c r="I4309" s="3" t="str">
        <f ca="1">IFERROR(__xludf.DUMMYFUNCTION("googletranslate(F4309,""en"",""ja"")"),"赤血球ゴースト数")</f>
        <v>赤血球ゴースト数</v>
      </c>
    </row>
    <row r="4310" spans="1:9" ht="45">
      <c r="A4310" s="3" t="s">
        <v>6</v>
      </c>
      <c r="B4310" s="3" t="s">
        <v>17746</v>
      </c>
      <c r="C4310" s="3" t="s">
        <v>17747</v>
      </c>
      <c r="D4310" s="3" t="s">
        <v>17748</v>
      </c>
      <c r="E4310" s="3" t="s">
        <v>17749</v>
      </c>
      <c r="F4310" s="3" t="s">
        <v>17747</v>
      </c>
      <c r="G4310" s="3" t="str">
        <f ca="1">IFERROR(__xludf.DUMMYFUNCTION("googletranslate(D4310,""en"",""ja"")"),"赤血球細胞の形態;赤血球の形態。赤血球の形態")</f>
        <v>赤血球細胞の形態;赤血球の形態。赤血球の形態</v>
      </c>
      <c r="H4310" s="3" t="str">
        <f ca="1">IFERROR(__xludf.DUMMYFUNCTION("googletranslate(E4310,""en"",""ja"")"),"赤血球の形態と構造の検査または評価。")</f>
        <v>赤血球の形態と構造の検査または評価。</v>
      </c>
      <c r="I4310" s="3" t="str">
        <f ca="1">IFERROR(__xludf.DUMMYFUNCTION("googletranslate(F4310,""en"",""ja"")"),"赤血球の細胞形態")</f>
        <v>赤血球の細胞形態</v>
      </c>
    </row>
    <row r="4311" spans="1:9" ht="30">
      <c r="A4311" s="3" t="s">
        <v>6</v>
      </c>
      <c r="B4311" s="3" t="s">
        <v>17750</v>
      </c>
      <c r="C4311" s="3" t="s">
        <v>17751</v>
      </c>
      <c r="D4311" s="3" t="s">
        <v>17751</v>
      </c>
      <c r="E4311" s="3" t="s">
        <v>17752</v>
      </c>
      <c r="F4311" s="3" t="s">
        <v>17753</v>
      </c>
      <c r="G4311" s="3" t="str">
        <f ca="1">IFERROR(__xludf.DUMMYFUNCTION("googletranslate(D4311,""en"",""ja"")"),"赤血球膜の硬さ")</f>
        <v>赤血球膜の硬さ</v>
      </c>
      <c r="H4311" s="3" t="str">
        <f ca="1">IFERROR(__xludf.DUMMYFUNCTION("googletranslate(E4311,""en"",""ja"")"),"生物学的標本の赤血球膜の剛性の評価。")</f>
        <v>生物学的標本の赤血球膜の剛性の評価。</v>
      </c>
      <c r="I4311" s="3" t="str">
        <f ca="1">IFERROR(__xludf.DUMMYFUNCTION("googletranslate(F4311,""en"",""ja"")"),"赤血球膜硬度測定")</f>
        <v>赤血球膜硬度測定</v>
      </c>
    </row>
    <row r="4312" spans="1:9" ht="30">
      <c r="A4312" s="3" t="s">
        <v>6</v>
      </c>
      <c r="B4312" s="3" t="s">
        <v>17754</v>
      </c>
      <c r="C4312" s="3" t="s">
        <v>17755</v>
      </c>
      <c r="D4312" s="3" t="s">
        <v>17756</v>
      </c>
      <c r="E4312" s="3" t="s">
        <v>17757</v>
      </c>
      <c r="F4312" s="3" t="s">
        <v>17758</v>
      </c>
      <c r="G4312" s="3" t="str">
        <f ca="1">IFERROR(__xludf.DUMMYFUNCTION("googletranslate(D4312,""en"",""ja"")"),"有核赤血球。有核赤血球")</f>
        <v>有核赤血球。有核赤血球</v>
      </c>
      <c r="H4312" s="3" t="str">
        <f ca="1">IFERROR(__xludf.DUMMYFUNCTION("googletranslate(E4312,""en"",""ja"")"),"生物学的標本中の有核赤血球（大きくて未熟な有核赤血球）の測定。")</f>
        <v>生物学的標本中の有核赤血球（大きくて未熟な有核赤血球）の測定。</v>
      </c>
      <c r="I4312" s="3" t="str">
        <f ca="1">IFERROR(__xludf.DUMMYFUNCTION("googletranslate(F4312,""en"",""ja"")"),"有核赤血球数")</f>
        <v>有核赤血球数</v>
      </c>
    </row>
    <row r="4313" spans="1:9" ht="30">
      <c r="A4313" s="3" t="s">
        <v>6</v>
      </c>
      <c r="B4313" s="3" t="s">
        <v>17759</v>
      </c>
      <c r="C4313" s="3" t="s">
        <v>17760</v>
      </c>
      <c r="D4313" s="3" t="s">
        <v>17760</v>
      </c>
      <c r="E4313" s="3" t="s">
        <v>17761</v>
      </c>
      <c r="F4313" s="3" t="s">
        <v>17762</v>
      </c>
      <c r="G4313" s="3" t="str">
        <f ca="1">IFERROR(__xludf.DUMMYFUNCTION("googletranslate(D4313,""en"",""ja"")"),"有核赤血球/白血球")</f>
        <v>有核赤血球/白血球</v>
      </c>
      <c r="H4313" s="3" t="str">
        <f ca="1">IFERROR(__xludf.DUMMYFUNCTION("googletranslate(E4313,""en"",""ja"")"),"生物学的標本における白血球に対する有核赤血球の相対的な測定値 (比率またはパーセンテージ)。")</f>
        <v>生物学的標本における白血球に対する有核赤血球の相対的な測定値 (比率またはパーセンテージ)。</v>
      </c>
      <c r="I4313" s="3" t="str">
        <f ca="1">IFERROR(__xludf.DUMMYFUNCTION("googletranslate(F4313,""en"",""ja"")"),"有核赤血球と白血球の比率の測定")</f>
        <v>有核赤血球と白血球の比率の測定</v>
      </c>
    </row>
    <row r="4314" spans="1:9" ht="60">
      <c r="A4314" s="3" t="s">
        <v>6</v>
      </c>
      <c r="B4314" s="3" t="s">
        <v>17763</v>
      </c>
      <c r="C4314" s="3" t="s">
        <v>17764</v>
      </c>
      <c r="D4314" s="3" t="s">
        <v>17765</v>
      </c>
      <c r="E4314" s="3" t="s">
        <v>17766</v>
      </c>
      <c r="F4314" s="3" t="s">
        <v>17767</v>
      </c>
      <c r="G4314" s="3" t="str">
        <f ca="1">IFERROR(__xludf.DUMMYFUNCTION("googletranslate(D4314,""en"",""ja"")"),"有核赤血球/赤血球;有核赤血球/赤血球")</f>
        <v>有核赤血球/赤血球;有核赤血球/赤血球</v>
      </c>
      <c r="H4314" s="3" t="str">
        <f ca="1">IFERROR(__xludf.DUMMYFUNCTION("googletranslate(E4314,""en"",""ja"")"),"生物学的標本中のすべての赤血球に対する有核赤血球 (大型の未熟な有核赤血球) の相対的な測定値 (比率またはパーセンテージ)。")</f>
        <v>生物学的標本中のすべての赤血球に対する有核赤血球 (大型の未熟な有核赤血球) の相対的な測定値 (比率またはパーセンテージ)。</v>
      </c>
      <c r="I4314" s="3" t="str">
        <f ca="1">IFERROR(__xludf.DUMMYFUNCTION("googletranslate(F4314,""en"",""ja"")"),"有核赤血球と赤血球の比率の測定")</f>
        <v>有核赤血球と赤血球の比率の測定</v>
      </c>
    </row>
    <row r="4315" spans="1:9" ht="30">
      <c r="A4315" s="3" t="s">
        <v>67</v>
      </c>
      <c r="B4315" s="3" t="s">
        <v>17768</v>
      </c>
      <c r="C4315" s="3" t="s">
        <v>17769</v>
      </c>
      <c r="D4315" s="3" t="s">
        <v>17770</v>
      </c>
      <c r="E4315" s="3" t="s">
        <v>17771</v>
      </c>
      <c r="F4315" s="3" t="s">
        <v>17772</v>
      </c>
      <c r="G4315" s="3" t="str">
        <f ca="1">IFERROR(__xludf.DUMMYFUNCTION("googletranslate(D4315,""en"",""ja"")"),"麻疹ウイルス抗原")</f>
        <v>麻疹ウイルス抗原</v>
      </c>
      <c r="H4315" s="3" t="str">
        <f ca="1">IFERROR(__xludf.DUMMYFUNCTION("googletranslate(E4315,""en"",""ja"")"),"生物学的標本中のルベオラウイルス抗原の測定。")</f>
        <v>生物学的標本中のルベオラウイルス抗原の測定。</v>
      </c>
      <c r="I4315" s="3" t="str">
        <f ca="1">IFERROR(__xludf.DUMMYFUNCTION("googletranslate(F4315,""en"",""ja"")"),"風疹抗原測定")</f>
        <v>風疹抗原測定</v>
      </c>
    </row>
    <row r="4316" spans="1:9" ht="30">
      <c r="A4316" s="3" t="s">
        <v>6</v>
      </c>
      <c r="B4316" s="3" t="s">
        <v>17773</v>
      </c>
      <c r="C4316" s="3" t="s">
        <v>17774</v>
      </c>
      <c r="D4316" s="3" t="s">
        <v>17774</v>
      </c>
      <c r="E4316" s="3" t="s">
        <v>17775</v>
      </c>
      <c r="F4316" s="3" t="s">
        <v>17776</v>
      </c>
      <c r="G4316" s="3" t="str">
        <f ca="1">IFERROR(__xludf.DUMMYFUNCTION("googletranslate(D4316,""en"",""ja"")"),"レチノール結合タンパク質")</f>
        <v>レチノール結合タンパク質</v>
      </c>
      <c r="H4316" s="3" t="str">
        <f ca="1">IFERROR(__xludf.DUMMYFUNCTION("googletranslate(E4316,""en"",""ja"")"),"生物学的標本中の総レチノール結合タンパク質の測定。")</f>
        <v>生物学的標本中の総レチノール結合タンパク質の測定。</v>
      </c>
      <c r="I4316" s="3" t="str">
        <f ca="1">IFERROR(__xludf.DUMMYFUNCTION("googletranslate(F4316,""en"",""ja"")"),"レチノール結合タンパク質の測定")</f>
        <v>レチノール結合タンパク質の測定</v>
      </c>
    </row>
    <row r="4317" spans="1:9" ht="30">
      <c r="A4317" s="3" t="s">
        <v>6</v>
      </c>
      <c r="B4317" s="3" t="s">
        <v>17777</v>
      </c>
      <c r="C4317" s="3" t="s">
        <v>17778</v>
      </c>
      <c r="D4317" s="3" t="s">
        <v>17778</v>
      </c>
      <c r="E4317" s="3" t="s">
        <v>17779</v>
      </c>
      <c r="F4317" s="3" t="s">
        <v>17780</v>
      </c>
      <c r="G4317" s="3" t="str">
        <f ca="1">IFERROR(__xludf.DUMMYFUNCTION("googletranslate(D4317,""en"",""ja"")"),"レチノール結合タンパク質 1")</f>
        <v>レチノール結合タンパク質 1</v>
      </c>
      <c r="H4317" s="3" t="str">
        <f ca="1">IFERROR(__xludf.DUMMYFUNCTION("googletranslate(E4317,""en"",""ja"")"),"生体試料中のレチノール結合タンパク質 1 の測定。")</f>
        <v>生体試料中のレチノール結合タンパク質 1 の測定。</v>
      </c>
      <c r="I4317" s="3" t="str">
        <f ca="1">IFERROR(__xludf.DUMMYFUNCTION("googletranslate(F4317,""en"",""ja"")"),"レチノール結合タンパク質 1 の測定")</f>
        <v>レチノール結合タンパク質 1 の測定</v>
      </c>
    </row>
    <row r="4318" spans="1:9" ht="30">
      <c r="A4318" s="3" t="s">
        <v>6</v>
      </c>
      <c r="B4318" s="3" t="s">
        <v>17781</v>
      </c>
      <c r="C4318" s="3" t="s">
        <v>17782</v>
      </c>
      <c r="D4318" s="3" t="s">
        <v>17782</v>
      </c>
      <c r="E4318" s="3" t="s">
        <v>17783</v>
      </c>
      <c r="F4318" s="3" t="s">
        <v>17784</v>
      </c>
      <c r="G4318" s="3" t="str">
        <f ca="1">IFERROR(__xludf.DUMMYFUNCTION("googletranslate(D4318,""en"",""ja"")"),"レチノール結合タンパク質 2")</f>
        <v>レチノール結合タンパク質 2</v>
      </c>
      <c r="H4318" s="3" t="str">
        <f ca="1">IFERROR(__xludf.DUMMYFUNCTION("googletranslate(E4318,""en"",""ja"")"),"生物学的標本中のレチノール結合タンパク質 2 の測定。")</f>
        <v>生物学的標本中のレチノール結合タンパク質 2 の測定。</v>
      </c>
      <c r="I4318" s="3" t="str">
        <f ca="1">IFERROR(__xludf.DUMMYFUNCTION("googletranslate(F4318,""en"",""ja"")"),"レチノール結合タンパク質 2 の測定")</f>
        <v>レチノール結合タンパク質 2 の測定</v>
      </c>
    </row>
    <row r="4319" spans="1:9" ht="30">
      <c r="A4319" s="3" t="s">
        <v>6</v>
      </c>
      <c r="B4319" s="3" t="s">
        <v>17785</v>
      </c>
      <c r="C4319" s="3" t="s">
        <v>17786</v>
      </c>
      <c r="D4319" s="3" t="s">
        <v>17786</v>
      </c>
      <c r="E4319" s="3" t="s">
        <v>17787</v>
      </c>
      <c r="F4319" s="3" t="s">
        <v>17788</v>
      </c>
      <c r="G4319" s="3" t="str">
        <f ca="1">IFERROR(__xludf.DUMMYFUNCTION("googletranslate(D4319,""en"",""ja"")"),"レチノール結合タンパク質 3")</f>
        <v>レチノール結合タンパク質 3</v>
      </c>
      <c r="H4319" s="3" t="str">
        <f ca="1">IFERROR(__xludf.DUMMYFUNCTION("googletranslate(E4319,""en"",""ja"")"),"生物学的標本中のレチノール結合タンパク質 3 の測定。")</f>
        <v>生物学的標本中のレチノール結合タンパク質 3 の測定。</v>
      </c>
      <c r="I4319" s="3" t="str">
        <f ca="1">IFERROR(__xludf.DUMMYFUNCTION("googletranslate(F4319,""en"",""ja"")"),"レチノール結合タンパク質 3 の測定")</f>
        <v>レチノール結合タンパク質 3 の測定</v>
      </c>
    </row>
    <row r="4320" spans="1:9" ht="30">
      <c r="A4320" s="3" t="s">
        <v>6</v>
      </c>
      <c r="B4320" s="3" t="s">
        <v>17789</v>
      </c>
      <c r="C4320" s="3" t="s">
        <v>17790</v>
      </c>
      <c r="D4320" s="3" t="s">
        <v>17790</v>
      </c>
      <c r="E4320" s="3" t="s">
        <v>17791</v>
      </c>
      <c r="F4320" s="3" t="s">
        <v>17792</v>
      </c>
      <c r="G4320" s="3" t="str">
        <f ca="1">IFERROR(__xludf.DUMMYFUNCTION("googletranslate(D4320,""en"",""ja"")"),"レチノール結合タンパク質 4")</f>
        <v>レチノール結合タンパク質 4</v>
      </c>
      <c r="H4320" s="3" t="str">
        <f ca="1">IFERROR(__xludf.DUMMYFUNCTION("googletranslate(E4320,""en"",""ja"")"),"生物学的標本中のレチノール結合タンパク質 4 の測定。")</f>
        <v>生物学的標本中のレチノール結合タンパク質 4 の測定。</v>
      </c>
      <c r="I4320" s="3" t="str">
        <f ca="1">IFERROR(__xludf.DUMMYFUNCTION("googletranslate(F4320,""en"",""ja"")"),"レチノール結合タンパク質 4 の測定")</f>
        <v>レチノール結合タンパク質 4 の測定</v>
      </c>
    </row>
    <row r="4321" spans="1:9" ht="45">
      <c r="A4321" s="3" t="s">
        <v>6</v>
      </c>
      <c r="B4321" s="3" t="s">
        <v>17793</v>
      </c>
      <c r="C4321" s="3" t="s">
        <v>17794</v>
      </c>
      <c r="D4321" s="3" t="s">
        <v>17794</v>
      </c>
      <c r="E4321" s="3" t="s">
        <v>17795</v>
      </c>
      <c r="F4321" s="3" t="s">
        <v>17796</v>
      </c>
      <c r="G4321" s="3" t="str">
        <f ca="1">IFERROR(__xludf.DUMMYFUNCTION("googletranslate(D4321,""en"",""ja"")"),"レチノール結合タンパク質/クレアチニン")</f>
        <v>レチノール結合タンパク質/クレアチニン</v>
      </c>
      <c r="H4321" s="3" t="str">
        <f ca="1">IFERROR(__xludf.DUMMYFUNCTION("googletranslate(E4321,""en"",""ja"")"),"生物学的標本中のクレアチニンに対するレチノール結合タンパク質の相対測定値 (比率またはパーセンテージ)。")</f>
        <v>生物学的標本中のクレアチニンに対するレチノール結合タンパク質の相対測定値 (比率またはパーセンテージ)。</v>
      </c>
      <c r="I4321" s="3" t="str">
        <f ca="1">IFERROR(__xludf.DUMMYFUNCTION("googletranslate(F4321,""en"",""ja"")"),"レチノール結合タンパク質とクレアチニンの比率の測定")</f>
        <v>レチノール結合タンパク質とクレアチニンの比率の測定</v>
      </c>
    </row>
    <row r="4322" spans="1:9" ht="45">
      <c r="A4322" s="3" t="s">
        <v>1255</v>
      </c>
      <c r="B4322" s="3" t="s">
        <v>17797</v>
      </c>
      <c r="C4322" s="3" t="s">
        <v>17798</v>
      </c>
      <c r="D4322" s="3" t="s">
        <v>17798</v>
      </c>
      <c r="E4322" s="3" t="s">
        <v>17799</v>
      </c>
      <c r="F4322" s="3" t="s">
        <v>17798</v>
      </c>
      <c r="G4322" s="3" t="str">
        <f ca="1">IFERROR(__xludf.DUMMYFUNCTION("googletranslate(D4322,""en"",""ja"")"),"受信機の帯域幅")</f>
        <v>受信機の帯域幅</v>
      </c>
      <c r="H4322" s="3" t="str">
        <f ca="1">IFERROR(__xludf.DUMMYFUNCTION("googletranslate(E4322,""en"",""ja"")"),"特定の受信機の最小カットオフ周波数と最大カットオフ周波数の間の範囲。通常、ヘルツ単位で測定されます。 (NCI)")</f>
        <v>特定の受信機の最小カットオフ周波数と最大カットオフ周波数の間の範囲。通常、ヘルツ単位で測定されます。 (NCI)</v>
      </c>
      <c r="I4322" s="3" t="str">
        <f ca="1">IFERROR(__xludf.DUMMYFUNCTION("googletranslate(F4322,""en"",""ja"")"),"受信機の帯域幅")</f>
        <v>受信機の帯域幅</v>
      </c>
    </row>
    <row r="4323" spans="1:9" ht="45">
      <c r="A4323" s="3" t="s">
        <v>1255</v>
      </c>
      <c r="B4323" s="3" t="s">
        <v>17800</v>
      </c>
      <c r="C4323" s="3" t="s">
        <v>17801</v>
      </c>
      <c r="D4323" s="3" t="s">
        <v>17801</v>
      </c>
      <c r="E4323" s="3" t="s">
        <v>17802</v>
      </c>
      <c r="F4323" s="3" t="s">
        <v>17801</v>
      </c>
      <c r="G4323" s="3" t="str">
        <f ca="1">IFERROR(__xludf.DUMMYFUNCTION("googletranslate(D4323,""en"",""ja"")"),"再構成フィルタの種類")</f>
        <v>再構成フィルタの種類</v>
      </c>
      <c r="H4323" s="3" t="str">
        <f ca="1">IFERROR(__xludf.DUMMYFUNCTION("googletranslate(E4323,""en"",""ja"")"),"ノイズの抑制、エッジの強調、解像度の回復、画像の平滑化に使用される再構成フィルターの分類。")</f>
        <v>ノイズの抑制、エッジの強調、解像度の回復、画像の平滑化に使用される再構成フィルターの分類。</v>
      </c>
      <c r="I4323" s="3" t="str">
        <f ca="1">IFERROR(__xludf.DUMMYFUNCTION("googletranslate(F4323,""en"",""ja"")"),"再構成フィルタの種類")</f>
        <v>再構成フィルタの種類</v>
      </c>
    </row>
    <row r="4324" spans="1:9" ht="30">
      <c r="A4324" s="3" t="s">
        <v>67</v>
      </c>
      <c r="B4324" s="3" t="s">
        <v>17803</v>
      </c>
      <c r="C4324" s="3" t="s">
        <v>17804</v>
      </c>
      <c r="D4324" s="3" t="s">
        <v>17804</v>
      </c>
      <c r="E4324" s="3" t="s">
        <v>17805</v>
      </c>
      <c r="F4324" s="3" t="s">
        <v>17806</v>
      </c>
      <c r="G4324" s="3" t="str">
        <f ca="1">IFERROR(__xludf.DUMMYFUNCTION("googletranslate(D4324,""en"",""ja"")"),"複製能力のあるレンチウイルス RNA")</f>
        <v>複製能力のあるレンチウイルス RNA</v>
      </c>
      <c r="H4324" s="3" t="str">
        <f ca="1">IFERROR(__xludf.DUMMYFUNCTION("googletranslate(E4324,""en"",""ja"")"),"生物学的標本中の複製能力のあるウイルスベクターレンチウイルスからの RNA の測定。")</f>
        <v>生物学的標本中の複製能力のあるウイルスベクターレンチウイルスからの RNA の測定。</v>
      </c>
      <c r="I4324" s="3" t="str">
        <f ca="1">IFERROR(__xludf.DUMMYFUNCTION("googletranslate(F4324,""en"",""ja"")"),"複製能力のあるレンチウイルス RNA の測定")</f>
        <v>複製能力のあるレンチウイルス RNA の測定</v>
      </c>
    </row>
    <row r="4325" spans="1:9" ht="45">
      <c r="A4325" s="3" t="s">
        <v>6</v>
      </c>
      <c r="B4325" s="3" t="s">
        <v>17807</v>
      </c>
      <c r="C4325" s="3" t="s">
        <v>17808</v>
      </c>
      <c r="D4325" s="3" t="s">
        <v>17808</v>
      </c>
      <c r="E4325" s="3" t="s">
        <v>17809</v>
      </c>
      <c r="F4325" s="3" t="s">
        <v>17810</v>
      </c>
      <c r="G4325" s="3" t="str">
        <f ca="1">IFERROR(__xludf.DUMMYFUNCTION("googletranslate(D4325,""en"",""ja"")"),"還元物質")</f>
        <v>還元物質</v>
      </c>
      <c r="H4325" s="3" t="str">
        <f ca="1">IFERROR(__xludf.DUMMYFUNCTION("googletranslate(E4325,""en"",""ja"")"),"生体試料中の還元物質（糖、グルタチオン、クレアチニン、尿酸、アスコルビン酸など）の測定。")</f>
        <v>生体試料中の還元物質（糖、グルタチオン、クレアチニン、尿酸、アスコルビン酸など）の測定。</v>
      </c>
      <c r="I4325" s="3" t="str">
        <f ca="1">IFERROR(__xludf.DUMMYFUNCTION("googletranslate(F4325,""en"",""ja"")"),"還元物質測定")</f>
        <v>還元物質測定</v>
      </c>
    </row>
    <row r="4326" spans="1:9" ht="30">
      <c r="A4326" s="3" t="s">
        <v>6</v>
      </c>
      <c r="B4326" s="3" t="s">
        <v>17811</v>
      </c>
      <c r="C4326" s="3" t="s">
        <v>17812</v>
      </c>
      <c r="D4326" s="3" t="s">
        <v>17812</v>
      </c>
      <c r="E4326" s="3" t="s">
        <v>17813</v>
      </c>
      <c r="F4326" s="3" t="s">
        <v>17814</v>
      </c>
      <c r="G4326" s="3" t="str">
        <f ca="1">IFERROR(__xludf.DUMMYFUNCTION("googletranslate(D4326,""en"",""ja"")"),"糖質を減らす")</f>
        <v>糖質を減らす</v>
      </c>
      <c r="H4326" s="3" t="str">
        <f ca="1">IFERROR(__xludf.DUMMYFUNCTION("googletranslate(E4326,""en"",""ja"")"),"生物学的標本中の還元糖の測定。")</f>
        <v>生物学的標本中の還元糖の測定。</v>
      </c>
      <c r="I4326" s="3" t="str">
        <f ca="1">IFERROR(__xludf.DUMMYFUNCTION("googletranslate(F4326,""en"",""ja"")"),"還元糖測定")</f>
        <v>還元糖測定</v>
      </c>
    </row>
    <row r="4327" spans="1:9" ht="60">
      <c r="A4327" s="3" t="s">
        <v>6</v>
      </c>
      <c r="B4327" s="3" t="s">
        <v>17815</v>
      </c>
      <c r="C4327" s="3" t="s">
        <v>17816</v>
      </c>
      <c r="D4327" s="3" t="s">
        <v>17817</v>
      </c>
      <c r="E4327" s="3" t="s">
        <v>17818</v>
      </c>
      <c r="F4327" s="3" t="s">
        <v>17819</v>
      </c>
      <c r="G4327" s="3" t="str">
        <f ca="1">IFERROR(__xludf.DUMMYFUNCTION("googletranslate(D4327,""en"",""ja"")"),"赤血球の分布幅; RDW-CV;赤血球の分布幅。赤血球体積分布幅")</f>
        <v>赤血球の分布幅; RDW-CV;赤血球の分布幅。赤血球体積分布幅</v>
      </c>
      <c r="H4327" s="3" t="str">
        <f ca="1">IFERROR(__xludf.DUMMYFUNCTION("googletranslate(E4327,""en"",""ja"")"),"生物学的標本の赤血球体積の平均分布に対する赤血球体積の標準偏差の相対測定値 (比率またはパーセンテージ)。")</f>
        <v>生物学的標本の赤血球体積の平均分布に対する赤血球体積の標準偏差の相対測定値 (比率またはパーセンテージ)。</v>
      </c>
      <c r="I4327" s="3" t="str">
        <f ca="1">IFERROR(__xludf.DUMMYFUNCTION("googletranslate(F4327,""en"",""ja"")"),"赤血球分布幅測定")</f>
        <v>赤血球分布幅測定</v>
      </c>
    </row>
    <row r="4328" spans="1:9" ht="45">
      <c r="A4328" s="3" t="s">
        <v>6</v>
      </c>
      <c r="B4328" s="3" t="s">
        <v>17820</v>
      </c>
      <c r="C4328" s="3" t="s">
        <v>17821</v>
      </c>
      <c r="D4328" s="3" t="s">
        <v>17822</v>
      </c>
      <c r="E4328" s="3" t="s">
        <v>17823</v>
      </c>
      <c r="F4328" s="3" t="s">
        <v>17824</v>
      </c>
      <c r="G4328" s="3" t="str">
        <f ca="1">IFERROR(__xludf.DUMMYFUNCTION("googletranslate(D4328,""en"",""ja"")"),"RDWr; Ret ボリューム分布幅;網赤血球の体積分布幅")</f>
        <v>RDWr; Ret ボリューム分布幅;網赤血球の体積分布幅</v>
      </c>
      <c r="H4328" s="3" t="str">
        <f ca="1">IFERROR(__xludf.DUMMYFUNCTION("googletranslate(E4328,""en"",""ja"")"),"生物学的標本における網赤血球体積の平均分布に対する網赤血球体積の標準偏差の相対測定値 (比率またはパーセンテージ)。")</f>
        <v>生物学的標本における網赤血球体積の平均分布に対する網赤血球体積の標準偏差の相対測定値 (比率またはパーセンテージ)。</v>
      </c>
      <c r="I4328" s="3" t="str">
        <f ca="1">IFERROR(__xludf.DUMMYFUNCTION("googletranslate(F4328,""en"",""ja"")"),"網赤血球の体積分布幅")</f>
        <v>網赤血球の体積分布幅</v>
      </c>
    </row>
    <row r="4329" spans="1:9" ht="90">
      <c r="A4329" s="3" t="s">
        <v>6</v>
      </c>
      <c r="B4329" s="3" t="s">
        <v>17825</v>
      </c>
      <c r="C4329" s="3" t="s">
        <v>17826</v>
      </c>
      <c r="D4329" s="3" t="s">
        <v>17827</v>
      </c>
      <c r="E4329" s="3" t="s">
        <v>17828</v>
      </c>
      <c r="F4329" s="3" t="s">
        <v>17829</v>
      </c>
      <c r="G4329" s="3" t="str">
        <f ca="1">IFERROR(__xludf.DUMMYFUNCTION("googletranslate(D4329,""en"",""ja"")"),"RDWr-CV;赤血球の体積分布幅 網状赤血球の変動係数; Ret RDW 変動係数;網赤血球の体積分布幅の変動係数")</f>
        <v>RDWr-CV;赤血球の体積分布幅 網状赤血球の変動係数; Ret RDW 変動係数;網赤血球の体積分布幅の変動係数</v>
      </c>
      <c r="H4329" s="3" t="str">
        <f ca="1">IFERROR(__xludf.DUMMYFUNCTION("googletranslate(E4329,""en"",""ja"")"),"網赤血球集団内の体積分散の測定値。平均網赤血球体積の標準偏差を平均網赤血球体積で割ったものに 100 を掛けてパーセンテージに変換して計算されます。")</f>
        <v>網赤血球集団内の体積分散の測定値。平均網赤血球体積の標準偏差を平均網赤血球体積で割ったものに 100 を掛けてパーセンテージに変換して計算されます。</v>
      </c>
      <c r="I4329" s="3" t="str">
        <f ca="1">IFERROR(__xludf.DUMMYFUNCTION("googletranslate(F4329,""en"",""ja"")"),"網赤血球の体積分布幅の変動係数")</f>
        <v>網赤血球の体積分布幅の変動係数</v>
      </c>
    </row>
    <row r="4330" spans="1:9" ht="90">
      <c r="A4330" s="3" t="s">
        <v>6</v>
      </c>
      <c r="B4330" s="3" t="s">
        <v>17830</v>
      </c>
      <c r="C4330" s="3" t="s">
        <v>17831</v>
      </c>
      <c r="D4330" s="3" t="s">
        <v>17832</v>
      </c>
      <c r="E4330" s="3" t="s">
        <v>17833</v>
      </c>
      <c r="F4330" s="3" t="s">
        <v>17834</v>
      </c>
      <c r="G4330" s="3" t="str">
        <f ca="1">IFERROR(__xludf.DUMMYFUNCTION("googletranslate(D4330,""en"",""ja"")"),"RDWr-SD;網状赤血球における赤血球体積分布幅の標準偏差。 Ret RDW 標準偏差;網赤血球体積分布幅標準偏差")</f>
        <v>RDWr-SD;網状赤血球における赤血球体積分布幅の標準偏差。 Ret RDW 標準偏差;網赤血球体積分布幅標準偏差</v>
      </c>
      <c r="H4330" s="3" t="str">
        <f ca="1">IFERROR(__xludf.DUMMYFUNCTION("googletranslate(E4330,""en"",""ja"")"),"網赤血球集団内の体積分散の測定値。20 パーセントの頻度レベルでの分布曲線の幅として計算されます。")</f>
        <v>網赤血球集団内の体積分散の測定値。20 パーセントの頻度レベルでの分布曲線の幅として計算されます。</v>
      </c>
      <c r="I4330" s="3" t="str">
        <f ca="1">IFERROR(__xludf.DUMMYFUNCTION("googletranslate(F4330,""en"",""ja"")"),"網赤血球体積分布幅標準偏差")</f>
        <v>網赤血球体積分布幅標準偏差</v>
      </c>
    </row>
    <row r="4331" spans="1:9" ht="45">
      <c r="A4331" s="3" t="s">
        <v>6</v>
      </c>
      <c r="B4331" s="3" t="s">
        <v>17835</v>
      </c>
      <c r="C4331" s="3" t="s">
        <v>17836</v>
      </c>
      <c r="D4331" s="3" t="s">
        <v>17837</v>
      </c>
      <c r="E4331" s="3" t="s">
        <v>17838</v>
      </c>
      <c r="F4331" s="3" t="s">
        <v>17839</v>
      </c>
      <c r="G4331" s="3" t="str">
        <f ca="1">IFERROR(__xludf.DUMMYFUNCTION("googletranslate(D4331,""en"",""ja"")"),"RDW標準偏差; RDW-SD;赤血球体積分布幅の標準偏差")</f>
        <v>RDW標準偏差; RDW-SD;赤血球体積分布幅の標準偏差</v>
      </c>
      <c r="H4331" s="3" t="str">
        <f ca="1">IFERROR(__xludf.DUMMYFUNCTION("googletranslate(E4331,""en"",""ja"")"),"赤血球集団内の体積分散の測定値。20 パーセントの頻度レベルでの分布曲線の幅として計算されます。")</f>
        <v>赤血球集団内の体積分散の測定値。20 パーセントの頻度レベルでの分布曲線の幅として計算されます。</v>
      </c>
      <c r="I4331" s="3" t="str">
        <f ca="1">IFERROR(__xludf.DUMMYFUNCTION("googletranslate(F4331,""en"",""ja"")"),"赤血球体積分布幅の標準偏差")</f>
        <v>赤血球体積分布幅の標準偏差</v>
      </c>
    </row>
    <row r="4332" spans="1:9" ht="45">
      <c r="A4332" s="3" t="s">
        <v>180</v>
      </c>
      <c r="B4332" s="3" t="s">
        <v>17840</v>
      </c>
      <c r="C4332" s="3" t="s">
        <v>17841</v>
      </c>
      <c r="D4332" s="3" t="s">
        <v>17842</v>
      </c>
      <c r="E4332" s="3" t="s">
        <v>17843</v>
      </c>
      <c r="F4332" s="3" t="s">
        <v>17844</v>
      </c>
      <c r="G4332" s="3" t="str">
        <f ca="1">IFERROR(__xludf.DUMMYFUNCTION("googletranslate(D4332,""en"",""ja"")"),"急速プラズマレージン;レージン抗体; RPR; VDRL;性病研究所の検査")</f>
        <v>急速プラズマレージン;レージン抗体; RPR; VDRL;性病研究所の検査</v>
      </c>
      <c r="H4332" s="3" t="str">
        <f ca="1">IFERROR(__xludf.DUMMYFUNCTION("googletranslate(E4332,""en"",""ja"")"),"生物学的標本中の梅毒トレポネーマ（梅毒）による細胞損傷に応答して産生される非特異的トレポネーマ抗体の測定。")</f>
        <v>生物学的標本中の梅毒トレポネーマ（梅毒）による細胞損傷に応答して産生される非特異的トレポネーマ抗体の測定。</v>
      </c>
      <c r="I4332" s="3" t="str">
        <f ca="1">IFERROR(__xludf.DUMMYFUNCTION("googletranslate(F4332,""en"",""ja"")"),"高速プラズマリージン測定")</f>
        <v>高速プラズマリージン測定</v>
      </c>
    </row>
    <row r="4333" spans="1:9" ht="30">
      <c r="A4333" s="3" t="s">
        <v>185</v>
      </c>
      <c r="B4333" s="3" t="s">
        <v>17845</v>
      </c>
      <c r="C4333" s="3" t="s">
        <v>17846</v>
      </c>
      <c r="D4333" s="3" t="s">
        <v>17846</v>
      </c>
      <c r="E4333" s="3" t="s">
        <v>17847</v>
      </c>
      <c r="F4333" s="3" t="s">
        <v>17846</v>
      </c>
      <c r="G4333" s="3" t="str">
        <f ca="1">IFERROR(__xludf.DUMMYFUNCTION("googletranslate(D4333,""en"",""ja"")"),"反応グレード")</f>
        <v>反応グレード</v>
      </c>
      <c r="H4333" s="3" t="str">
        <f ca="1">IFERROR(__xludf.DUMMYFUNCTION("googletranslate(E4333,""en"",""ja"")"),"刺激や介入に対する反応の程度を評価するためのスケール上の位置。")</f>
        <v>刺激や介入に対する反応の程度を評価するためのスケール上の位置。</v>
      </c>
      <c r="I4333" s="3" t="str">
        <f ca="1">IFERROR(__xludf.DUMMYFUNCTION("googletranslate(F4333,""en"",""ja"")"),"反応グレード")</f>
        <v>反応グレード</v>
      </c>
    </row>
    <row r="4334" spans="1:9" ht="30">
      <c r="A4334" s="3" t="s">
        <v>1535</v>
      </c>
      <c r="B4334" s="3" t="s">
        <v>17845</v>
      </c>
      <c r="C4334" s="3" t="s">
        <v>17846</v>
      </c>
      <c r="D4334" s="3" t="s">
        <v>17846</v>
      </c>
      <c r="E4334" s="3" t="s">
        <v>17847</v>
      </c>
      <c r="F4334" s="3" t="s">
        <v>17846</v>
      </c>
      <c r="G4334" s="3" t="str">
        <f ca="1">IFERROR(__xludf.DUMMYFUNCTION("googletranslate(D4334,""en"",""ja"")"),"反応グレード")</f>
        <v>反応グレード</v>
      </c>
      <c r="H4334" s="3" t="str">
        <f ca="1">IFERROR(__xludf.DUMMYFUNCTION("googletranslate(E4334,""en"",""ja"")"),"刺激や介入に対する反応の程度を評価するためのスケール上の位置。")</f>
        <v>刺激や介入に対する反応の程度を評価するためのスケール上の位置。</v>
      </c>
      <c r="I4334" s="3" t="str">
        <f ca="1">IFERROR(__xludf.DUMMYFUNCTION("googletranslate(F4334,""en"",""ja"")"),"反応グレード")</f>
        <v>反応グレード</v>
      </c>
    </row>
    <row r="4335" spans="1:9" ht="30">
      <c r="A4335" s="3" t="s">
        <v>1557</v>
      </c>
      <c r="B4335" s="3" t="s">
        <v>17848</v>
      </c>
      <c r="C4335" s="3" t="s">
        <v>17849</v>
      </c>
      <c r="D4335" s="3" t="s">
        <v>17849</v>
      </c>
      <c r="E4335" s="3" t="s">
        <v>17850</v>
      </c>
      <c r="F4335" s="3" t="s">
        <v>17851</v>
      </c>
      <c r="G4335" s="3" t="str">
        <f ca="1">IFERROR(__xludf.DUMMYFUNCTION("googletranslate(D4335,""en"",""ja"")"),"反応性")</f>
        <v>反応性</v>
      </c>
      <c r="H4335" s="3" t="str">
        <f ca="1">IFERROR(__xludf.DUMMYFUNCTION("googletranslate(E4335,""en"",""ja"")"),"ある種の刺激に反応した動作の説明。")</f>
        <v>ある種の刺激に反応した動作の説明。</v>
      </c>
      <c r="I4335" s="3" t="str">
        <f ca="1">IFERROR(__xludf.DUMMYFUNCTION("googletranslate(F4335,""en"",""ja"")"),"反応")</f>
        <v>反応</v>
      </c>
    </row>
    <row r="4336" spans="1:9">
      <c r="A4336" s="3" t="s">
        <v>2904</v>
      </c>
      <c r="B4336" s="3" t="s">
        <v>17852</v>
      </c>
      <c r="C4336" s="3" t="s">
        <v>17853</v>
      </c>
      <c r="D4336" s="3" t="s">
        <v>17853</v>
      </c>
      <c r="E4336" s="3" t="s">
        <v>17854</v>
      </c>
      <c r="F4336" s="3" t="s">
        <v>17855</v>
      </c>
      <c r="G4336" s="3" t="str">
        <f ca="1">IFERROR(__xludf.DUMMYFUNCTION("googletranslate(D4336,""en"",""ja"")"),"試薬ロット")</f>
        <v>試薬ロット</v>
      </c>
      <c r="H4336" s="3" t="str">
        <f ca="1">IFERROR(__xludf.DUMMYFUNCTION("googletranslate(E4336,""en"",""ja"")"),"試薬のロット番号。")</f>
        <v>試薬のロット番号。</v>
      </c>
      <c r="I4336" s="3" t="str">
        <f ca="1">IFERROR(__xludf.DUMMYFUNCTION("googletranslate(F4336,""en"",""ja"")"),"試薬ロット番号")</f>
        <v>試薬ロット番号</v>
      </c>
    </row>
    <row r="4337" spans="1:9" ht="45">
      <c r="A4337" s="3" t="s">
        <v>1255</v>
      </c>
      <c r="B4337" s="3" t="s">
        <v>17856</v>
      </c>
      <c r="C4337" s="3" t="s">
        <v>17857</v>
      </c>
      <c r="D4337" s="3" t="s">
        <v>17857</v>
      </c>
      <c r="E4337" s="3" t="s">
        <v>17858</v>
      </c>
      <c r="F4337" s="3" t="s">
        <v>17857</v>
      </c>
      <c r="G4337" s="3" t="str">
        <f ca="1">IFERROR(__xludf.DUMMYFUNCTION("googletranslate(D4337,""en"",""ja"")"),"生のデータ型の再構築")</f>
        <v>生のデータ型の再構築</v>
      </c>
      <c r="H4337" s="3" t="str">
        <f ca="1">IFERROR(__xludf.DUMMYFUNCTION("googletranslate(E4337,""en"",""ja"")"),"受信回路から取得した生の k 空間データから表示画像を生成するために使用される数学的プロセスのタイプ。 (NCI)")</f>
        <v>受信回路から取得した生の k 空間データから表示画像を生成するために使用される数学的プロセスのタイプ。 (NCI)</v>
      </c>
      <c r="I4337" s="3" t="str">
        <f ca="1">IFERROR(__xludf.DUMMYFUNCTION("googletranslate(F4337,""en"",""ja"")"),"生のデータ型の再構築")</f>
        <v>生のデータ型の再構築</v>
      </c>
    </row>
    <row r="4338" spans="1:9" ht="60">
      <c r="A4338" s="3" t="s">
        <v>1557</v>
      </c>
      <c r="B4338" s="3" t="s">
        <v>17859</v>
      </c>
      <c r="C4338" s="3" t="s">
        <v>17860</v>
      </c>
      <c r="D4338" s="3" t="s">
        <v>17861</v>
      </c>
      <c r="E4338" s="3" t="s">
        <v>17862</v>
      </c>
      <c r="F4338" s="3" t="s">
        <v>17863</v>
      </c>
      <c r="G4338" s="3" t="str">
        <f ca="1">IFERROR(__xludf.DUMMYFUNCTION("googletranslate(D4338,""en"",""ja"")"),"円筒屈折誤差;円柱屈折率誤差")</f>
        <v>円筒屈折誤差;円柱屈折率誤差</v>
      </c>
      <c r="H4338" s="3" t="str">
        <f ca="1">IFERROR(__xludf.DUMMYFUNCTION("googletranslate(E4338,""en"",""ja"")"),"円筒子午線と水平子午線の間の光学パワーの不一致によって引き起こされ、網膜上での光の最適以下の反射が生じることによって引き起こされる視覚障害の程度の測定値。 (NCI)")</f>
        <v>円筒子午線と水平子午線の間の光学パワーの不一致によって引き起こされ、網膜上での光の最適以下の反射が生じることによって引き起こされる視覚障害の程度の測定値。 (NCI)</v>
      </c>
      <c r="I4338" s="3" t="str">
        <f ca="1">IFERROR(__xludf.DUMMYFUNCTION("googletranslate(F4338,""en"",""ja"")"),"円柱屈折率誤差")</f>
        <v>円柱屈折率誤差</v>
      </c>
    </row>
    <row r="4339" spans="1:9" ht="30">
      <c r="A4339" s="3" t="s">
        <v>490</v>
      </c>
      <c r="B4339" s="3" t="s">
        <v>17864</v>
      </c>
      <c r="C4339" s="3" t="s">
        <v>17865</v>
      </c>
      <c r="D4339" s="3" t="s">
        <v>17865</v>
      </c>
      <c r="E4339" s="3" t="s">
        <v>17866</v>
      </c>
      <c r="F4339" s="3" t="s">
        <v>17865</v>
      </c>
      <c r="G4339" s="3" t="str">
        <f ca="1">IFERROR(__xludf.DUMMYFUNCTION("googletranslate(D4339,""en"",""ja"")"),"呼吸器系検査")</f>
        <v>呼吸器系検査</v>
      </c>
      <c r="H4339" s="3" t="str">
        <f ca="1">IFERROR(__xludf.DUMMYFUNCTION("googletranslate(E4339,""en"",""ja"")"),"呼吸器系の観察、評価、または検査。")</f>
        <v>呼吸器系の観察、評価、または検査。</v>
      </c>
      <c r="I4339" s="3" t="str">
        <f ca="1">IFERROR(__xludf.DUMMYFUNCTION("googletranslate(F4339,""en"",""ja"")"),"呼吸器系検査")</f>
        <v>呼吸器系検査</v>
      </c>
    </row>
    <row r="4340" spans="1:9" ht="75">
      <c r="A4340" s="3" t="s">
        <v>1255</v>
      </c>
      <c r="B4340" s="3" t="s">
        <v>17867</v>
      </c>
      <c r="C4340" s="3" t="s">
        <v>17868</v>
      </c>
      <c r="D4340" s="3" t="s">
        <v>17868</v>
      </c>
      <c r="E4340" s="3" t="s">
        <v>17869</v>
      </c>
      <c r="F4340" s="3" t="s">
        <v>17868</v>
      </c>
      <c r="G4340" s="3" t="str">
        <f ca="1">IFERROR(__xludf.DUMMYFUNCTION("googletranslate(D4340,""en"",""ja"")"),"参考式")</f>
        <v>参考式</v>
      </c>
      <c r="H4340" s="3" t="str">
        <f ca="1">IFERROR(__xludf.DUMMYFUNCTION("googletranslate(E4340,""en"",""ja"")"),"テストに関連すると判断された関連パラメーターの値に基づいて、測定結果を予測するための数式。参照方程式は通常、結果に関連すると想定されるパラメータの回帰分析を通じて導出されます。")</f>
        <v>テストに関連すると判断された関連パラメーターの値に基づいて、測定結果を予測するための数式。参照方程式は通常、結果に関連すると想定されるパラメータの回帰分析を通じて導出されます。</v>
      </c>
      <c r="I4340" s="3" t="str">
        <f ca="1">IFERROR(__xludf.DUMMYFUNCTION("googletranslate(F4340,""en"",""ja"")"),"参考式")</f>
        <v>参考式</v>
      </c>
    </row>
    <row r="4341" spans="1:9" ht="30">
      <c r="A4341" s="3" t="s">
        <v>490</v>
      </c>
      <c r="B4341" s="3" t="s">
        <v>17870</v>
      </c>
      <c r="C4341" s="3" t="s">
        <v>17871</v>
      </c>
      <c r="D4341" s="3" t="s">
        <v>17871</v>
      </c>
      <c r="E4341" s="3" t="s">
        <v>17872</v>
      </c>
      <c r="F4341" s="3" t="s">
        <v>17871</v>
      </c>
      <c r="G4341" s="3" t="str">
        <f ca="1">IFERROR(__xludf.DUMMYFUNCTION("googletranslate(D4341,""en"",""ja"")"),"相対的なサイズの変化")</f>
        <v>相対的なサイズの変化</v>
      </c>
      <c r="H4341" s="3" t="str">
        <f ca="1">IFERROR(__xludf.DUMMYFUNCTION("googletranslate(E4341,""en"",""ja"")"),"ベースラインまたは以前の値と比較したサイズの違いの評価。")</f>
        <v>ベースラインまたは以前の値と比較したサイズの違いの評価。</v>
      </c>
      <c r="I4341" s="3" t="str">
        <f ca="1">IFERROR(__xludf.DUMMYFUNCTION("googletranslate(F4341,""en"",""ja"")"),"相対的なサイズの変化")</f>
        <v>相対的なサイズの変化</v>
      </c>
    </row>
    <row r="4342" spans="1:9" ht="30">
      <c r="A4342" s="3" t="s">
        <v>185</v>
      </c>
      <c r="B4342" s="3" t="s">
        <v>17873</v>
      </c>
      <c r="C4342" s="3" t="s">
        <v>17874</v>
      </c>
      <c r="D4342" s="3" t="s">
        <v>17874</v>
      </c>
      <c r="E4342" s="3" t="s">
        <v>17875</v>
      </c>
      <c r="F4342" s="3" t="s">
        <v>17874</v>
      </c>
      <c r="G4342" s="3" t="str">
        <f ca="1">IFERROR(__xludf.DUMMYFUNCTION("googletranslate(D4342,""en"",""ja"")"),"残量")</f>
        <v>残量</v>
      </c>
      <c r="H4342" s="3" t="str">
        <f ca="1">IFERROR(__xludf.DUMMYFUNCTION("googletranslate(E4342,""en"",""ja"")"),"投与、消費、または使用後に残る製品の量。")</f>
        <v>投与、消費、または使用後に残る製品の量。</v>
      </c>
      <c r="I4342" s="3" t="str">
        <f ca="1">IFERROR(__xludf.DUMMYFUNCTION("googletranslate(F4342,""en"",""ja"")"),"残量")</f>
        <v>残量</v>
      </c>
    </row>
    <row r="4343" spans="1:9" ht="30">
      <c r="A4343" s="3" t="s">
        <v>6418</v>
      </c>
      <c r="B4343" s="3" t="s">
        <v>17873</v>
      </c>
      <c r="C4343" s="3" t="s">
        <v>17874</v>
      </c>
      <c r="D4343" s="3" t="s">
        <v>17874</v>
      </c>
      <c r="E4343" s="3" t="s">
        <v>17875</v>
      </c>
      <c r="F4343" s="3" t="s">
        <v>17874</v>
      </c>
      <c r="G4343" s="3" t="str">
        <f ca="1">IFERROR(__xludf.DUMMYFUNCTION("googletranslate(D4343,""en"",""ja"")"),"残量")</f>
        <v>残量</v>
      </c>
      <c r="H4343" s="3" t="str">
        <f ca="1">IFERROR(__xludf.DUMMYFUNCTION("googletranslate(E4343,""en"",""ja"")"),"投与、消費、または使用後に残る製品の量。")</f>
        <v>投与、消費、または使用後に残る製品の量。</v>
      </c>
      <c r="I4343" s="3" t="str">
        <f ca="1">IFERROR(__xludf.DUMMYFUNCTION("googletranslate(F4343,""en"",""ja"")"),"残量")</f>
        <v>残量</v>
      </c>
    </row>
    <row r="4344" spans="1:9" ht="30">
      <c r="A4344" s="3" t="s">
        <v>159</v>
      </c>
      <c r="B4344" s="3" t="s">
        <v>17876</v>
      </c>
      <c r="C4344" s="3" t="s">
        <v>17877</v>
      </c>
      <c r="D4344" s="3" t="s">
        <v>17877</v>
      </c>
      <c r="E4344" s="3" t="s">
        <v>17878</v>
      </c>
      <c r="F4344" s="3" t="s">
        <v>17879</v>
      </c>
      <c r="G4344" s="3" t="str">
        <f ca="1">IFERROR(__xludf.DUMMYFUNCTION("googletranslate(D4344,""en"",""ja"")"),"レム睡眠時間")</f>
        <v>レム睡眠時間</v>
      </c>
      <c r="H4344" s="3" t="str">
        <f ca="1">IFERROR(__xludf.DUMMYFUNCTION("googletranslate(E4344,""en"",""ja"")"),"個人が急速眼球運動 (REM) 睡眠に費やす合計時間。")</f>
        <v>個人が急速眼球運動 (REM) 睡眠に費やす合計時間。</v>
      </c>
      <c r="I4344" s="3" t="str">
        <f ca="1">IFERROR(__xludf.DUMMYFUNCTION("googletranslate(F4344,""en"",""ja"")"),"急速な眼球運動 睡眠相の持続時間")</f>
        <v>急速な眼球運動 睡眠相の持続時間</v>
      </c>
    </row>
    <row r="4345" spans="1:9" ht="30">
      <c r="A4345" s="3" t="s">
        <v>159</v>
      </c>
      <c r="B4345" s="3" t="s">
        <v>17880</v>
      </c>
      <c r="C4345" s="3" t="s">
        <v>17881</v>
      </c>
      <c r="D4345" s="3" t="s">
        <v>17881</v>
      </c>
      <c r="E4345" s="3" t="s">
        <v>17882</v>
      </c>
      <c r="F4345" s="3" t="s">
        <v>17883</v>
      </c>
      <c r="G4345" s="3" t="str">
        <f ca="1">IFERROR(__xludf.DUMMYFUNCTION("googletranslate(D4345,""en"",""ja"")"),"REM 待ち時間")</f>
        <v>REM 待ち時間</v>
      </c>
      <c r="H4345" s="3" t="str">
        <f ca="1">IFERROR(__xludf.DUMMYFUNCTION("googletranslate(E4345,""en"",""ja"")"),"睡眠の開始から最初の急速眼球運動 (REM) サイクルの開始までの時間。")</f>
        <v>睡眠の開始から最初の急速眼球運動 (REM) サイクルの開始までの時間。</v>
      </c>
      <c r="I4345" s="3" t="str">
        <f ca="1">IFERROR(__xludf.DUMMYFUNCTION("googletranslate(F4345,""en"",""ja"")"),"急速な眼球運動睡眠相潜時")</f>
        <v>急速な眼球運動睡眠相潜時</v>
      </c>
    </row>
    <row r="4346" spans="1:9" ht="30">
      <c r="A4346" s="3" t="s">
        <v>159</v>
      </c>
      <c r="B4346" s="3" t="s">
        <v>17884</v>
      </c>
      <c r="C4346" s="3" t="s">
        <v>17885</v>
      </c>
      <c r="D4346" s="3" t="s">
        <v>17885</v>
      </c>
      <c r="E4346" s="3" t="s">
        <v>17886</v>
      </c>
      <c r="F4346" s="3" t="s">
        <v>17887</v>
      </c>
      <c r="G4346" s="3" t="str">
        <f ca="1">IFERROR(__xludf.DUMMYFUNCTION("googletranslate(D4346,""en"",""ja"")"),"レム/総睡眠時間")</f>
        <v>レム/総睡眠時間</v>
      </c>
      <c r="H4346" s="3" t="str">
        <f ca="1">IFERROR(__xludf.DUMMYFUNCTION("googletranslate(E4346,""en"",""ja"")"),"総睡眠時間に対する急速眼球運動 (REM) 睡眠時間の相対的な測定値 (パーセンテージ)。")</f>
        <v>総睡眠時間に対する急速眼球運動 (REM) 睡眠時間の相対的な測定値 (パーセンテージ)。</v>
      </c>
      <c r="I4346" s="3" t="str">
        <f ca="1">IFERROR(__xludf.DUMMYFUNCTION("googletranslate(F4346,""en"",""ja"")"),"REMと総睡眠時間の比率の測定")</f>
        <v>REMと総睡眠時間の比率の測定</v>
      </c>
    </row>
    <row r="4347" spans="1:9" ht="45">
      <c r="A4347" s="3" t="s">
        <v>6</v>
      </c>
      <c r="B4347" s="3" t="s">
        <v>17888</v>
      </c>
      <c r="C4347" s="3" t="s">
        <v>17889</v>
      </c>
      <c r="D4347" s="3" t="s">
        <v>17890</v>
      </c>
      <c r="E4347" s="3" t="s">
        <v>17891</v>
      </c>
      <c r="F4347" s="3" t="s">
        <v>17892</v>
      </c>
      <c r="G4347" s="3" t="str">
        <f ca="1">IFERROR(__xludf.DUMMYFUNCTION("googletranslate(D4347,""en"",""ja"")"),"アクティブレニン。アンジオテンシノゲナーゼ;直接レニン。レニン")</f>
        <v>アクティブレニン。アンジオテンシノゲナーゼ;直接レニン。レニン</v>
      </c>
      <c r="H4347" s="3" t="str">
        <f ca="1">IFERROR(__xludf.DUMMYFUNCTION("googletranslate(E4347,""en"",""ja"")"),"生物学的標本中のレニンの測定。")</f>
        <v>生物学的標本中のレニンの測定。</v>
      </c>
      <c r="I4347" s="3" t="str">
        <f ca="1">IFERROR(__xludf.DUMMYFUNCTION("googletranslate(F4347,""en"",""ja"")"),"レニン測定")</f>
        <v>レニン測定</v>
      </c>
    </row>
    <row r="4348" spans="1:9">
      <c r="A4348" s="3" t="s">
        <v>6</v>
      </c>
      <c r="B4348" s="3" t="s">
        <v>17893</v>
      </c>
      <c r="C4348" s="3" t="s">
        <v>17894</v>
      </c>
      <c r="D4348" s="3" t="s">
        <v>17894</v>
      </c>
      <c r="E4348" s="3" t="s">
        <v>17895</v>
      </c>
      <c r="F4348" s="3" t="s">
        <v>17896</v>
      </c>
      <c r="G4348" s="3" t="str">
        <f ca="1">IFERROR(__xludf.DUMMYFUNCTION("googletranslate(D4348,""en"",""ja"")"),"レニン活動")</f>
        <v>レニン活動</v>
      </c>
      <c r="H4348" s="3" t="str">
        <f ca="1">IFERROR(__xludf.DUMMYFUNCTION("googletranslate(E4348,""en"",""ja"")"),"生物学的標本におけるレニン活性の測定。")</f>
        <v>生物学的標本におけるレニン活性の測定。</v>
      </c>
      <c r="I4348" s="3" t="str">
        <f ca="1">IFERROR(__xludf.DUMMYFUNCTION("googletranslate(F4348,""en"",""ja"")"),"レニン活性測定")</f>
        <v>レニン活性測定</v>
      </c>
    </row>
    <row r="4349" spans="1:9" ht="30">
      <c r="A4349" s="3" t="s">
        <v>1255</v>
      </c>
      <c r="B4349" s="3" t="s">
        <v>17897</v>
      </c>
      <c r="C4349" s="3" t="s">
        <v>17898</v>
      </c>
      <c r="D4349" s="3" t="s">
        <v>17898</v>
      </c>
      <c r="E4349" s="3" t="s">
        <v>17899</v>
      </c>
      <c r="F4349" s="3" t="s">
        <v>17898</v>
      </c>
      <c r="G4349" s="3" t="str">
        <f ca="1">IFERROR(__xludf.DUMMYFUNCTION("googletranslate(D4349,""en"",""ja"")"),"繰り返し時間")</f>
        <v>繰り返し時間</v>
      </c>
      <c r="H4349" s="3" t="str">
        <f ca="1">IFERROR(__xludf.DUMMYFUNCTION("googletranslate(E4349,""en"",""ja"")"),"同じスライスに適用される連続するパルス シーケンス間のミリ秒単位の時間。")</f>
        <v>同じスライスに適用される連続するパルス シーケンス間のミリ秒単位の時間。</v>
      </c>
      <c r="I4349" s="3" t="str">
        <f ca="1">IFERROR(__xludf.DUMMYFUNCTION("googletranslate(F4349,""en"",""ja"")"),"繰り返し時間")</f>
        <v>繰り返し時間</v>
      </c>
    </row>
    <row r="4350" spans="1:9" ht="30">
      <c r="A4350" s="3" t="s">
        <v>490</v>
      </c>
      <c r="B4350" s="3" t="s">
        <v>17900</v>
      </c>
      <c r="C4350" s="3" t="s">
        <v>17901</v>
      </c>
      <c r="D4350" s="3" t="s">
        <v>17901</v>
      </c>
      <c r="E4350" s="3" t="s">
        <v>17902</v>
      </c>
      <c r="F4350" s="3" t="s">
        <v>17901</v>
      </c>
      <c r="G4350" s="3" t="str">
        <f ca="1">IFERROR(__xludf.DUMMYFUNCTION("googletranslate(D4350,""en"",""ja"")"),"呼吸器交換率")</f>
        <v>呼吸器交換率</v>
      </c>
      <c r="H4350" s="3" t="str">
        <f ca="1">IFERROR(__xludf.DUMMYFUNCTION("googletranslate(E4350,""en"",""ja"")"),"1回の呼吸で生成される二酸化炭素の量と消費される酸素の量の比。")</f>
        <v>1回の呼吸で生成される二酸化炭素の量と消費される酸素の量の比。</v>
      </c>
      <c r="I4350" s="3" t="str">
        <f ca="1">IFERROR(__xludf.DUMMYFUNCTION("googletranslate(F4350,""en"",""ja"")"),"呼吸器交換率")</f>
        <v>呼吸器交換率</v>
      </c>
    </row>
    <row r="4351" spans="1:9" ht="30">
      <c r="A4351" s="3" t="s">
        <v>185</v>
      </c>
      <c r="B4351" s="3" t="s">
        <v>17903</v>
      </c>
      <c r="C4351" s="3" t="s">
        <v>17904</v>
      </c>
      <c r="D4351" s="3" t="s">
        <v>17905</v>
      </c>
      <c r="E4351" s="3" t="s">
        <v>17906</v>
      </c>
      <c r="F4351" s="3" t="s">
        <v>17907</v>
      </c>
      <c r="G4351" s="3" t="str">
        <f ca="1">IFERROR(__xludf.DUMMYFUNCTION("googletranslate(D4351,""en"",""ja"")"),"切除腫瘍インド;切除腫瘍インジケーター")</f>
        <v>切除腫瘍インド;切除腫瘍インジケーター</v>
      </c>
      <c r="H4351" s="3" t="str">
        <f ca="1">IFERROR(__xludf.DUMMYFUNCTION("googletranslate(E4351,""en"",""ja"")"),"腫瘍が切除されたかどうかの指標。")</f>
        <v>腫瘍が切除されたかどうかの指標。</v>
      </c>
      <c r="I4351" s="3" t="str">
        <f ca="1">IFERROR(__xludf.DUMMYFUNCTION("googletranslate(F4351,""en"",""ja"")"),"腫瘍切除インジケーター")</f>
        <v>腫瘍切除インジケーター</v>
      </c>
    </row>
    <row r="4352" spans="1:9">
      <c r="A4352" s="3" t="s">
        <v>6</v>
      </c>
      <c r="B4352" s="3" t="s">
        <v>17908</v>
      </c>
      <c r="C4352" s="3" t="s">
        <v>17909</v>
      </c>
      <c r="D4352" s="3" t="s">
        <v>17909</v>
      </c>
      <c r="E4352" s="3" t="s">
        <v>17910</v>
      </c>
      <c r="F4352" s="3" t="s">
        <v>17911</v>
      </c>
      <c r="G4352" s="3" t="str">
        <f ca="1">IFERROR(__xludf.DUMMYFUNCTION("googletranslate(D4352,""en"",""ja"")"),"抵抗する")</f>
        <v>抵抗する</v>
      </c>
      <c r="H4352" s="3" t="str">
        <f ca="1">IFERROR(__xludf.DUMMYFUNCTION("googletranslate(E4352,""en"",""ja"")"),"生物学的標本中のレジスチンの測定。")</f>
        <v>生物学的標本中のレジスチンの測定。</v>
      </c>
      <c r="I4352" s="3" t="str">
        <f ca="1">IFERROR(__xludf.DUMMYFUNCTION("googletranslate(F4352,""en"",""ja"")"),"レジスチン測定")</f>
        <v>レジスチン測定</v>
      </c>
    </row>
    <row r="4353" spans="1:9" ht="45">
      <c r="A4353" s="3" t="s">
        <v>118</v>
      </c>
      <c r="B4353" s="3" t="s">
        <v>17912</v>
      </c>
      <c r="C4353" s="3" t="s">
        <v>17913</v>
      </c>
      <c r="D4353" s="3" t="s">
        <v>17913</v>
      </c>
      <c r="E4353" s="3" t="s">
        <v>17914</v>
      </c>
      <c r="F4353" s="3" t="s">
        <v>17913</v>
      </c>
      <c r="G4353" s="3" t="str">
        <f ca="1">IFERROR(__xludf.DUMMYFUNCTION("googletranslate(D4353,""en"",""ja"")"),"呼吸数")</f>
        <v>呼吸数</v>
      </c>
      <c r="H4353" s="3" t="str">
        <f ca="1">IFERROR(__xludf.DUMMYFUNCTION("googletranslate(E4353,""en"",""ja"")"),"単位時間内に測定される呼吸（吸気と呼気）の速度。通常は 1 分あたりの呼吸数として表されます。 (NCI)")</f>
        <v>単位時間内に測定される呼吸（吸気と呼気）の速度。通常は 1 分あたりの呼吸数として表されます。 (NCI)</v>
      </c>
      <c r="I4353" s="3" t="str">
        <f ca="1">IFERROR(__xludf.DUMMYFUNCTION("googletranslate(F4353,""en"",""ja"")"),"呼吸数")</f>
        <v>呼吸数</v>
      </c>
    </row>
    <row r="4354" spans="1:9" ht="60">
      <c r="A4354" s="3" t="s">
        <v>1557</v>
      </c>
      <c r="B4354" s="3" t="s">
        <v>17915</v>
      </c>
      <c r="C4354" s="3" t="s">
        <v>17916</v>
      </c>
      <c r="D4354" s="3" t="s">
        <v>17917</v>
      </c>
      <c r="E4354" s="3" t="s">
        <v>17918</v>
      </c>
      <c r="F4354" s="3" t="s">
        <v>17916</v>
      </c>
      <c r="G4354" s="3" t="str">
        <f ca="1">IFERROR(__xludf.DUMMYFUNCTION("googletranslate(D4354,""en"",""ja"")"),"球面屈折誤差;球面屈折率誤差")</f>
        <v>球面屈折誤差;球面屈折率誤差</v>
      </c>
      <c r="H4354" s="3" t="str">
        <f ca="1">IFERROR(__xludf.DUMMYFUNCTION("googletranslate(E4354,""en"",""ja"")"),"角膜および/または水晶体と眼球の長さの間の最適度数の不一致によって引き起こされ、網膜上での光の最適以下の反射を引き起こす視力障害の程度の測定値。 (NCI)")</f>
        <v>角膜および/または水晶体と眼球の長さの間の最適度数の不一致によって引き起こされ、網膜上での光の最適以下の反射を引き起こす視力障害の程度の測定値。 (NCI)</v>
      </c>
      <c r="I4354" s="3" t="str">
        <f ca="1">IFERROR(__xludf.DUMMYFUNCTION("googletranslate(F4354,""en"",""ja"")"),"球面屈折率誤差")</f>
        <v>球面屈折率誤差</v>
      </c>
    </row>
    <row r="4355" spans="1:9" ht="30">
      <c r="A4355" s="3" t="s">
        <v>1255</v>
      </c>
      <c r="B4355" s="3" t="s">
        <v>17919</v>
      </c>
      <c r="C4355" s="3" t="s">
        <v>17920</v>
      </c>
      <c r="D4355" s="3" t="s">
        <v>17921</v>
      </c>
      <c r="E4355" s="3" t="s">
        <v>17922</v>
      </c>
      <c r="F4355" s="3" t="s">
        <v>17923</v>
      </c>
      <c r="G4355" s="3" t="str">
        <f ca="1">IFERROR(__xludf.DUMMYFUNCTION("googletranslate(D4355,""en"",""ja"")"),"呼吸数の設定; RR設定")</f>
        <v>呼吸数の設定; RR設定</v>
      </c>
      <c r="H4355" s="3" t="str">
        <f ca="1">IFERROR(__xludf.DUMMYFUNCTION("googletranslate(E4355,""en"",""ja"")"),"単位時間内の呼吸数 (吸気と呼気) を決定および調整する装置の設定。")</f>
        <v>単位時間内の呼吸数 (吸気と呼気) を決定および調整する装置の設定。</v>
      </c>
      <c r="I4355" s="3" t="str">
        <f ca="1">IFERROR(__xludf.DUMMYFUNCTION("googletranslate(F4355,""en"",""ja"")"),"呼吸数デバイスの設定")</f>
        <v>呼吸数デバイスの設定</v>
      </c>
    </row>
    <row r="4356" spans="1:9">
      <c r="A4356" s="3" t="s">
        <v>6418</v>
      </c>
      <c r="B4356" s="3" t="s">
        <v>17924</v>
      </c>
      <c r="C4356" s="3" t="s">
        <v>17925</v>
      </c>
      <c r="D4356" s="3" t="s">
        <v>17925</v>
      </c>
      <c r="E4356" s="3" t="s">
        <v>17926</v>
      </c>
      <c r="F4356" s="3" t="s">
        <v>17925</v>
      </c>
      <c r="G4356" s="3" t="str">
        <f ca="1">IFERROR(__xludf.DUMMYFUNCTION("googletranslate(D4356,""en"",""ja"")"),"返品金額")</f>
        <v>返品金額</v>
      </c>
      <c r="H4356" s="3" t="str">
        <f ca="1">IFERROR(__xludf.DUMMYFUNCTION("googletranslate(E4356,""en"",""ja"")"),"返品された商品の数量。 (NCI)")</f>
        <v>返品された商品の数量。 (NCI)</v>
      </c>
      <c r="I4356" s="3" t="str">
        <f ca="1">IFERROR(__xludf.DUMMYFUNCTION("googletranslate(F4356,""en"",""ja"")"),"返品金額")</f>
        <v>返品金額</v>
      </c>
    </row>
    <row r="4357" spans="1:9">
      <c r="A4357" s="3" t="s">
        <v>185</v>
      </c>
      <c r="B4357" s="3" t="s">
        <v>17924</v>
      </c>
      <c r="C4357" s="3" t="s">
        <v>17925</v>
      </c>
      <c r="D4357" s="3" t="s">
        <v>17925</v>
      </c>
      <c r="E4357" s="3" t="s">
        <v>17926</v>
      </c>
      <c r="F4357" s="3" t="s">
        <v>17925</v>
      </c>
      <c r="G4357" s="3" t="str">
        <f ca="1">IFERROR(__xludf.DUMMYFUNCTION("googletranslate(D4357,""en"",""ja"")"),"返品金額")</f>
        <v>返品金額</v>
      </c>
      <c r="H4357" s="3" t="str">
        <f ca="1">IFERROR(__xludf.DUMMYFUNCTION("googletranslate(E4357,""en"",""ja"")"),"返品された商品の数量。 (NCI)")</f>
        <v>返品された商品の数量。 (NCI)</v>
      </c>
      <c r="I4357" s="3" t="str">
        <f ca="1">IFERROR(__xludf.DUMMYFUNCTION("googletranslate(F4357,""en"",""ja"")"),"返品金額")</f>
        <v>返品金額</v>
      </c>
    </row>
    <row r="4358" spans="1:9" ht="45">
      <c r="A4358" s="3" t="s">
        <v>6</v>
      </c>
      <c r="B4358" s="3" t="s">
        <v>17927</v>
      </c>
      <c r="C4358" s="3" t="s">
        <v>17928</v>
      </c>
      <c r="D4358" s="3" t="s">
        <v>17928</v>
      </c>
      <c r="E4358" s="3" t="s">
        <v>17929</v>
      </c>
      <c r="F4358" s="3" t="s">
        <v>17930</v>
      </c>
      <c r="G4358" s="3" t="str">
        <f ca="1">IFERROR(__xludf.DUMMYFUNCTION("googletranslate(D4358,""en"",""ja"")"),"HCT 補正された網状赤血球/赤血球")</f>
        <v>HCT 補正された網状赤血球/赤血球</v>
      </c>
      <c r="H4358" s="3" t="str">
        <f ca="1">IFERROR(__xludf.DUMMYFUNCTION("googletranslate(E4358,""en"",""ja"")"),"ヘマトクリットの相対測定 (比率またはパーセンテージ) により、生体標本の赤血球に対する網赤血球が補正されます。")</f>
        <v>ヘマトクリットの相対測定 (比率またはパーセンテージ) により、生体標本の赤血球に対する網赤血球が補正されます。</v>
      </c>
      <c r="I4358" s="3" t="str">
        <f ca="1">IFERROR(__xludf.DUMMYFUNCTION("googletranslate(F4358,""en"",""ja"")"),"ヘマトクリット補正された網状赤血球と赤血球の比率の測定")</f>
        <v>ヘマトクリット補正された網状赤血球と赤血球の比率の測定</v>
      </c>
    </row>
    <row r="4359" spans="1:9">
      <c r="A4359" s="3" t="s">
        <v>6</v>
      </c>
      <c r="B4359" s="3" t="s">
        <v>17931</v>
      </c>
      <c r="C4359" s="3" t="s">
        <v>17932</v>
      </c>
      <c r="D4359" s="3" t="s">
        <v>17932</v>
      </c>
      <c r="E4359" s="3" t="s">
        <v>17933</v>
      </c>
      <c r="F4359" s="3" t="s">
        <v>17934</v>
      </c>
      <c r="G4359" s="3" t="str">
        <f ca="1">IFERROR(__xludf.DUMMYFUNCTION("googletranslate(D4359,""en"",""ja"")"),"網状赤血球")</f>
        <v>網状赤血球</v>
      </c>
      <c r="H4359" s="3" t="str">
        <f ca="1">IFERROR(__xludf.DUMMYFUNCTION("googletranslate(E4359,""en"",""ja"")"),"生物学的標本中の網赤血球の測定。")</f>
        <v>生物学的標本中の網赤血球の測定。</v>
      </c>
      <c r="I4359" s="3" t="str">
        <f ca="1">IFERROR(__xludf.DUMMYFUNCTION("googletranslate(F4359,""en"",""ja"")"),"網赤血球数")</f>
        <v>網赤血球数</v>
      </c>
    </row>
    <row r="4360" spans="1:9" ht="30">
      <c r="A4360" s="3" t="s">
        <v>6</v>
      </c>
      <c r="B4360" s="3" t="s">
        <v>17935</v>
      </c>
      <c r="C4360" s="3" t="s">
        <v>17936</v>
      </c>
      <c r="D4360" s="3" t="s">
        <v>17936</v>
      </c>
      <c r="E4360" s="3" t="s">
        <v>17937</v>
      </c>
      <c r="F4360" s="3" t="s">
        <v>17938</v>
      </c>
      <c r="G4360" s="3" t="str">
        <f ca="1">IFERROR(__xludf.DUMMYFUNCTION("googletranslate(D4360,""en"",""ja"")"),"網赤血球/総細胞数")</f>
        <v>網赤血球/総細胞数</v>
      </c>
      <c r="H4360" s="3" t="str">
        <f ca="1">IFERROR(__xludf.DUMMYFUNCTION("googletranslate(E4360,""en"",""ja"")"),"生物学的標本の全細胞に対する網赤血球の相対的な測定値 (比率またはパーセンテージ)。")</f>
        <v>生物学的標本の全細胞に対する網赤血球の相対的な測定値 (比率またはパーセンテージ)。</v>
      </c>
      <c r="I4360" s="3" t="str">
        <f ca="1">IFERROR(__xludf.DUMMYFUNCTION("googletranslate(F4360,""en"",""ja"")"),"網赤血球対総細胞比の測定")</f>
        <v>網赤血球対総細胞比の測定</v>
      </c>
    </row>
    <row r="4361" spans="1:9" ht="45">
      <c r="A4361" s="3" t="s">
        <v>6</v>
      </c>
      <c r="B4361" s="3" t="s">
        <v>17939</v>
      </c>
      <c r="C4361" s="3" t="s">
        <v>17940</v>
      </c>
      <c r="D4361" s="3" t="s">
        <v>17941</v>
      </c>
      <c r="E4361" s="3" t="s">
        <v>17942</v>
      </c>
      <c r="F4361" s="3" t="s">
        <v>17943</v>
      </c>
      <c r="G4361" s="3" t="str">
        <f ca="1">IFERROR(__xludf.DUMMYFUNCTION("googletranslate(D4361,""en"",""ja"")"),"CHr;レット。赤血球ヘモグロビン含有量;網赤血球の細胞ヘモグロビン含有量")</f>
        <v>CHr;レット。赤血球ヘモグロビン含有量;網赤血球の細胞ヘモグロビン含有量</v>
      </c>
      <c r="H4361" s="3" t="str">
        <f ca="1">IFERROR(__xludf.DUMMYFUNCTION("googletranslate(E4361,""en"",""ja"")"),"網赤血球あたりのヘモグロビンの平均総量の測定値。")</f>
        <v>網赤血球あたりのヘモグロビンの平均総量の測定値。</v>
      </c>
      <c r="I4361" s="3" t="str">
        <f ca="1">IFERROR(__xludf.DUMMYFUNCTION("googletranslate(F4361,""en"",""ja"")"),"網赤血球の赤血球ヘモグロビン含有量")</f>
        <v>網赤血球の赤血球ヘモグロビン含有量</v>
      </c>
    </row>
    <row r="4362" spans="1:9" ht="30">
      <c r="A4362" s="3" t="s">
        <v>6</v>
      </c>
      <c r="B4362" s="3" t="s">
        <v>17944</v>
      </c>
      <c r="C4362" s="3" t="s">
        <v>17945</v>
      </c>
      <c r="D4362" s="3" t="s">
        <v>17945</v>
      </c>
      <c r="E4362" s="3" t="s">
        <v>17946</v>
      </c>
      <c r="F4362" s="3" t="s">
        <v>17947</v>
      </c>
      <c r="G4362" s="3" t="str">
        <f ca="1">IFERROR(__xludf.DUMMYFUNCTION("googletranslate(D4362,""en"",""ja"")"),"高吸収網状赤血球")</f>
        <v>高吸収網状赤血球</v>
      </c>
      <c r="H4362" s="3" t="str">
        <f ca="1">IFERROR(__xludf.DUMMYFUNCTION("googletranslate(E4362,""en"",""ja"")"),"生物学的標本中の高吸収網赤血球の測定。")</f>
        <v>生物学的標本中の高吸収網赤血球の測定。</v>
      </c>
      <c r="I4362" s="3" t="str">
        <f ca="1">IFERROR(__xludf.DUMMYFUNCTION("googletranslate(F4362,""en"",""ja"")"),"高吸収網赤血球測定")</f>
        <v>高吸収網赤血球測定</v>
      </c>
    </row>
    <row r="4363" spans="1:9" ht="30">
      <c r="A4363" s="3" t="s">
        <v>6</v>
      </c>
      <c r="B4363" s="3" t="s">
        <v>17948</v>
      </c>
      <c r="C4363" s="3" t="s">
        <v>17949</v>
      </c>
      <c r="D4363" s="3" t="s">
        <v>17949</v>
      </c>
      <c r="E4363" s="3" t="s">
        <v>17950</v>
      </c>
      <c r="F4363" s="3" t="s">
        <v>17951</v>
      </c>
      <c r="G4363" s="3" t="str">
        <f ca="1">IFERROR(__xludf.DUMMYFUNCTION("googletranslate(D4363,""en"",""ja"")"),"ヘマトクリット補正された網状赤血球")</f>
        <v>ヘマトクリット補正された網状赤血球</v>
      </c>
      <c r="H4363" s="3" t="str">
        <f ca="1">IFERROR(__xludf.DUMMYFUNCTION("googletranslate(E4363,""en"",""ja"")"),"ヘマトクリットの測定により、生体標本中の網状赤血球が補正されます。")</f>
        <v>ヘマトクリットの測定により、生体標本中の網状赤血球が補正されます。</v>
      </c>
      <c r="I4363" s="3" t="str">
        <f ca="1">IFERROR(__xludf.DUMMYFUNCTION("googletranslate(F4363,""en"",""ja"")"),"ヘマトクリット補正網状赤血球数")</f>
        <v>ヘマトクリット補正網状赤血球数</v>
      </c>
    </row>
    <row r="4364" spans="1:9" ht="45">
      <c r="A4364" s="3" t="s">
        <v>6</v>
      </c>
      <c r="B4364" s="3" t="s">
        <v>17952</v>
      </c>
      <c r="C4364" s="3" t="s">
        <v>17953</v>
      </c>
      <c r="D4364" s="3" t="s">
        <v>17953</v>
      </c>
      <c r="E4364" s="3" t="s">
        <v>17954</v>
      </c>
      <c r="F4364" s="3" t="s">
        <v>17955</v>
      </c>
      <c r="G4364" s="3" t="str">
        <f ca="1">IFERROR(__xludf.DUMMYFUNCTION("googletranslate(D4364,""en"",""ja"")"),"高吸収網目/網状赤血球")</f>
        <v>高吸収網目/網状赤血球</v>
      </c>
      <c r="H4364" s="3" t="str">
        <f ca="1">IFERROR(__xludf.DUMMYFUNCTION("googletranslate(E4364,""en"",""ja"")"),"生体試料中の総網赤血球に対する高吸収網赤血球の相対測定値 (比率またはパーセンテージ)。")</f>
        <v>生体試料中の総網赤血球に対する高吸収網赤血球の相対測定値 (比率またはパーセンテージ)。</v>
      </c>
      <c r="I4364" s="3" t="str">
        <f ca="1">IFERROR(__xludf.DUMMYFUNCTION("googletranslate(F4364,""en"",""ja"")"),"高吸収網赤血球と総網状赤血球の比率の測定")</f>
        <v>高吸収網赤血球と総網状赤血球の比率の測定</v>
      </c>
    </row>
    <row r="4365" spans="1:9" ht="30">
      <c r="A4365" s="3" t="s">
        <v>6</v>
      </c>
      <c r="B4365" s="3" t="s">
        <v>17956</v>
      </c>
      <c r="C4365" s="3" t="s">
        <v>17957</v>
      </c>
      <c r="D4365" s="3" t="s">
        <v>17957</v>
      </c>
      <c r="E4365" s="3" t="s">
        <v>17958</v>
      </c>
      <c r="F4365" s="3" t="s">
        <v>17959</v>
      </c>
      <c r="G4365" s="3" t="str">
        <f ca="1">IFERROR(__xludf.DUMMYFUNCTION("googletranslate(D4365,""en"",""ja"")"),"低吸収網状赤血球")</f>
        <v>低吸収網状赤血球</v>
      </c>
      <c r="H4365" s="3" t="str">
        <f ca="1">IFERROR(__xludf.DUMMYFUNCTION("googletranslate(E4365,""en"",""ja"")"),"生物学的標本中の低吸収網赤血球の測定。")</f>
        <v>生物学的標本中の低吸収網赤血球の測定。</v>
      </c>
      <c r="I4365" s="3" t="str">
        <f ca="1">IFERROR(__xludf.DUMMYFUNCTION("googletranslate(F4365,""en"",""ja"")"),"低吸収網赤血球測定")</f>
        <v>低吸収網赤血球測定</v>
      </c>
    </row>
    <row r="4366" spans="1:9" ht="45">
      <c r="A4366" s="3" t="s">
        <v>6</v>
      </c>
      <c r="B4366" s="3" t="s">
        <v>17960</v>
      </c>
      <c r="C4366" s="3" t="s">
        <v>17961</v>
      </c>
      <c r="D4366" s="3" t="s">
        <v>17961</v>
      </c>
      <c r="E4366" s="3" t="s">
        <v>17962</v>
      </c>
      <c r="F4366" s="3" t="s">
        <v>17963</v>
      </c>
      <c r="G4366" s="3" t="str">
        <f ca="1">IFERROR(__xludf.DUMMYFUNCTION("googletranslate(D4366,""en"",""ja"")"),"低吸収網目/網状赤血球")</f>
        <v>低吸収網目/網状赤血球</v>
      </c>
      <c r="H4366" s="3" t="str">
        <f ca="1">IFERROR(__xludf.DUMMYFUNCTION("googletranslate(E4366,""en"",""ja"")"),"生物学的検体中の総網赤血球に対する低吸収網赤血球の相対測定値 (比率またはパーセンテージ)。")</f>
        <v>生物学的検体中の総網赤血球に対する低吸収網赤血球の相対測定値 (比率またはパーセンテージ)。</v>
      </c>
      <c r="I4366" s="3" t="str">
        <f ca="1">IFERROR(__xludf.DUMMYFUNCTION("googletranslate(F4366,""en"",""ja"")"),"低吸収網赤血球と総網状赤血球の比率の測定")</f>
        <v>低吸収網赤血球と総網状赤血球の比率の測定</v>
      </c>
    </row>
    <row r="4367" spans="1:9" ht="30">
      <c r="A4367" s="3" t="s">
        <v>6</v>
      </c>
      <c r="B4367" s="3" t="s">
        <v>17964</v>
      </c>
      <c r="C4367" s="3" t="s">
        <v>17965</v>
      </c>
      <c r="D4367" s="3" t="s">
        <v>17965</v>
      </c>
      <c r="E4367" s="3" t="s">
        <v>17966</v>
      </c>
      <c r="F4367" s="3" t="s">
        <v>17967</v>
      </c>
      <c r="G4367" s="3" t="str">
        <f ca="1">IFERROR(__xludf.DUMMYFUNCTION("googletranslate(D4367,""en"",""ja"")"),"中吸収網状赤血球")</f>
        <v>中吸収網状赤血球</v>
      </c>
      <c r="H4367" s="3" t="str">
        <f ca="1">IFERROR(__xludf.DUMMYFUNCTION("googletranslate(E4367,""en"",""ja"")"),"生物学的標本中の中程度の吸収網状赤血球の測定。")</f>
        <v>生物学的標本中の中程度の吸収網状赤血球の測定。</v>
      </c>
      <c r="I4367" s="3" t="str">
        <f ca="1">IFERROR(__xludf.DUMMYFUNCTION("googletranslate(F4367,""en"",""ja"")"),"中吸収網赤血球測定")</f>
        <v>中吸収網赤血球測定</v>
      </c>
    </row>
    <row r="4368" spans="1:9" ht="45">
      <c r="A4368" s="3" t="s">
        <v>6</v>
      </c>
      <c r="B4368" s="3" t="s">
        <v>17968</v>
      </c>
      <c r="C4368" s="3" t="s">
        <v>17969</v>
      </c>
      <c r="D4368" s="3" t="s">
        <v>17969</v>
      </c>
      <c r="E4368" s="3" t="s">
        <v>17970</v>
      </c>
      <c r="F4368" s="3" t="s">
        <v>17971</v>
      </c>
      <c r="G4368" s="3" t="str">
        <f ca="1">IFERROR(__xludf.DUMMYFUNCTION("googletranslate(D4368,""en"",""ja"")"),"中吸収網目/網状赤血球")</f>
        <v>中吸収網目/網状赤血球</v>
      </c>
      <c r="H4368" s="3" t="str">
        <f ca="1">IFERROR(__xludf.DUMMYFUNCTION("googletranslate(E4368,""en"",""ja"")"),"生物学的標本中の総網赤血球に対する中程度の吸収網赤血球の相対測定値 (比率またはパーセンテージ)。")</f>
        <v>生物学的標本中の総網赤血球に対する中程度の吸収網赤血球の相対測定値 (比率またはパーセンテージ)。</v>
      </c>
      <c r="I4368" s="3" t="str">
        <f ca="1">IFERROR(__xludf.DUMMYFUNCTION("googletranslate(F4368,""en"",""ja"")"),"中吸収網赤血球と総網状赤血球の比率の測定")</f>
        <v>中吸収網赤血球と総網状赤血球の比率の測定</v>
      </c>
    </row>
    <row r="4369" spans="1:9">
      <c r="A4369" s="3" t="s">
        <v>6</v>
      </c>
      <c r="B4369" s="3" t="s">
        <v>17972</v>
      </c>
      <c r="C4369" s="3" t="s">
        <v>17973</v>
      </c>
      <c r="D4369" s="3" t="s">
        <v>17974</v>
      </c>
      <c r="E4369" s="3" t="s">
        <v>17975</v>
      </c>
      <c r="F4369" s="3" t="s">
        <v>17976</v>
      </c>
      <c r="G4369" s="3" t="str">
        <f ca="1">IFERROR(__xludf.DUMMYFUNCTION("googletranslate(D4369,""en"",""ja"")"),"レチノ酸塩;レチノイン酸")</f>
        <v>レチノ酸塩;レチノイン酸</v>
      </c>
      <c r="H4369" s="3" t="str">
        <f ca="1">IFERROR(__xludf.DUMMYFUNCTION("googletranslate(E4369,""en"",""ja"")"),"生物学的標本中のレチノイン酸の測定。")</f>
        <v>生物学的標本中のレチノイン酸の測定。</v>
      </c>
      <c r="I4369" s="3" t="str">
        <f ca="1">IFERROR(__xludf.DUMMYFUNCTION("googletranslate(F4369,""en"",""ja"")"),"レチノイン酸測定")</f>
        <v>レチノイン酸測定</v>
      </c>
    </row>
    <row r="4370" spans="1:9" ht="30">
      <c r="A4370" s="3" t="s">
        <v>6</v>
      </c>
      <c r="B4370" s="3" t="s">
        <v>17977</v>
      </c>
      <c r="C4370" s="3" t="s">
        <v>17978</v>
      </c>
      <c r="D4370" s="3" t="s">
        <v>17978</v>
      </c>
      <c r="E4370" s="3" t="s">
        <v>17979</v>
      </c>
      <c r="F4370" s="3" t="s">
        <v>17980</v>
      </c>
      <c r="G4370" s="3" t="str">
        <f ca="1">IFERROR(__xludf.DUMMYFUNCTION("googletranslate(D4370,""en"",""ja"")"),"網赤血球/赤血球")</f>
        <v>網赤血球/赤血球</v>
      </c>
      <c r="H4370" s="3" t="str">
        <f ca="1">IFERROR(__xludf.DUMMYFUNCTION("googletranslate(E4370,""en"",""ja"")"),"生物学的標本における赤血球に対する網赤血球の相対的な測定値 (比率またはパーセンテージ)。")</f>
        <v>生物学的標本における赤血球に対する網赤血球の相対的な測定値 (比率またはパーセンテージ)。</v>
      </c>
      <c r="I4370" s="3" t="str">
        <f ca="1">IFERROR(__xludf.DUMMYFUNCTION("googletranslate(F4370,""en"",""ja"")"),"網赤血球と赤血球の比率")</f>
        <v>網赤血球と赤血球の比率</v>
      </c>
    </row>
    <row r="4371" spans="1:9" ht="45">
      <c r="A4371" s="3" t="s">
        <v>6</v>
      </c>
      <c r="B4371" s="3" t="s">
        <v>17981</v>
      </c>
      <c r="C4371" s="3" t="s">
        <v>17982</v>
      </c>
      <c r="D4371" s="3" t="s">
        <v>17983</v>
      </c>
      <c r="E4371" s="3" t="s">
        <v>17984</v>
      </c>
      <c r="F4371" s="3" t="s">
        <v>17985</v>
      </c>
      <c r="G4371" s="3" t="str">
        <f ca="1">IFERROR(__xludf.DUMMYFUNCTION("googletranslate(D4371,""en"",""ja"")"),"パルミチン酸レチノール;パルミチン酸レチニル;ビタミンAパルミチン酸塩")</f>
        <v>パルミチン酸レチノール;パルミチン酸レチニル;ビタミンAパルミチン酸塩</v>
      </c>
      <c r="H4371" s="3" t="str">
        <f ca="1">IFERROR(__xludf.DUMMYFUNCTION("googletranslate(E4371,""en"",""ja"")"),"生物学的標本中の内因性パルミチン酸レチニル ビタミン A の測定。")</f>
        <v>生物学的標本中の内因性パルミチン酸レチニル ビタミン A の測定。</v>
      </c>
      <c r="I4371" s="3" t="str">
        <f ca="1">IFERROR(__xludf.DUMMYFUNCTION("googletranslate(F4371,""en"",""ja"")"),"パルミチン酸レチニルの測定")</f>
        <v>パルミチン酸レチニルの測定</v>
      </c>
    </row>
    <row r="4372" spans="1:9" ht="30">
      <c r="A4372" s="3" t="s">
        <v>180</v>
      </c>
      <c r="B4372" s="3" t="s">
        <v>17986</v>
      </c>
      <c r="C4372" s="3" t="s">
        <v>17987</v>
      </c>
      <c r="D4372" s="3" t="s">
        <v>17987</v>
      </c>
      <c r="E4372" s="3" t="s">
        <v>17988</v>
      </c>
      <c r="F4372" s="3" t="s">
        <v>17989</v>
      </c>
      <c r="G4372" s="3" t="str">
        <f ca="1">IFERROR(__xludf.DUMMYFUNCTION("googletranslate(D4372,""en"",""ja"")"),"自己抗体、リウマチ因子")</f>
        <v>自己抗体、リウマチ因子</v>
      </c>
      <c r="H4372" s="3" t="str">
        <f ca="1">IFERROR(__xludf.DUMMYFUNCTION("googletranslate(E4372,""en"",""ja"")"),"生物学的検体中のリウマチ因子自己抗体のいずれかの測定。")</f>
        <v>生物学的検体中のリウマチ因子自己抗体のいずれかの測定。</v>
      </c>
      <c r="I4372" s="3" t="str">
        <f ca="1">IFERROR(__xludf.DUMMYFUNCTION("googletranslate(F4372,""en"",""ja"")"),"リウマチ因子自己抗体測定")</f>
        <v>リウマチ因子自己抗体測定</v>
      </c>
    </row>
    <row r="4373" spans="1:9" ht="30">
      <c r="A4373" s="3" t="s">
        <v>180</v>
      </c>
      <c r="B4373" s="3" t="s">
        <v>17990</v>
      </c>
      <c r="C4373" s="3" t="s">
        <v>17991</v>
      </c>
      <c r="D4373" s="3" t="s">
        <v>17991</v>
      </c>
      <c r="E4373" s="3" t="s">
        <v>17992</v>
      </c>
      <c r="F4373" s="3" t="s">
        <v>17993</v>
      </c>
      <c r="G4373" s="3" t="str">
        <f ca="1">IFERROR(__xludf.DUMMYFUNCTION("googletranslate(D4373,""en"",""ja"")"),"IgA自己抗体、リウマチ因子")</f>
        <v>IgA自己抗体、リウマチ因子</v>
      </c>
      <c r="H4373" s="3" t="str">
        <f ca="1">IFERROR(__xludf.DUMMYFUNCTION("googletranslate(E4373,""en"",""ja"")"),"生物学的検体中のリウマチ因子 IgA 自己抗体の測定。")</f>
        <v>生物学的検体中のリウマチ因子 IgA 自己抗体の測定。</v>
      </c>
      <c r="I4373" s="3" t="str">
        <f ca="1">IFERROR(__xludf.DUMMYFUNCTION("googletranslate(F4373,""en"",""ja"")"),"リウマチ因子IgA自己抗体測定")</f>
        <v>リウマチ因子IgA自己抗体測定</v>
      </c>
    </row>
    <row r="4374" spans="1:9" ht="30">
      <c r="A4374" s="3" t="s">
        <v>180</v>
      </c>
      <c r="B4374" s="3" t="s">
        <v>17994</v>
      </c>
      <c r="C4374" s="3" t="s">
        <v>17995</v>
      </c>
      <c r="D4374" s="3" t="s">
        <v>17995</v>
      </c>
      <c r="E4374" s="3" t="s">
        <v>17996</v>
      </c>
      <c r="F4374" s="3" t="s">
        <v>17997</v>
      </c>
      <c r="G4374" s="3" t="str">
        <f ca="1">IFERROR(__xludf.DUMMYFUNCTION("googletranslate(D4374,""en"",""ja"")"),"IgG自己抗体、リウマチ因子")</f>
        <v>IgG自己抗体、リウマチ因子</v>
      </c>
      <c r="H4374" s="3" t="str">
        <f ca="1">IFERROR(__xludf.DUMMYFUNCTION("googletranslate(E4374,""en"",""ja"")"),"生物学的検体中のリウマチ因子 IgG 自己抗体の測定。")</f>
        <v>生物学的検体中のリウマチ因子 IgG 自己抗体の測定。</v>
      </c>
      <c r="I4374" s="3" t="str">
        <f ca="1">IFERROR(__xludf.DUMMYFUNCTION("googletranslate(F4374,""en"",""ja"")"),"リウマチ因子IgG自己抗体測定")</f>
        <v>リウマチ因子IgG自己抗体測定</v>
      </c>
    </row>
    <row r="4375" spans="1:9" ht="30">
      <c r="A4375" s="3" t="s">
        <v>180</v>
      </c>
      <c r="B4375" s="3" t="s">
        <v>17998</v>
      </c>
      <c r="C4375" s="3" t="s">
        <v>17999</v>
      </c>
      <c r="D4375" s="3" t="s">
        <v>17999</v>
      </c>
      <c r="E4375" s="3" t="s">
        <v>18000</v>
      </c>
      <c r="F4375" s="3" t="s">
        <v>18001</v>
      </c>
      <c r="G4375" s="3" t="str">
        <f ca="1">IFERROR(__xludf.DUMMYFUNCTION("googletranslate(D4375,""en"",""ja"")"),"IgM自己抗体、リウマチ因子")</f>
        <v>IgM自己抗体、リウマチ因子</v>
      </c>
      <c r="H4375" s="3" t="str">
        <f ca="1">IFERROR(__xludf.DUMMYFUNCTION("googletranslate(E4375,""en"",""ja"")"),"生物学的検体中のリウマチ因子 IgM 自己抗体の測定。")</f>
        <v>生物学的検体中のリウマチ因子 IgM 自己抗体の測定。</v>
      </c>
      <c r="I4375" s="3" t="str">
        <f ca="1">IFERROR(__xludf.DUMMYFUNCTION("googletranslate(F4375,""en"",""ja"")"),"リウマチ因子IgM自己抗体測定")</f>
        <v>リウマチ因子IgM自己抗体測定</v>
      </c>
    </row>
    <row r="4376" spans="1:9" ht="30">
      <c r="A4376" s="3" t="s">
        <v>81</v>
      </c>
      <c r="B4376" s="3" t="s">
        <v>18002</v>
      </c>
      <c r="C4376" s="3" t="s">
        <v>18003</v>
      </c>
      <c r="D4376" s="3" t="s">
        <v>18003</v>
      </c>
      <c r="E4376" s="3" t="s">
        <v>18004</v>
      </c>
      <c r="F4376" s="3" t="s">
        <v>18003</v>
      </c>
      <c r="G4376" s="3" t="str">
        <f ca="1">IFERROR(__xludf.DUMMYFUNCTION("googletranslate(D4376,""en"",""ja"")"),"反射の大きさ")</f>
        <v>反射の大きさ</v>
      </c>
      <c r="H4376" s="3" t="str">
        <f ca="1">IFERROR(__xludf.DUMMYFUNCTION("googletranslate(E4376,""en"",""ja"")"),"反射圧力波と前方圧力波の振幅比。 (Hashimoto J et al、J Hypertens. 2008 May;26(5):1017-24)")</f>
        <v>反射圧力波と前方圧力波の振幅比。 (Hashimoto J et al、J Hypertens. 2008 May;26(5):1017-24)</v>
      </c>
      <c r="I4376" s="3" t="str">
        <f ca="1">IFERROR(__xludf.DUMMYFUNCTION("googletranslate(F4376,""en"",""ja"")"),"反射の大きさ")</f>
        <v>反射の大きさ</v>
      </c>
    </row>
    <row r="4377" spans="1:9" ht="45">
      <c r="A4377" s="3" t="s">
        <v>81</v>
      </c>
      <c r="B4377" s="3" t="s">
        <v>18005</v>
      </c>
      <c r="C4377" s="3" t="s">
        <v>18006</v>
      </c>
      <c r="D4377" s="3" t="s">
        <v>18006</v>
      </c>
      <c r="E4377" s="3" t="s">
        <v>18007</v>
      </c>
      <c r="F4377" s="3" t="s">
        <v>18006</v>
      </c>
      <c r="G4377" s="3" t="str">
        <f ca="1">IFERROR(__xludf.DUMMYFUNCTION("googletranslate(D4377,""en"",""ja"")"),"反射波振幅")</f>
        <v>反射波振幅</v>
      </c>
      <c r="H4377" s="3" t="str">
        <f ca="1">IFERROR(__xludf.DUMMYFUNCTION("googletranslate(E4377,""en"",""ja"")"),"中心弾性動脈がより多くの筋性動脈と結合する、インピーダンス不一致の部位によって反射される多数の波の合計。")</f>
        <v>中心弾性動脈がより多くの筋性動脈と結合する、インピーダンス不一致の部位によって反射される多数の波の合計。</v>
      </c>
      <c r="I4377" s="3" t="str">
        <f ca="1">IFERROR(__xludf.DUMMYFUNCTION("googletranslate(F4377,""en"",""ja"")"),"反射波振幅")</f>
        <v>反射波振幅</v>
      </c>
    </row>
    <row r="4378" spans="1:9" ht="30">
      <c r="A4378" s="3" t="s">
        <v>6</v>
      </c>
      <c r="B4378" s="3" t="s">
        <v>18008</v>
      </c>
      <c r="C4378" s="3" t="s">
        <v>18009</v>
      </c>
      <c r="D4378" s="3" t="s">
        <v>18009</v>
      </c>
      <c r="E4378" s="3" t="s">
        <v>18010</v>
      </c>
      <c r="F4378" s="3" t="s">
        <v>18011</v>
      </c>
      <c r="G4378" s="3" t="str">
        <f ca="1">IFERROR(__xludf.DUMMYFUNCTION("googletranslate(D4378,""en"",""ja"")"),"Rh因子")</f>
        <v>Rh因子</v>
      </c>
      <c r="H4378" s="3" t="str">
        <f ca="1">IFERROR(__xludf.DUMMYFUNCTION("googletranslate(E4378,""en"",""ja"")"),"生物学的標本中の非特定のアカゲザル因子抗原の測定。")</f>
        <v>生物学的標本中の非特定のアカゲザル因子抗原の測定。</v>
      </c>
      <c r="I4378" s="3" t="str">
        <f ca="1">IFERROR(__xludf.DUMMYFUNCTION("googletranslate(F4378,""en"",""ja"")"),"Rh因子測定")</f>
        <v>Rh因子測定</v>
      </c>
    </row>
    <row r="4379" spans="1:9" ht="30">
      <c r="A4379" s="3" t="s">
        <v>6</v>
      </c>
      <c r="B4379" s="3" t="s">
        <v>18012</v>
      </c>
      <c r="C4379" s="3" t="s">
        <v>18013</v>
      </c>
      <c r="D4379" s="3" t="s">
        <v>18013</v>
      </c>
      <c r="E4379" s="3" t="s">
        <v>18014</v>
      </c>
      <c r="F4379" s="3" t="s">
        <v>18015</v>
      </c>
      <c r="G4379" s="3" t="str">
        <f ca="1">IFERROR(__xludf.DUMMYFUNCTION("googletranslate(D4379,""en"",""ja"")"),"相対湿度係数")</f>
        <v>相対湿度係数</v>
      </c>
      <c r="H4379" s="3" t="str">
        <f ca="1">IFERROR(__xludf.DUMMYFUNCTION("googletranslate(E4379,""en"",""ja"")"),"生物学的標本中のアカゲザル D 因子抗原の測定。")</f>
        <v>生物学的標本中のアカゲザル D 因子抗原の測定。</v>
      </c>
      <c r="I4379" s="3" t="str">
        <f ca="1">IFERROR(__xludf.DUMMYFUNCTION("googletranslate(F4379,""en"",""ja"")"),"RhD 係数の測定")</f>
        <v>RhD 係数の測定</v>
      </c>
    </row>
    <row r="4380" spans="1:9" ht="30">
      <c r="A4380" s="3" t="s">
        <v>985</v>
      </c>
      <c r="B4380" s="3" t="s">
        <v>18016</v>
      </c>
      <c r="C4380" s="3" t="s">
        <v>18017</v>
      </c>
      <c r="D4380" s="3" t="s">
        <v>18017</v>
      </c>
      <c r="E4380" s="3" t="s">
        <v>18018</v>
      </c>
      <c r="F4380" s="3" t="s">
        <v>18019</v>
      </c>
      <c r="G4380" s="3" t="str">
        <f ca="1">IFERROR(__xludf.DUMMYFUNCTION("googletranslate(D4380,""en"",""ja"")"),"特に指定のないリズム")</f>
        <v>特に指定のないリズム</v>
      </c>
      <c r="H4380" s="3" t="str">
        <f ca="1">IFERROR(__xludf.DUMMYFUNCTION("googletranslate(E4380,""en"",""ja"")"),"特に指定のない心臓リズムの心電図評価。")</f>
        <v>特に指定のない心臓リズムの心電図評価。</v>
      </c>
      <c r="I4380" s="3" t="str">
        <f ca="1">IFERROR(__xludf.DUMMYFUNCTION("googletranslate(F4380,""en"",""ja"")"),"特に指定のないリズム ECG 評価")</f>
        <v>特に指定のないリズム ECG 評価</v>
      </c>
    </row>
    <row r="4381" spans="1:9" ht="30">
      <c r="A4381" s="3" t="s">
        <v>1664</v>
      </c>
      <c r="B4381" s="3" t="s">
        <v>18016</v>
      </c>
      <c r="C4381" s="3" t="s">
        <v>18017</v>
      </c>
      <c r="D4381" s="3" t="s">
        <v>18017</v>
      </c>
      <c r="E4381" s="3" t="s">
        <v>18018</v>
      </c>
      <c r="F4381" s="3" t="s">
        <v>18019</v>
      </c>
      <c r="G4381" s="3" t="str">
        <f ca="1">IFERROR(__xludf.DUMMYFUNCTION("googletranslate(D4381,""en"",""ja"")"),"特に指定のないリズム")</f>
        <v>特に指定のないリズム</v>
      </c>
      <c r="H4381" s="3" t="str">
        <f ca="1">IFERROR(__xludf.DUMMYFUNCTION("googletranslate(E4381,""en"",""ja"")"),"特に指定のない心臓リズムの心電図評価。")</f>
        <v>特に指定のない心臓リズムの心電図評価。</v>
      </c>
      <c r="I4381" s="3" t="str">
        <f ca="1">IFERROR(__xludf.DUMMYFUNCTION("googletranslate(F4381,""en"",""ja"")"),"特に指定のないリズム ECG 評価")</f>
        <v>特に指定のないリズム ECG 評価</v>
      </c>
    </row>
    <row r="4382" spans="1:9" ht="30">
      <c r="A4382" s="3" t="s">
        <v>67</v>
      </c>
      <c r="B4382" s="3" t="s">
        <v>18020</v>
      </c>
      <c r="C4382" s="3" t="s">
        <v>18021</v>
      </c>
      <c r="D4382" s="3" t="s">
        <v>18021</v>
      </c>
      <c r="E4382" s="3" t="s">
        <v>18022</v>
      </c>
      <c r="F4382" s="3" t="s">
        <v>18023</v>
      </c>
      <c r="G4382" s="3" t="str">
        <f ca="1">IFERROR(__xludf.DUMMYFUNCTION("googletranslate(D4382,""en"",""ja"")"),"リケッチアの DNA")</f>
        <v>リケッチアの DNA</v>
      </c>
      <c r="H4382" s="3" t="str">
        <f ca="1">IFERROR(__xludf.DUMMYFUNCTION("googletranslate(E4382,""en"",""ja"")"),"生物学的標本中のリケッチア属のメンバーからの DNA の測定。")</f>
        <v>生物学的標本中のリケッチア属のメンバーからの DNA の測定。</v>
      </c>
      <c r="I4382" s="3" t="str">
        <f ca="1">IFERROR(__xludf.DUMMYFUNCTION("googletranslate(F4382,""en"",""ja"")"),"リケッチアDNA測定")</f>
        <v>リケッチアDNA測定</v>
      </c>
    </row>
    <row r="4383" spans="1:9" ht="45">
      <c r="A4383" s="3" t="s">
        <v>33</v>
      </c>
      <c r="B4383" s="3" t="s">
        <v>18024</v>
      </c>
      <c r="C4383" s="3" t="s">
        <v>18025</v>
      </c>
      <c r="D4383" s="3" t="s">
        <v>18025</v>
      </c>
      <c r="E4383" s="3" t="s">
        <v>18026</v>
      </c>
      <c r="F4383" s="3" t="s">
        <v>18025</v>
      </c>
      <c r="G4383" s="3" t="str">
        <f ca="1">IFERROR(__xludf.DUMMYFUNCTION("googletranslate(D4383,""en"",""ja"")"),"RNA 完全性番号")</f>
        <v>RNA 完全性番号</v>
      </c>
      <c r="H4383" s="3" t="str">
        <f ca="1">IFERROR(__xludf.DUMMYFUNCTION("googletranslate(E4383,""en"",""ja"")"),"分解生成物の有無を含む、RNA サンプルの電気泳動トレース全体に基づく RNA の完全性の数値評価。 (NCI)")</f>
        <v>分解生成物の有無を含む、RNA サンプルの電気泳動トレース全体に基づく RNA の完全性の数値評価。 (NCI)</v>
      </c>
      <c r="I4383" s="3" t="str">
        <f ca="1">IFERROR(__xludf.DUMMYFUNCTION("googletranslate(F4383,""en"",""ja"")"),"RNA 完全性番号")</f>
        <v>RNA 完全性番号</v>
      </c>
    </row>
    <row r="4384" spans="1:9" ht="30">
      <c r="A4384" s="3" t="s">
        <v>503</v>
      </c>
      <c r="B4384" s="3" t="s">
        <v>18027</v>
      </c>
      <c r="C4384" s="3" t="s">
        <v>18028</v>
      </c>
      <c r="D4384" s="3" t="s">
        <v>18028</v>
      </c>
      <c r="E4384" s="3" t="s">
        <v>18029</v>
      </c>
      <c r="F4384" s="3" t="s">
        <v>18028</v>
      </c>
      <c r="G4384" s="3" t="str">
        <f ca="1">IFERROR(__xludf.DUMMYFUNCTION("googletranslate(D4384,""en"",""ja"")"),"ハイリスク集団のメンバー")</f>
        <v>ハイリスク集団のメンバー</v>
      </c>
      <c r="H4384" s="3" t="str">
        <f ca="1">IFERROR(__xludf.DUMMYFUNCTION("googletranslate(E4384,""en"",""ja"")"),"被験者が病気や障害に罹患する可能性がより高い集団の一部であることを示すもの。")</f>
        <v>被験者が病気や障害に罹患する可能性がより高い集団の一部であることを示すもの。</v>
      </c>
      <c r="I4384" s="3" t="str">
        <f ca="1">IFERROR(__xludf.DUMMYFUNCTION("googletranslate(F4384,""en"",""ja"")"),"ハイリスク集団のメンバー")</f>
        <v>ハイリスク集団のメンバー</v>
      </c>
    </row>
    <row r="4385" spans="1:9" ht="45">
      <c r="A4385" s="3" t="s">
        <v>503</v>
      </c>
      <c r="B4385" s="3" t="s">
        <v>18030</v>
      </c>
      <c r="C4385" s="3" t="s">
        <v>18031</v>
      </c>
      <c r="D4385" s="3" t="s">
        <v>18031</v>
      </c>
      <c r="E4385" s="3" t="s">
        <v>18032</v>
      </c>
      <c r="F4385" s="3" t="s">
        <v>18031</v>
      </c>
      <c r="G4385" s="3" t="str">
        <f ca="1">IFERROR(__xludf.DUMMYFUNCTION("googletranslate(D4385,""en"",""ja"")"),"社会的危険因子")</f>
        <v>社会的危険因子</v>
      </c>
      <c r="H4385" s="3" t="str">
        <f ca="1">IFERROR(__xludf.DUMMYFUNCTION("googletranslate(E4385,""en"",""ja"")"),"感染や病気の可能性を高めることが知られている、被験者の個人的な行動、ライフスタイル、環境などの社会的要因。")</f>
        <v>感染や病気の可能性を高めることが知られている、被験者の個人的な行動、ライフスタイル、環境などの社会的要因。</v>
      </c>
      <c r="I4385" s="3" t="str">
        <f ca="1">IFERROR(__xludf.DUMMYFUNCTION("googletranslate(F4385,""en"",""ja"")"),"社会的危険因子")</f>
        <v>社会的危険因子</v>
      </c>
    </row>
    <row r="4386" spans="1:9">
      <c r="A4386" s="3" t="s">
        <v>6</v>
      </c>
      <c r="B4386" s="3" t="s">
        <v>18033</v>
      </c>
      <c r="C4386" s="3" t="s">
        <v>18034</v>
      </c>
      <c r="D4386" s="3" t="s">
        <v>18034</v>
      </c>
      <c r="E4386" s="3" t="s">
        <v>18035</v>
      </c>
      <c r="F4386" s="3" t="s">
        <v>18036</v>
      </c>
      <c r="G4386" s="3" t="str">
        <f ca="1">IFERROR(__xludf.DUMMYFUNCTION("googletranslate(D4386,""en"",""ja"")"),"リタリン酸")</f>
        <v>リタリン酸</v>
      </c>
      <c r="H4386" s="3" t="str">
        <f ca="1">IFERROR(__xludf.DUMMYFUNCTION("googletranslate(E4386,""en"",""ja"")"),"生物学的標本中のリタリン酸の測定。")</f>
        <v>生物学的標本中のリタリン酸の測定。</v>
      </c>
      <c r="I4386" s="3" t="str">
        <f ca="1">IFERROR(__xludf.DUMMYFUNCTION("googletranslate(F4386,""en"",""ja"")"),"リタル酸の測定")</f>
        <v>リタル酸の測定</v>
      </c>
    </row>
    <row r="4387" spans="1:9" ht="45">
      <c r="A4387" s="3" t="s">
        <v>185</v>
      </c>
      <c r="B4387" s="3" t="s">
        <v>18037</v>
      </c>
      <c r="C4387" s="3" t="s">
        <v>18038</v>
      </c>
      <c r="D4387" s="3" t="s">
        <v>18039</v>
      </c>
      <c r="E4387" s="3" t="s">
        <v>18040</v>
      </c>
      <c r="F4387" s="3" t="s">
        <v>18041</v>
      </c>
      <c r="G4387" s="3" t="str">
        <f ca="1">IFERROR(__xludf.DUMMYFUNCTION("googletranslate(D4387,""en"",""ja"")"),"ディスコン依存性指標後の再発。依存症指標の中止後の再発")</f>
        <v>ディスコン依存性指標後の再発。依存症指標の中止後の再発</v>
      </c>
      <c r="H4387" s="3" t="str">
        <f ca="1">IFERROR(__xludf.DUMMYFUNCTION("googletranslate(E4387,""en"",""ja"")"),"個人が依存症により物質の使用を中止した後に再発したかどうかを示す指標。")</f>
        <v>個人が依存症により物質の使用を中止した後に再発したかどうかを示す指標。</v>
      </c>
      <c r="I4387" s="3" t="str">
        <f ca="1">IFERROR(__xludf.DUMMYFUNCTION("googletranslate(F4387,""en"",""ja"")"),"依存症の兆候による中止後の再発")</f>
        <v>依存症の兆候による中止後の再発</v>
      </c>
    </row>
    <row r="4388" spans="1:9" ht="30">
      <c r="A4388" s="3" t="s">
        <v>185</v>
      </c>
      <c r="B4388" s="3" t="s">
        <v>18042</v>
      </c>
      <c r="C4388" s="3" t="s">
        <v>18043</v>
      </c>
      <c r="D4388" s="3" t="s">
        <v>18043</v>
      </c>
      <c r="E4388" s="3" t="s">
        <v>18044</v>
      </c>
      <c r="F4388" s="3" t="s">
        <v>18043</v>
      </c>
      <c r="G4388" s="3" t="str">
        <f ca="1">IFERROR(__xludf.DUMMYFUNCTION("googletranslate(D4388,""en"",""ja"")"),"デバイスとの関係")</f>
        <v>デバイスとの関係</v>
      </c>
      <c r="H4388" s="3" t="str">
        <f ca="1">IFERROR(__xludf.DUMMYFUNCTION("googletranslate(E4388,""en"",""ja"")"),"イベントとデバイスの関係。調査中のデバイスである場合もあれば、そうでない場合もあります。")</f>
        <v>イベントとデバイスの関係。調査中のデバイスである場合もあれば、そうでない場合もあります。</v>
      </c>
      <c r="I4388" s="3" t="str">
        <f ca="1">IFERROR(__xludf.DUMMYFUNCTION("googletranslate(F4388,""en"",""ja"")"),"デバイスとの関係")</f>
        <v>デバイスとの関係</v>
      </c>
    </row>
    <row r="4389" spans="1:9" ht="30">
      <c r="A4389" s="3" t="s">
        <v>6</v>
      </c>
      <c r="B4389" s="3" t="s">
        <v>18045</v>
      </c>
      <c r="C4389" s="3" t="s">
        <v>18046</v>
      </c>
      <c r="D4389" s="3" t="s">
        <v>18046</v>
      </c>
      <c r="E4389" s="3" t="s">
        <v>18047</v>
      </c>
      <c r="F4389" s="3" t="s">
        <v>18048</v>
      </c>
      <c r="G4389" s="3" t="str">
        <f ca="1">IFERROR(__xludf.DUMMYFUNCTION("googletranslate(D4389,""en"",""ja"")"),"RLPコレステロール")</f>
        <v>RLPコレステロール</v>
      </c>
      <c r="H4389" s="3" t="str">
        <f ca="1">IFERROR(__xludf.DUMMYFUNCTION("googletranslate(E4389,""en"",""ja"")"),"生物学的標本中のコレステロール残存物様粒子の測定。")</f>
        <v>生物学的標本中のコレステロール残存物様粒子の測定。</v>
      </c>
      <c r="I4389" s="3" t="str">
        <f ca="1">IFERROR(__xludf.DUMMYFUNCTION("googletranslate(F4389,""en"",""ja"")"),"レムナント様粒子コレステロール測定")</f>
        <v>レムナント様粒子コレステロール測定</v>
      </c>
    </row>
    <row r="4390" spans="1:9" ht="30">
      <c r="A4390" s="3" t="s">
        <v>6</v>
      </c>
      <c r="B4390" s="3" t="s">
        <v>18049</v>
      </c>
      <c r="C4390" s="3" t="s">
        <v>18050</v>
      </c>
      <c r="D4390" s="3" t="s">
        <v>18050</v>
      </c>
      <c r="E4390" s="3" t="s">
        <v>18051</v>
      </c>
      <c r="F4390" s="3" t="s">
        <v>18052</v>
      </c>
      <c r="G4390" s="3" t="str">
        <f ca="1">IFERROR(__xludf.DUMMYFUNCTION("googletranslate(D4390,""en"",""ja"")"),"レムナントリポタンパク質")</f>
        <v>レムナントリポタンパク質</v>
      </c>
      <c r="H4390" s="3" t="str">
        <f ca="1">IFERROR(__xludf.DUMMYFUNCTION("googletranslate(E4390,""en"",""ja"")"),"生物学的標本中の残存リポタンパク質の測定。")</f>
        <v>生物学的標本中の残存リポタンパク質の測定。</v>
      </c>
      <c r="I4390" s="3" t="str">
        <f ca="1">IFERROR(__xludf.DUMMYFUNCTION("googletranslate(F4390,""en"",""ja"")"),"レムナントリポタンパク質の測定")</f>
        <v>レムナントリポタンパク質の測定</v>
      </c>
    </row>
    <row r="4391" spans="1:9" ht="30">
      <c r="A4391" s="3" t="s">
        <v>6</v>
      </c>
      <c r="B4391" s="3" t="s">
        <v>18053</v>
      </c>
      <c r="C4391" s="3" t="s">
        <v>18054</v>
      </c>
      <c r="D4391" s="3" t="s">
        <v>18054</v>
      </c>
      <c r="E4391" s="3" t="s">
        <v>18055</v>
      </c>
      <c r="F4391" s="3" t="s">
        <v>18056</v>
      </c>
      <c r="G4391" s="3" t="str">
        <f ca="1">IFERROR(__xludf.DUMMYFUNCTION("googletranslate(D4391,""en"",""ja"")"),"リボ核酸")</f>
        <v>リボ核酸</v>
      </c>
      <c r="H4391" s="3" t="str">
        <f ca="1">IFERROR(__xludf.DUMMYFUNCTION("googletranslate(E4391,""en"",""ja"")"),"生物学的標本中の標的リボ核酸 (RNA) の測定。")</f>
        <v>生物学的標本中の標的リボ核酸 (RNA) の測定。</v>
      </c>
      <c r="I4391" s="3" t="str">
        <f ca="1">IFERROR(__xludf.DUMMYFUNCTION("googletranslate(F4391,""en"",""ja"")"),"リボ核酸測定")</f>
        <v>リボ核酸測定</v>
      </c>
    </row>
    <row r="4392" spans="1:9" ht="30">
      <c r="A4392" s="3" t="s">
        <v>6</v>
      </c>
      <c r="B4392" s="3" t="s">
        <v>18057</v>
      </c>
      <c r="C4392" s="3" t="s">
        <v>18058</v>
      </c>
      <c r="D4392" s="3" t="s">
        <v>18058</v>
      </c>
      <c r="E4392" s="3" t="s">
        <v>18059</v>
      </c>
      <c r="F4392" s="3" t="s">
        <v>18060</v>
      </c>
      <c r="G4392" s="3" t="str">
        <f ca="1">IFERROR(__xludf.DUMMYFUNCTION("googletranslate(D4392,""en"",""ja"")"),"活性酸素代謝物")</f>
        <v>活性酸素代謝物</v>
      </c>
      <c r="H4392" s="3" t="str">
        <f ca="1">IFERROR(__xludf.DUMMYFUNCTION("googletranslate(E4392,""en"",""ja"")"),"生体試料中の活性酸素代謝産物の測定。")</f>
        <v>生体試料中の活性酸素代謝産物の測定。</v>
      </c>
      <c r="I4392" s="3" t="str">
        <f ca="1">IFERROR(__xludf.DUMMYFUNCTION("googletranslate(F4392,""en"",""ja"")"),"活性酸素代謝物測定")</f>
        <v>活性酸素代謝物測定</v>
      </c>
    </row>
    <row r="4393" spans="1:9" ht="30">
      <c r="A4393" s="3" t="s">
        <v>159</v>
      </c>
      <c r="B4393" s="3" t="s">
        <v>18061</v>
      </c>
      <c r="C4393" s="3" t="s">
        <v>18062</v>
      </c>
      <c r="D4393" s="3" t="s">
        <v>18062</v>
      </c>
      <c r="E4393" s="3" t="s">
        <v>18063</v>
      </c>
      <c r="F4393" s="3" t="s">
        <v>18062</v>
      </c>
      <c r="G4393" s="3" t="str">
        <f ca="1">IFERROR(__xludf.DUMMYFUNCTION("googletranslate(D4393,""en"",""ja"")"),"発根反射")</f>
        <v>発根反射</v>
      </c>
      <c r="H4393" s="3" t="str">
        <f ca="1">IFERROR(__xludf.DUMMYFUNCTION("googletranslate(E4393,""en"",""ja"")"),"頬に触れられたときに、新生児が乳首を探すという無意識の原始的な反応。")</f>
        <v>頬に触れられたときに、新生児が乳首を探すという無意識の原始的な反応。</v>
      </c>
      <c r="I4393" s="3" t="str">
        <f ca="1">IFERROR(__xludf.DUMMYFUNCTION("googletranslate(F4393,""en"",""ja"")"),"発根反射")</f>
        <v>発根反射</v>
      </c>
    </row>
    <row r="4394" spans="1:9" ht="30">
      <c r="A4394" s="3" t="s">
        <v>67</v>
      </c>
      <c r="B4394" s="3" t="s">
        <v>18064</v>
      </c>
      <c r="C4394" s="3" t="s">
        <v>18065</v>
      </c>
      <c r="D4394" s="3" t="s">
        <v>18065</v>
      </c>
      <c r="E4394" s="3" t="s">
        <v>18066</v>
      </c>
      <c r="F4394" s="3" t="s">
        <v>18067</v>
      </c>
      <c r="G4394" s="3" t="str">
        <f ca="1">IFERROR(__xludf.DUMMYFUNCTION("googletranslate(D4394,""en"",""ja"")"),"ロタウイルス抗原")</f>
        <v>ロタウイルス抗原</v>
      </c>
      <c r="H4394" s="3" t="str">
        <f ca="1">IFERROR(__xludf.DUMMYFUNCTION("googletranslate(E4394,""en"",""ja"")"),"生物学的標本中のロタウイルス属の任意のメンバーからの抗原の測定。")</f>
        <v>生物学的標本中のロタウイルス属の任意のメンバーからの抗原の測定。</v>
      </c>
      <c r="I4394" s="3" t="str">
        <f ca="1">IFERROR(__xludf.DUMMYFUNCTION("googletranslate(F4394,""en"",""ja"")"),"ロタウイルス抗原測定")</f>
        <v>ロタウイルス抗原測定</v>
      </c>
    </row>
    <row r="4395" spans="1:9" ht="45">
      <c r="A4395" s="3" t="s">
        <v>67</v>
      </c>
      <c r="B4395" s="3" t="s">
        <v>18068</v>
      </c>
      <c r="C4395" s="3" t="s">
        <v>18069</v>
      </c>
      <c r="D4395" s="3" t="s">
        <v>18069</v>
      </c>
      <c r="E4395" s="3" t="s">
        <v>18070</v>
      </c>
      <c r="F4395" s="3" t="s">
        <v>18071</v>
      </c>
      <c r="G4395" s="3" t="str">
        <f ca="1">IFERROR(__xludf.DUMMYFUNCTION("googletranslate(D4395,""en"",""ja"")"),"ロタウイルス")</f>
        <v>ロタウイルス</v>
      </c>
      <c r="H4395" s="3" t="str">
        <f ca="1">IFERROR(__xludf.DUMMYFUNCTION("googletranslate(E4395,""en"",""ja"")"),"生物学的標本において、種レベルには割り当てられていないが、ロタウイルス属レベルに割り当てられている生物の測定値。")</f>
        <v>生物学的標本において、種レベルには割り当てられていないが、ロタウイルス属レベルに割り当てられている生物の測定値。</v>
      </c>
      <c r="I4395" s="3" t="str">
        <f ca="1">IFERROR(__xludf.DUMMYFUNCTION("googletranslate(F4395,""en"",""ja"")"),"ロタウイルスの測定")</f>
        <v>ロタウイルスの測定</v>
      </c>
    </row>
    <row r="4396" spans="1:9" ht="30">
      <c r="A4396" s="3" t="s">
        <v>67</v>
      </c>
      <c r="B4396" s="3" t="s">
        <v>18072</v>
      </c>
      <c r="C4396" s="3" t="s">
        <v>18073</v>
      </c>
      <c r="D4396" s="3" t="s">
        <v>18073</v>
      </c>
      <c r="E4396" s="3" t="s">
        <v>18074</v>
      </c>
      <c r="F4396" s="3" t="s">
        <v>18075</v>
      </c>
      <c r="G4396" s="3" t="str">
        <f ca="1">IFERROR(__xludf.DUMMYFUNCTION("googletranslate(D4396,""en"",""ja"")"),"ロタウイルスRNA")</f>
        <v>ロタウイルスRNA</v>
      </c>
      <c r="H4396" s="3" t="str">
        <f ca="1">IFERROR(__xludf.DUMMYFUNCTION("googletranslate(E4396,""en"",""ja"")"),"生物学的標本中のロタウイルス属の任意のメンバーからの RNA の測定。")</f>
        <v>生物学的標本中のロタウイルス属の任意のメンバーからの RNA の測定。</v>
      </c>
      <c r="I4396" s="3" t="str">
        <f ca="1">IFERROR(__xludf.DUMMYFUNCTION("googletranslate(F4396,""en"",""ja"")"),"ロタウイルスRNA測定")</f>
        <v>ロタウイルスRNA測定</v>
      </c>
    </row>
    <row r="4397" spans="1:9" ht="30">
      <c r="A4397" s="3" t="s">
        <v>6</v>
      </c>
      <c r="B4397" s="3" t="s">
        <v>18076</v>
      </c>
      <c r="C4397" s="3" t="s">
        <v>18077</v>
      </c>
      <c r="D4397" s="3" t="s">
        <v>18077</v>
      </c>
      <c r="E4397" s="3" t="s">
        <v>18078</v>
      </c>
      <c r="F4397" s="3" t="s">
        <v>18079</v>
      </c>
      <c r="G4397" s="3" t="str">
        <f ca="1">IFERROR(__xludf.DUMMYFUNCTION("googletranslate(D4397,""en"",""ja"")"),"ルーローのフォーメーション")</f>
        <v>ルーローのフォーメーション</v>
      </c>
      <c r="H4397" s="3" t="str">
        <f ca="1">IFERROR(__xludf.DUMMYFUNCTION("googletranslate(E4397,""en"",""ja"")"),"生物学的標本中の赤血球の積み重ねの測定。")</f>
        <v>生物学的標本中の赤血球の積み重ねの測定。</v>
      </c>
      <c r="I4397" s="3" t="str">
        <f ca="1">IFERROR(__xludf.DUMMYFUNCTION("googletranslate(F4397,""en"",""ja"")"),"ルーローのフォーメーション数")</f>
        <v>ルーローのフォーメーション数</v>
      </c>
    </row>
    <row r="4398" spans="1:9" ht="45">
      <c r="A4398" s="3" t="s">
        <v>6</v>
      </c>
      <c r="B4398" s="3" t="s">
        <v>18080</v>
      </c>
      <c r="C4398" s="3" t="s">
        <v>18081</v>
      </c>
      <c r="D4398" s="3" t="s">
        <v>18081</v>
      </c>
      <c r="E4398" s="3" t="s">
        <v>18082</v>
      </c>
      <c r="F4398" s="3" t="s">
        <v>18083</v>
      </c>
      <c r="G4398" s="3" t="str">
        <f ca="1">IFERROR(__xludf.DUMMYFUNCTION("googletranslate(D4398,""en"",""ja"")"),"丸いセル")</f>
        <v>丸いセル</v>
      </c>
      <c r="H4398" s="3" t="str">
        <f ca="1">IFERROR(__xludf.DUMMYFUNCTION("googletranslate(E4398,""en"",""ja"")"),"生体試料中の円形細胞（主に白血球と未熟な精子形成細胞からなる丸い形の細胞）の測定。")</f>
        <v>生体試料中の円形細胞（主に白血球と未熟な精子形成細胞からなる丸い形の細胞）の測定。</v>
      </c>
      <c r="I4398" s="3" t="str">
        <f ca="1">IFERROR(__xludf.DUMMYFUNCTION("googletranslate(F4398,""en"",""ja"")"),"丸めセル数")</f>
        <v>丸めセル数</v>
      </c>
    </row>
    <row r="4399" spans="1:9" ht="30">
      <c r="A4399" s="3" t="s">
        <v>6</v>
      </c>
      <c r="B4399" s="3" t="s">
        <v>18084</v>
      </c>
      <c r="C4399" s="3" t="s">
        <v>18085</v>
      </c>
      <c r="D4399" s="3" t="s">
        <v>18085</v>
      </c>
      <c r="E4399" s="3" t="s">
        <v>18086</v>
      </c>
      <c r="F4399" s="3" t="s">
        <v>18087</v>
      </c>
      <c r="G4399" s="3" t="str">
        <f ca="1">IFERROR(__xludf.DUMMYFUNCTION("googletranslate(D4399,""en"",""ja"")"),"腎乳頭抗原 1")</f>
        <v>腎乳頭抗原 1</v>
      </c>
      <c r="H4399" s="3" t="str">
        <f ca="1">IFERROR(__xludf.DUMMYFUNCTION("googletranslate(E4399,""en"",""ja"")"),"生物学的検体中の腎乳頭抗原 1 の測定。")</f>
        <v>生物学的検体中の腎乳頭抗原 1 の測定。</v>
      </c>
      <c r="I4399" s="3" t="str">
        <f ca="1">IFERROR(__xludf.DUMMYFUNCTION("googletranslate(F4399,""en"",""ja"")"),"腎乳頭抗原 1 の測定")</f>
        <v>腎乳頭抗原 1 の測定</v>
      </c>
    </row>
    <row r="4400" spans="1:9" ht="30">
      <c r="A4400" s="3" t="s">
        <v>142</v>
      </c>
      <c r="B4400" s="3" t="s">
        <v>18088</v>
      </c>
      <c r="C4400" s="3" t="s">
        <v>18089</v>
      </c>
      <c r="D4400" s="3" t="s">
        <v>18089</v>
      </c>
      <c r="E4400" s="3" t="s">
        <v>18090</v>
      </c>
      <c r="F4400" s="3" t="s">
        <v>18089</v>
      </c>
      <c r="G4400" s="3" t="str">
        <f ca="1">IFERROR(__xludf.DUMMYFUNCTION("googletranslate(D4400,""en"",""ja"")"),"生殖器系検査")</f>
        <v>生殖器系検査</v>
      </c>
      <c r="H4400" s="3" t="str">
        <f ca="1">IFERROR(__xludf.DUMMYFUNCTION("googletranslate(E4400,""en"",""ja"")"),"生殖器系の観察、評価、または検査。")</f>
        <v>生殖器系の観察、評価、または検査。</v>
      </c>
      <c r="I4400" s="3" t="str">
        <f ca="1">IFERROR(__xludf.DUMMYFUNCTION("googletranslate(F4400,""en"",""ja"")"),"生殖器系検査")</f>
        <v>生殖器系検査</v>
      </c>
    </row>
    <row r="4401" spans="1:9" ht="60">
      <c r="A4401" s="3" t="s">
        <v>6</v>
      </c>
      <c r="B4401" s="3" t="s">
        <v>18091</v>
      </c>
      <c r="C4401" s="3" t="s">
        <v>18092</v>
      </c>
      <c r="D4401" s="3" t="s">
        <v>18093</v>
      </c>
      <c r="E4401" s="3" t="s">
        <v>18094</v>
      </c>
      <c r="F4401" s="3" t="s">
        <v>18095</v>
      </c>
      <c r="G4401" s="3" t="str">
        <f ca="1">IFERROR(__xludf.DUMMYFUNCTION("googletranslate(D4401,""en"",""ja"")"),"レプチラーゼ活性の実際/対照。レプチラーゼ活性は実際/正常。レプチラーゼ活性の実際/レプチラーゼ活性の制御")</f>
        <v>レプチラーゼ活性の実際/対照。レプチラーゼ活性は実際/正常。レプチラーゼ活性の実際/レプチラーゼ活性の制御</v>
      </c>
      <c r="H4401" s="3" t="str">
        <f ca="1">IFERROR(__xludf.DUMMYFUNCTION("googletranslate(E4401,""en"",""ja"")"),"対象の検体におけるレプチラーゼ依存性凝固の生物学的活性を、対照検体における同じ活性と比較したときの相対測定値（比率またはパーセンテージ）。")</f>
        <v>対象の検体におけるレプチラーゼ依存性凝固の生物学的活性を、対照検体における同じ活性と比較したときの相対測定値（比率またはパーセンテージ）。</v>
      </c>
      <c r="I4401" s="3" t="str">
        <f ca="1">IFERROR(__xludf.DUMMYFUNCTION("googletranslate(F4401,""en"",""ja"")"),"レプチラーゼ活性の実際対対照比の測定")</f>
        <v>レプチラーゼ活性の実際対対照比の測定</v>
      </c>
    </row>
    <row r="4402" spans="1:9" ht="30">
      <c r="A4402" s="3" t="s">
        <v>6</v>
      </c>
      <c r="B4402" s="3" t="s">
        <v>18096</v>
      </c>
      <c r="C4402" s="3" t="s">
        <v>18097</v>
      </c>
      <c r="D4402" s="3" t="s">
        <v>18097</v>
      </c>
      <c r="E4402" s="3" t="s">
        <v>18098</v>
      </c>
      <c r="F4402" s="3" t="s">
        <v>18099</v>
      </c>
      <c r="G4402" s="3" t="str">
        <f ca="1">IFERROR(__xludf.DUMMYFUNCTION("googletranslate(D4402,""en"",""ja"")"),"レプティラーゼタイム")</f>
        <v>レプティラーゼタイム</v>
      </c>
      <c r="H4402" s="3" t="str">
        <f ca="1">IFERROR(__xludf.DUMMYFUNCTION("googletranslate(E4402,""en"",""ja"")"),"活性酵素レプチラーゼを添加した後、血漿サンプルが凝固するまでにかかる時間の測定値。")</f>
        <v>活性酵素レプチラーゼを添加した後、血漿サンプルが凝固するまでにかかる時間の測定値。</v>
      </c>
      <c r="I4402" s="3" t="str">
        <f ca="1">IFERROR(__xludf.DUMMYFUNCTION("googletranslate(F4402,""en"",""ja"")"),"レプチラーゼ時間の測定")</f>
        <v>レプチラーゼ時間の測定</v>
      </c>
    </row>
    <row r="4403" spans="1:9" ht="60">
      <c r="A4403" s="3" t="s">
        <v>985</v>
      </c>
      <c r="B4403" s="3" t="s">
        <v>18100</v>
      </c>
      <c r="C4403" s="3" t="s">
        <v>18101</v>
      </c>
      <c r="D4403" s="3" t="s">
        <v>18101</v>
      </c>
      <c r="E4403" s="3" t="s">
        <v>18102</v>
      </c>
      <c r="F4403" s="3" t="s">
        <v>18103</v>
      </c>
      <c r="G4403" s="3" t="str">
        <f ca="1">IFERROR(__xludf.DUMMYFUNCTION("googletranslate(D4403,""en"",""ja"")"),"RR 間隔、集計")</f>
        <v>RR 間隔、集計</v>
      </c>
      <c r="H4403" s="3" t="str">
        <f ca="1">IFERROR(__xludf.DUMMYFUNCTION("googletranslate(E4403,""en"",""ja"")"),"単一の ECG 内の複数の拍動からの RR 間隔の測定に基づく集計 RR 値。集計方法はさまざまですが、通常は平均などの中心傾向の尺度です。")</f>
        <v>単一の ECG 内の複数の拍動からの RR 間隔の測定に基づく集計 RR 値。集計方法はさまざまですが、通常は平均などの中心傾向の尺度です。</v>
      </c>
      <c r="I4403" s="3" t="str">
        <f ca="1">IFERROR(__xludf.DUMMYFUNCTION("googletranslate(F4403,""en"",""ja"")"),"集約 RR 間隔")</f>
        <v>集約 RR 間隔</v>
      </c>
    </row>
    <row r="4404" spans="1:9" ht="30">
      <c r="A4404" s="3" t="s">
        <v>985</v>
      </c>
      <c r="B4404" s="3" t="s">
        <v>18104</v>
      </c>
      <c r="C4404" s="3" t="s">
        <v>18105</v>
      </c>
      <c r="D4404" s="3" t="s">
        <v>18105</v>
      </c>
      <c r="E4404" s="3" t="s">
        <v>18106</v>
      </c>
      <c r="F4404" s="3" t="s">
        <v>18107</v>
      </c>
      <c r="G4404" s="3" t="str">
        <f ca="1">IFERROR(__xludf.DUMMYFUNCTION("googletranslate(D4404,""en"",""ja"")"),"概要 (最大) RR 期間")</f>
        <v>概要 (最大) RR 期間</v>
      </c>
      <c r="H4404" s="3" t="str">
        <f ca="1">IFERROR(__xludf.DUMMYFUNCTION("googletranslate(E4404,""en"",""ja"")"),"特定の RR 間隔セットにおける R 波の連続するピーク間の最大継続時間 (時間)。 (NCI)")</f>
        <v>特定の RR 間隔セットにおける R 波の連続するピーク間の最大継続時間 (時間)。 (NCI)</v>
      </c>
      <c r="I4404" s="3" t="str">
        <f ca="1">IFERROR(__xludf.DUMMYFUNCTION("googletranslate(F4404,""en"",""ja"")"),"最大 RR 持続時間")</f>
        <v>最大 RR 持続時間</v>
      </c>
    </row>
    <row r="4405" spans="1:9" ht="30">
      <c r="A4405" s="3" t="s">
        <v>985</v>
      </c>
      <c r="B4405" s="3" t="s">
        <v>18108</v>
      </c>
      <c r="C4405" s="3" t="s">
        <v>18109</v>
      </c>
      <c r="D4405" s="3" t="s">
        <v>18109</v>
      </c>
      <c r="E4405" s="3" t="s">
        <v>18110</v>
      </c>
      <c r="F4405" s="3" t="s">
        <v>18111</v>
      </c>
      <c r="G4405" s="3" t="str">
        <f ca="1">IFERROR(__xludf.DUMMYFUNCTION("googletranslate(D4405,""en"",""ja"")"),"概要 (分) RR 期間")</f>
        <v>概要 (分) RR 期間</v>
      </c>
      <c r="H4405" s="3" t="str">
        <f ca="1">IFERROR(__xludf.DUMMYFUNCTION("googletranslate(E4405,""en"",""ja"")"),"特定の RR 間隔セットにおける R 波の連続するピーク間の最小継続時間 (時間)。 (NCI)")</f>
        <v>特定の RR 間隔セットにおける R 波の連続するピーク間の最小継続時間 (時間)。 (NCI)</v>
      </c>
      <c r="I4405" s="3" t="str">
        <f ca="1">IFERROR(__xludf.DUMMYFUNCTION("googletranslate(F4405,""en"",""ja"")"),"最小 RR 期間")</f>
        <v>最小 RR 期間</v>
      </c>
    </row>
    <row r="4406" spans="1:9" ht="30">
      <c r="A4406" s="3" t="s">
        <v>67</v>
      </c>
      <c r="B4406" s="3" t="s">
        <v>18112</v>
      </c>
      <c r="C4406" s="3" t="s">
        <v>18113</v>
      </c>
      <c r="D4406" s="3" t="s">
        <v>18114</v>
      </c>
      <c r="E4406" s="3" t="s">
        <v>18115</v>
      </c>
      <c r="F4406" s="3" t="s">
        <v>18116</v>
      </c>
      <c r="G4406" s="3" t="str">
        <f ca="1">IFERROR(__xludf.DUMMYFUNCTION("googletranslate(D4406,""en"",""ja"")"),"ロタウイルスA RNA;ロタウイルス グループ A RNA")</f>
        <v>ロタウイルスA RNA;ロタウイルス グループ A RNA</v>
      </c>
      <c r="H4406" s="3" t="str">
        <f ca="1">IFERROR(__xludf.DUMMYFUNCTION("googletranslate(E4406,""en"",""ja"")"),"生物学的標本中のロタウイルス A RNA の測定。")</f>
        <v>生物学的標本中のロタウイルス A RNA の測定。</v>
      </c>
      <c r="I4406" s="3" t="str">
        <f ca="1">IFERROR(__xludf.DUMMYFUNCTION("googletranslate(F4406,""en"",""ja"")"),"ロタウイルスA RNA測定")</f>
        <v>ロタウイルスA RNA測定</v>
      </c>
    </row>
    <row r="4407" spans="1:9" ht="60">
      <c r="A4407" s="3" t="s">
        <v>490</v>
      </c>
      <c r="B4407" s="3" t="s">
        <v>18117</v>
      </c>
      <c r="C4407" s="3" t="s">
        <v>18118</v>
      </c>
      <c r="D4407" s="3" t="s">
        <v>18118</v>
      </c>
      <c r="E4407" s="3" t="s">
        <v>18119</v>
      </c>
      <c r="F4407" s="3" t="s">
        <v>18118</v>
      </c>
      <c r="G4407" s="3" t="str">
        <f ca="1">IFERROR(__xludf.DUMMYFUNCTION("googletranslate(D4407,""en"",""ja"")"),"呼吸器系の総抵抗")</f>
        <v>呼吸器系の総抵抗</v>
      </c>
      <c r="H4407" s="3" t="str">
        <f ca="1">IFERROR(__xludf.DUMMYFUNCTION("googletranslate(E4407,""en"",""ja"")"),"気道抵抗、肺および胸壁の組織抵抗など、気道の開口部から肺胞までのガスの流れに影響を与えるすべての要因に基づいて計算された値。 (NCI)")</f>
        <v>気道抵抗、肺および胸壁の組織抵抗など、気道の開口部から肺胞までのガスの流れに影響を与えるすべての要因に基づいて計算された値。 (NCI)</v>
      </c>
      <c r="I4407" s="3" t="str">
        <f ca="1">IFERROR(__xludf.DUMMYFUNCTION("googletranslate(F4407,""en"",""ja"")"),"呼吸器系の総抵抗")</f>
        <v>呼吸器系の総抵抗</v>
      </c>
    </row>
    <row r="4408" spans="1:9" ht="75">
      <c r="A4408" s="3" t="s">
        <v>985</v>
      </c>
      <c r="B4408" s="3" t="s">
        <v>18120</v>
      </c>
      <c r="C4408" s="3" t="s">
        <v>18121</v>
      </c>
      <c r="D4408" s="3" t="s">
        <v>18121</v>
      </c>
      <c r="E4408" s="3" t="s">
        <v>18122</v>
      </c>
      <c r="F4408" s="3" t="s">
        <v>18123</v>
      </c>
      <c r="G4408" s="3" t="str">
        <f ca="1">IFERROR(__xludf.DUMMYFUNCTION("googletranslate(D4408,""en"",""ja"")"),"RR 間隔、単一測定")</f>
        <v>RR 間隔、単一測定</v>
      </c>
      <c r="H4408" s="3" t="str">
        <f ca="1">IFERROR(__xludf.DUMMYFUNCTION("googletranslate(E4408,""en"",""ja"")"),"2 つの連続する R 波間の間隔の心電図測定。 R 波が存在しない場合、この測定では、連続する 2 つの拍動内の QRS 群の最も容易に識別される成分間の間隔を利用できます。")</f>
        <v>2 つの連続する R 波間の間隔の心電図測定。 R 波が存在しない場合、この測定では、連続する 2 つの拍動内の QRS 群の最も容易に識別される成分間の間隔を利用できます。</v>
      </c>
      <c r="I4408" s="3" t="str">
        <f ca="1">IFERROR(__xludf.DUMMYFUNCTION("googletranslate(F4408,""en"",""ja"")"),"RR 間隔の単一測定")</f>
        <v>RR 間隔の単一測定</v>
      </c>
    </row>
    <row r="4409" spans="1:9" ht="60">
      <c r="A4409" s="3" t="s">
        <v>985</v>
      </c>
      <c r="B4409" s="3" t="s">
        <v>18124</v>
      </c>
      <c r="C4409" s="3" t="s">
        <v>18125</v>
      </c>
      <c r="D4409" s="3" t="s">
        <v>18125</v>
      </c>
      <c r="E4409" s="3" t="s">
        <v>18126</v>
      </c>
      <c r="F4409" s="3" t="s">
        <v>18127</v>
      </c>
      <c r="G4409" s="3" t="str">
        <f ca="1">IFERROR(__xludf.DUMMYFUNCTION("googletranslate(D4409,""en"",""ja"")"),"RS 波振幅、集合体")</f>
        <v>RS 波振幅、集合体</v>
      </c>
      <c r="H4409" s="3" t="str">
        <f ca="1">IFERROR(__xludf.DUMMYFUNCTION("googletranslate(E4409,""en"",""ja"")"),"単一の ECG からの複数の拍動からの測定値に基づく集計 RS 波振幅値。集計方法はさまざまですが、通常は平均などの中心傾向の尺度です。")</f>
        <v>単一の ECG からの複数の拍動からの測定値に基づく集計 RS 波振幅値。集計方法はさまざまですが、通常は平均などの中心傾向の尺度です。</v>
      </c>
      <c r="I4409" s="3" t="str">
        <f ca="1">IFERROR(__xludf.DUMMYFUNCTION("googletranslate(F4409,""en"",""ja"")"),"RS波振幅集計")</f>
        <v>RS波振幅集計</v>
      </c>
    </row>
    <row r="4410" spans="1:9" ht="60">
      <c r="A4410" s="3" t="s">
        <v>6</v>
      </c>
      <c r="B4410" s="3" t="s">
        <v>18128</v>
      </c>
      <c r="C4410" s="3" t="s">
        <v>18129</v>
      </c>
      <c r="D4410" s="3" t="s">
        <v>18130</v>
      </c>
      <c r="E4410" s="3" t="s">
        <v>18131</v>
      </c>
      <c r="F4410" s="3" t="s">
        <v>18132</v>
      </c>
      <c r="G4410" s="3" t="str">
        <f ca="1">IFERROR(__xludf.DUMMYFUNCTION("googletranslate(D4410,""en"",""ja"")"),"サイトメガロウイルス誘導遺伝子 5 タンパク質;ラジカル S-アデノシル メチオニン ドメイン含有タンパク質 2")</f>
        <v>サイトメガロウイルス誘導遺伝子 5 タンパク質;ラジカル S-アデノシル メチオニン ドメイン含有タンパク質 2</v>
      </c>
      <c r="H4410" s="3" t="str">
        <f ca="1">IFERROR(__xludf.DUMMYFUNCTION("googletranslate(E4410,""en"",""ja"")"),"生物学的標本中のサイトメガロウイルス誘導遺伝子 5 タンパク質の測定。")</f>
        <v>生物学的標本中のサイトメガロウイルス誘導遺伝子 5 タンパク質の測定。</v>
      </c>
      <c r="I4410" s="3" t="str">
        <f ca="1">IFERROR(__xludf.DUMMYFUNCTION("googletranslate(F4410,""en"",""ja"")"),"サイトメガロウイルス誘導遺伝子 5 タンパク質の測定")</f>
        <v>サイトメガロウイルス誘導遺伝子 5 タンパク質の測定</v>
      </c>
    </row>
    <row r="4411" spans="1:9" ht="45">
      <c r="A4411" s="3" t="s">
        <v>985</v>
      </c>
      <c r="B4411" s="3" t="s">
        <v>18133</v>
      </c>
      <c r="C4411" s="3" t="s">
        <v>18134</v>
      </c>
      <c r="D4411" s="3" t="s">
        <v>18134</v>
      </c>
      <c r="E4411" s="3" t="s">
        <v>18135</v>
      </c>
      <c r="F4411" s="3" t="s">
        <v>18136</v>
      </c>
      <c r="G4411" s="3" t="str">
        <f ca="1">IFERROR(__xludf.DUMMYFUNCTION("googletranslate(D4411,""en"",""ja"")"),"RS 波振幅、シングルビート")</f>
        <v>RS 波振幅、シングルビート</v>
      </c>
      <c r="H4411" s="3" t="str">
        <f ca="1">IFERROR(__xludf.DUMMYFUNCTION("googletranslate(E4411,""en"",""ja"")"),"特定の 1 つの誘導または一連の誘導における 1 回の拍動から得られる、R 波と S 波の振幅の合計の心電図測定。")</f>
        <v>特定の 1 つの誘導または一連の誘導における 1 回の拍動から得られる、R 波と S 波の振幅の合計の心電図測定。</v>
      </c>
      <c r="I4411" s="3" t="str">
        <f ca="1">IFERROR(__xludf.DUMMYFUNCTION("googletranslate(F4411,""en"",""ja"")"),"RS 波振幅 シングルビート")</f>
        <v>RS 波振幅 シングルビート</v>
      </c>
    </row>
    <row r="4412" spans="1:9" ht="45">
      <c r="A4412" s="3" t="s">
        <v>6</v>
      </c>
      <c r="B4412" s="3" t="s">
        <v>18137</v>
      </c>
      <c r="C4412" s="3" t="s">
        <v>18138</v>
      </c>
      <c r="D4412" s="3" t="s">
        <v>18139</v>
      </c>
      <c r="E4412" s="3" t="s">
        <v>18140</v>
      </c>
      <c r="F4412" s="3" t="s">
        <v>18141</v>
      </c>
      <c r="G4412" s="3" t="str">
        <f ca="1">IFERROR(__xludf.DUMMYFUNCTION("googletranslate(D4412,""en"",""ja"")"),"リスペリドン+9-ヒドロキシリスペリドン;リスペリドン+パリペリドン")</f>
        <v>リスペリドン+9-ヒドロキシリスペリドン;リスペリドン+パリペリドン</v>
      </c>
      <c r="H4412" s="3" t="str">
        <f ca="1">IFERROR(__xludf.DUMMYFUNCTION("googletranslate(E4412,""en"",""ja"")"),"生物学的標本中のリスペリドンと 9-ヒドロキシリスペリドンの測定。")</f>
        <v>生物学的標本中のリスペリドンと 9-ヒドロキシリスペリドンの測定。</v>
      </c>
      <c r="I4412" s="3" t="str">
        <f ca="1">IFERROR(__xludf.DUMMYFUNCTION("googletranslate(F4412,""en"",""ja"")"),"リスペリドンおよび9-ヒドロキシリスペリドンの測定")</f>
        <v>リスペリドンおよび9-ヒドロキシリスペリドンの測定</v>
      </c>
    </row>
    <row r="4413" spans="1:9">
      <c r="A4413" s="3" t="s">
        <v>6</v>
      </c>
      <c r="B4413" s="3" t="s">
        <v>18142</v>
      </c>
      <c r="C4413" s="3" t="s">
        <v>18143</v>
      </c>
      <c r="D4413" s="3" t="s">
        <v>18143</v>
      </c>
      <c r="E4413" s="3" t="s">
        <v>18144</v>
      </c>
      <c r="F4413" s="3" t="s">
        <v>18145</v>
      </c>
      <c r="G4413" s="3" t="str">
        <f ca="1">IFERROR(__xludf.DUMMYFUNCTION("googletranslate(D4413,""en"",""ja"")"),"リスペリドン")</f>
        <v>リスペリドン</v>
      </c>
      <c r="H4413" s="3" t="str">
        <f ca="1">IFERROR(__xludf.DUMMYFUNCTION("googletranslate(E4413,""en"",""ja"")"),"生物学的標本中のリスペリドンの測定。")</f>
        <v>生物学的標本中のリスペリドンの測定。</v>
      </c>
      <c r="I4413" s="3" t="str">
        <f ca="1">IFERROR(__xludf.DUMMYFUNCTION("googletranslate(F4413,""en"",""ja"")"),"リスペリドンの測定")</f>
        <v>リスペリドンの測定</v>
      </c>
    </row>
    <row r="4414" spans="1:9" ht="30">
      <c r="A4414" s="3" t="s">
        <v>67</v>
      </c>
      <c r="B4414" s="3" t="s">
        <v>18146</v>
      </c>
      <c r="C4414" s="3" t="s">
        <v>18147</v>
      </c>
      <c r="D4414" s="3" t="s">
        <v>18147</v>
      </c>
      <c r="E4414" s="3" t="s">
        <v>18148</v>
      </c>
      <c r="F4414" s="3" t="s">
        <v>18149</v>
      </c>
      <c r="G4414" s="3" t="str">
        <f ca="1">IFERROR(__xludf.DUMMYFUNCTION("googletranslate(D4414,""en"",""ja"")"),"RSウイルス")</f>
        <v>RSウイルス</v>
      </c>
      <c r="H4414" s="3" t="str">
        <f ca="1">IFERROR(__xludf.DUMMYFUNCTION("googletranslate(E4414,""en"",""ja"")"),"生物学的標本中の RS ウイルスの測定。")</f>
        <v>生物学的標本中の RS ウイルスの測定。</v>
      </c>
      <c r="I4414" s="3" t="str">
        <f ca="1">IFERROR(__xludf.DUMMYFUNCTION("googletranslate(F4414,""en"",""ja"")"),"呼吸器合胞体ウイルス測定")</f>
        <v>呼吸器合胞体ウイルス測定</v>
      </c>
    </row>
    <row r="4415" spans="1:9" ht="30">
      <c r="A4415" s="3" t="s">
        <v>67</v>
      </c>
      <c r="B4415" s="3" t="s">
        <v>18150</v>
      </c>
      <c r="C4415" s="3" t="s">
        <v>18151</v>
      </c>
      <c r="D4415" s="3" t="s">
        <v>18151</v>
      </c>
      <c r="E4415" s="3" t="s">
        <v>18152</v>
      </c>
      <c r="F4415" s="3" t="s">
        <v>18153</v>
      </c>
      <c r="G4415" s="3" t="str">
        <f ca="1">IFERROR(__xludf.DUMMYFUNCTION("googletranslate(D4415,""en"",""ja"")"),"呼吸器合胞体ウイルス A 型")</f>
        <v>呼吸器合胞体ウイルス A 型</v>
      </c>
      <c r="H4415" s="3" t="str">
        <f ca="1">IFERROR(__xludf.DUMMYFUNCTION("googletranslate(E4415,""en"",""ja"")"),"生物学的検体中の RS ウイルス A 型の測定。")</f>
        <v>生物学的検体中の RS ウイルス A 型の測定。</v>
      </c>
      <c r="I4415" s="3" t="str">
        <f ca="1">IFERROR(__xludf.DUMMYFUNCTION("googletranslate(F4415,""en"",""ja"")"),"呼吸器合胞体ウイルス A 型の測定")</f>
        <v>呼吸器合胞体ウイルス A 型の測定</v>
      </c>
    </row>
    <row r="4416" spans="1:9" ht="30">
      <c r="A4416" s="3" t="s">
        <v>67</v>
      </c>
      <c r="B4416" s="3" t="s">
        <v>18154</v>
      </c>
      <c r="C4416" s="3" t="s">
        <v>18155</v>
      </c>
      <c r="D4416" s="3" t="s">
        <v>18156</v>
      </c>
      <c r="E4416" s="3" t="s">
        <v>18157</v>
      </c>
      <c r="F4416" s="3" t="s">
        <v>18158</v>
      </c>
      <c r="G4416" s="3" t="str">
        <f ca="1">IFERROR(__xludf.DUMMYFUNCTION("googletranslate(D4416,""en"",""ja"")"),"呼吸器合胞体ウイルス抗原; RSウイルス抗原")</f>
        <v>呼吸器合胞体ウイルス抗原; RSウイルス抗原</v>
      </c>
      <c r="H4416" s="3" t="str">
        <f ca="1">IFERROR(__xludf.DUMMYFUNCTION("googletranslate(E4416,""en"",""ja"")"),"生物学的検体中の RS ウイルス抗原の測定。")</f>
        <v>生物学的検体中の RS ウイルス抗原の測定。</v>
      </c>
      <c r="I4416" s="3" t="str">
        <f ca="1">IFERROR(__xludf.DUMMYFUNCTION("googletranslate(F4416,""en"",""ja"")"),"呼吸器合胞体ウイルス抗原測定")</f>
        <v>呼吸器合胞体ウイルス抗原測定</v>
      </c>
    </row>
    <row r="4417" spans="1:9" ht="45">
      <c r="A4417" s="3" t="s">
        <v>67</v>
      </c>
      <c r="B4417" s="3" t="s">
        <v>18159</v>
      </c>
      <c r="C4417" s="3" t="s">
        <v>18160</v>
      </c>
      <c r="D4417" s="3" t="s">
        <v>18161</v>
      </c>
      <c r="E4417" s="3" t="s">
        <v>18162</v>
      </c>
      <c r="F4417" s="3" t="s">
        <v>18163</v>
      </c>
      <c r="G4417" s="3" t="str">
        <f ca="1">IFERROR(__xludf.DUMMYFUNCTION("googletranslate(D4417,""en"",""ja"")"),"呼吸器合胞体ウイルス A 型核酸; RSV A 型核酸")</f>
        <v>呼吸器合胞体ウイルス A 型核酸; RSV A 型核酸</v>
      </c>
      <c r="H4417" s="3" t="str">
        <f ca="1">IFERROR(__xludf.DUMMYFUNCTION("googletranslate(E4417,""en"",""ja"")"),"生物学的検体中の RS ウイルス A 型核酸の測定。")</f>
        <v>生物学的検体中の RS ウイルス A 型核酸の測定。</v>
      </c>
      <c r="I4417" s="3" t="str">
        <f ca="1">IFERROR(__xludf.DUMMYFUNCTION("googletranslate(F4417,""en"",""ja"")"),"ヒト呼吸器合胞体ウイルスA型核酸測定")</f>
        <v>ヒト呼吸器合胞体ウイルスA型核酸測定</v>
      </c>
    </row>
    <row r="4418" spans="1:9" ht="30">
      <c r="A4418" s="3" t="s">
        <v>67</v>
      </c>
      <c r="B4418" s="3" t="s">
        <v>18164</v>
      </c>
      <c r="C4418" s="3" t="s">
        <v>18165</v>
      </c>
      <c r="D4418" s="3" t="s">
        <v>18166</v>
      </c>
      <c r="E4418" s="3" t="s">
        <v>18167</v>
      </c>
      <c r="F4418" s="3" t="s">
        <v>18168</v>
      </c>
      <c r="G4418" s="3" t="str">
        <f ca="1">IFERROR(__xludf.DUMMYFUNCTION("googletranslate(D4418,""en"",""ja"")"),"呼吸器合胞体ウイルス A 型 RNA; RSウイルスA型RNA")</f>
        <v>呼吸器合胞体ウイルス A 型 RNA; RSウイルスA型RNA</v>
      </c>
      <c r="H4418" s="3" t="str">
        <f ca="1">IFERROR(__xludf.DUMMYFUNCTION("googletranslate(E4418,""en"",""ja"")"),"生物学的検体中の RS ウイルス A 型 RNA の測定。")</f>
        <v>生物学的検体中の RS ウイルス A 型 RNA の測定。</v>
      </c>
      <c r="I4418" s="3" t="str">
        <f ca="1">IFERROR(__xludf.DUMMYFUNCTION("googletranslate(F4418,""en"",""ja"")"),"呼吸器合胞体ウイルス A 型 RNA 測定")</f>
        <v>呼吸器合胞体ウイルス A 型 RNA 測定</v>
      </c>
    </row>
    <row r="4419" spans="1:9" ht="30">
      <c r="A4419" s="3" t="s">
        <v>67</v>
      </c>
      <c r="B4419" s="3" t="s">
        <v>18169</v>
      </c>
      <c r="C4419" s="3" t="s">
        <v>18170</v>
      </c>
      <c r="D4419" s="3" t="s">
        <v>18170</v>
      </c>
      <c r="E4419" s="3" t="s">
        <v>18171</v>
      </c>
      <c r="F4419" s="3" t="s">
        <v>18172</v>
      </c>
      <c r="G4419" s="3" t="str">
        <f ca="1">IFERROR(__xludf.DUMMYFUNCTION("googletranslate(D4419,""en"",""ja"")"),"呼吸器合胞体ウイルス B 型")</f>
        <v>呼吸器合胞体ウイルス B 型</v>
      </c>
      <c r="H4419" s="3" t="str">
        <f ca="1">IFERROR(__xludf.DUMMYFUNCTION("googletranslate(E4419,""en"",""ja"")"),"生物学的検体中の RS ウイルス B 型の測定。")</f>
        <v>生物学的検体中の RS ウイルス B 型の測定。</v>
      </c>
      <c r="I4419" s="3" t="str">
        <f ca="1">IFERROR(__xludf.DUMMYFUNCTION("googletranslate(F4419,""en"",""ja"")"),"呼吸器合胞体ウイルス B 型の測定")</f>
        <v>呼吸器合胞体ウイルス B 型の測定</v>
      </c>
    </row>
    <row r="4420" spans="1:9" ht="45">
      <c r="A4420" s="3" t="s">
        <v>67</v>
      </c>
      <c r="B4420" s="3" t="s">
        <v>18173</v>
      </c>
      <c r="C4420" s="3" t="s">
        <v>18174</v>
      </c>
      <c r="D4420" s="3" t="s">
        <v>18175</v>
      </c>
      <c r="E4420" s="3" t="s">
        <v>18176</v>
      </c>
      <c r="F4420" s="3" t="s">
        <v>18177</v>
      </c>
      <c r="G4420" s="3" t="str">
        <f ca="1">IFERROR(__xludf.DUMMYFUNCTION("googletranslate(D4420,""en"",""ja"")"),"呼吸器合胞体ウイルス B 型核酸; RSV B 型核酸")</f>
        <v>呼吸器合胞体ウイルス B 型核酸; RSV B 型核酸</v>
      </c>
      <c r="H4420" s="3" t="str">
        <f ca="1">IFERROR(__xludf.DUMMYFUNCTION("googletranslate(E4420,""en"",""ja"")"),"生物学的検体中の RS ウイルス B 型核酸の測定。")</f>
        <v>生物学的検体中の RS ウイルス B 型核酸の測定。</v>
      </c>
      <c r="I4420" s="3" t="str">
        <f ca="1">IFERROR(__xludf.DUMMYFUNCTION("googletranslate(F4420,""en"",""ja"")"),"ヒト呼吸器合胞体ウイルスB型核酸測定")</f>
        <v>ヒト呼吸器合胞体ウイルスB型核酸測定</v>
      </c>
    </row>
    <row r="4421" spans="1:9" ht="30">
      <c r="A4421" s="3" t="s">
        <v>67</v>
      </c>
      <c r="B4421" s="3" t="s">
        <v>18178</v>
      </c>
      <c r="C4421" s="3" t="s">
        <v>18179</v>
      </c>
      <c r="D4421" s="3" t="s">
        <v>18180</v>
      </c>
      <c r="E4421" s="3" t="s">
        <v>18181</v>
      </c>
      <c r="F4421" s="3" t="s">
        <v>18182</v>
      </c>
      <c r="G4421" s="3" t="str">
        <f ca="1">IFERROR(__xludf.DUMMYFUNCTION("googletranslate(D4421,""en"",""ja"")"),"呼吸器合胞体ウイルス B 型 RNA; RSウイルスB型RNA")</f>
        <v>呼吸器合胞体ウイルス B 型 RNA; RSウイルスB型RNA</v>
      </c>
      <c r="H4421" s="3" t="str">
        <f ca="1">IFERROR(__xludf.DUMMYFUNCTION("googletranslate(E4421,""en"",""ja"")"),"生物学的検体中の RS ウイルス B 型 RNA の測定。")</f>
        <v>生物学的検体中の RS ウイルス B 型 RNA の測定。</v>
      </c>
      <c r="I4421" s="3" t="str">
        <f ca="1">IFERROR(__xludf.DUMMYFUNCTION("googletranslate(F4421,""en"",""ja"")"),"呼吸器合胞体ウイルス B 型 RNA 測定")</f>
        <v>呼吸器合胞体ウイルス B 型 RNA 測定</v>
      </c>
    </row>
    <row r="4422" spans="1:9" ht="30">
      <c r="A4422" s="3" t="s">
        <v>67</v>
      </c>
      <c r="B4422" s="3" t="s">
        <v>18183</v>
      </c>
      <c r="C4422" s="3" t="s">
        <v>18184</v>
      </c>
      <c r="D4422" s="3" t="s">
        <v>18184</v>
      </c>
      <c r="E4422" s="3" t="s">
        <v>18185</v>
      </c>
      <c r="F4422" s="3" t="s">
        <v>18186</v>
      </c>
      <c r="G4422" s="3" t="str">
        <f ca="1">IFERROR(__xludf.DUMMYFUNCTION("googletranslate(D4422,""en"",""ja"")"),"呼吸器合胞体ウイルス RNA")</f>
        <v>呼吸器合胞体ウイルス RNA</v>
      </c>
      <c r="H4422" s="3" t="str">
        <f ca="1">IFERROR(__xludf.DUMMYFUNCTION("googletranslate(E4422,""en"",""ja"")"),"生物学的検体中の RS ウイルス RNA の測定。")</f>
        <v>生物学的検体中の RS ウイルス RNA の測定。</v>
      </c>
      <c r="I4422" s="3" t="str">
        <f ca="1">IFERROR(__xludf.DUMMYFUNCTION("googletranslate(F4422,""en"",""ja"")"),"呼吸器合胞体ウイルスRNA測定")</f>
        <v>呼吸器合胞体ウイルスRNA測定</v>
      </c>
    </row>
    <row r="4423" spans="1:9" ht="30">
      <c r="A4423" s="3" t="s">
        <v>6</v>
      </c>
      <c r="B4423" s="3" t="s">
        <v>18187</v>
      </c>
      <c r="C4423" s="3" t="s">
        <v>18188</v>
      </c>
      <c r="D4423" s="3" t="s">
        <v>18188</v>
      </c>
      <c r="E4423" s="3" t="s">
        <v>18189</v>
      </c>
      <c r="F4423" s="3" t="s">
        <v>18190</v>
      </c>
      <c r="G4423" s="3" t="str">
        <f ca="1">IFERROR(__xludf.DUMMYFUNCTION("googletranslate(D4423,""en"",""ja"")"),"トリヨードサイロニン、リバース")</f>
        <v>トリヨードサイロニン、リバース</v>
      </c>
      <c r="H4423" s="3" t="str">
        <f ca="1">IFERROR(__xludf.DUMMYFUNCTION("googletranslate(E4423,""en"",""ja"")"),"生物学的標本中の逆トリヨードチロニンの測定。")</f>
        <v>生物学的標本中の逆トリヨードチロニンの測定。</v>
      </c>
      <c r="I4423" s="3" t="str">
        <f ca="1">IFERROR(__xludf.DUMMYFUNCTION("googletranslate(F4423,""en"",""ja"")"),"逆トリヨードチロニン測定")</f>
        <v>逆トリヨードチロニン測定</v>
      </c>
    </row>
    <row r="4424" spans="1:9" ht="45">
      <c r="A4424" s="3" t="s">
        <v>6</v>
      </c>
      <c r="B4424" s="3" t="s">
        <v>18191</v>
      </c>
      <c r="C4424" s="3" t="s">
        <v>18192</v>
      </c>
      <c r="D4424" s="3" t="s">
        <v>18193</v>
      </c>
      <c r="E4424" s="3" t="s">
        <v>18194</v>
      </c>
      <c r="F4424" s="3" t="s">
        <v>18195</v>
      </c>
      <c r="G4424" s="3" t="str">
        <f ca="1">IFERROR(__xludf.DUMMYFUNCTION("googletranslate(D4424,""en"",""ja"")"),"多色親和性赤芽球。多色親和性正常芽細胞。ルブリサイト")</f>
        <v>多色親和性赤芽球。多色親和性正常芽細胞。ルブリサイト</v>
      </c>
      <c r="H4424" s="3" t="str">
        <f ca="1">IFERROR(__xludf.DUMMYFUNCTION("googletranslate(E4424,""en"",""ja"")"),"生物学的標本中の赤赤血球の測定。")</f>
        <v>生物学的標本中の赤赤血球の測定。</v>
      </c>
      <c r="I4424" s="3" t="str">
        <f ca="1">IFERROR(__xludf.DUMMYFUNCTION("googletranslate(F4424,""en"",""ja"")"),"赤血球数")</f>
        <v>赤血球数</v>
      </c>
    </row>
    <row r="4425" spans="1:9" ht="30">
      <c r="A4425" s="3" t="s">
        <v>6</v>
      </c>
      <c r="B4425" s="3" t="s">
        <v>18196</v>
      </c>
      <c r="C4425" s="3" t="s">
        <v>18197</v>
      </c>
      <c r="D4425" s="3" t="s">
        <v>18197</v>
      </c>
      <c r="E4425" s="3" t="s">
        <v>18198</v>
      </c>
      <c r="F4425" s="3" t="s">
        <v>18199</v>
      </c>
      <c r="G4425" s="3" t="str">
        <f ca="1">IFERROR(__xludf.DUMMYFUNCTION("googletranslate(D4425,""en"",""ja"")"),"赤血球/総細胞数")</f>
        <v>赤血球/総細胞数</v>
      </c>
      <c r="H4425" s="3" t="str">
        <f ca="1">IFERROR(__xludf.DUMMYFUNCTION("googletranslate(E4425,""en"",""ja"")"),"生物学的標本の全細胞に対する赤銅球の相対的な測定値 (比率またはパーセンテージ)。")</f>
        <v>生物学的標本の全細胞に対する赤銅球の相対的な測定値 (比率またはパーセンテージ)。</v>
      </c>
      <c r="I4425" s="3" t="str">
        <f ca="1">IFERROR(__xludf.DUMMYFUNCTION("googletranslate(F4425,""en"",""ja"")"),"赤血球対総細胞比の測定")</f>
        <v>赤血球対総細胞比の測定</v>
      </c>
    </row>
    <row r="4426" spans="1:9" ht="30">
      <c r="A4426" s="3" t="s">
        <v>490</v>
      </c>
      <c r="B4426" s="3" t="s">
        <v>18200</v>
      </c>
      <c r="C4426" s="3" t="s">
        <v>18201</v>
      </c>
      <c r="D4426" s="3" t="s">
        <v>18201</v>
      </c>
      <c r="E4426" s="3" t="s">
        <v>18202</v>
      </c>
      <c r="F4426" s="3" t="s">
        <v>18201</v>
      </c>
      <c r="G4426" s="3" t="str">
        <f ca="1">IFERROR(__xludf.DUMMYFUNCTION("googletranslate(D4426,""en"",""ja"")"),"残量")</f>
        <v>残量</v>
      </c>
      <c r="H4426" s="3" t="str">
        <f ca="1">IFERROR(__xludf.DUMMYFUNCTION("googletranslate(E4426,""en"",""ja"")"),"最大限に吐き出した後に肺内に残る空気の量。")</f>
        <v>最大限に吐き出した後に肺内に残る空気の量。</v>
      </c>
      <c r="I4426" s="3" t="str">
        <f ca="1">IFERROR(__xludf.DUMMYFUNCTION("googletranslate(F4426,""en"",""ja"")"),"残量")</f>
        <v>残量</v>
      </c>
    </row>
    <row r="4427" spans="1:9" ht="45">
      <c r="A4427" s="3" t="s">
        <v>81</v>
      </c>
      <c r="B4427" s="3" t="s">
        <v>18203</v>
      </c>
      <c r="C4427" s="3" t="s">
        <v>18204</v>
      </c>
      <c r="D4427" s="3" t="s">
        <v>18204</v>
      </c>
      <c r="E4427" s="3" t="s">
        <v>18205</v>
      </c>
      <c r="F4427" s="3" t="s">
        <v>18204</v>
      </c>
      <c r="G4427" s="3" t="str">
        <f ca="1">IFERROR(__xludf.DUMMYFUNCTION("googletranslate(D4427,""en"",""ja"")"),"右心室駆出率")</f>
        <v>右心室駆出率</v>
      </c>
      <c r="H4427" s="3" t="str">
        <f ca="1">IFERROR(__xludf.DUMMYFUNCTION("googletranslate(E4427,""en"",""ja"")"),"視覚的な推定または計算によって測定できる、収縮期中に駆出される右心室拡張末期容積のパーセントまたは割合。")</f>
        <v>視覚的な推定または計算によって測定できる、収縮期中に駆出される右心室拡張末期容積のパーセントまたは割合。</v>
      </c>
      <c r="I4427" s="3" t="str">
        <f ca="1">IFERROR(__xludf.DUMMYFUNCTION("googletranslate(F4427,""en"",""ja"")"),"右心室駆出率")</f>
        <v>右心室駆出率</v>
      </c>
    </row>
    <row r="4428" spans="1:9" ht="60">
      <c r="A4428" s="3" t="s">
        <v>81</v>
      </c>
      <c r="B4428" s="3" t="s">
        <v>18206</v>
      </c>
      <c r="C4428" s="3" t="s">
        <v>18207</v>
      </c>
      <c r="D4428" s="3" t="s">
        <v>18208</v>
      </c>
      <c r="E4428" s="3" t="s">
        <v>18209</v>
      </c>
      <c r="F4428" s="3" t="s">
        <v>18210</v>
      </c>
      <c r="G4428" s="3" t="str">
        <f ca="1">IFERROR(__xludf.DUMMYFUNCTION("googletranslate(D4428,""en"",""ja"")"),"右心室駆出率、Cal;右心室駆出率、計算")</f>
        <v>右心室駆出率、Cal;右心室駆出率、計算</v>
      </c>
      <c r="H4428" s="3" t="str">
        <f ca="1">IFERROR(__xludf.DUMMYFUNCTION("googletranslate(E4428,""en"",""ja"")"),"右心室収縮期に右心室から駆出される血液量のパーセントまたは割合を計算したもので、右心室拍出量を右心室拡張末期容積で割ったものとして計算されます。")</f>
        <v>右心室収縮期に右心室から駆出される血液量のパーセントまたは割合を計算したもので、右心室拍出量を右心室拡張末期容積で割ったものとして計算されます。</v>
      </c>
      <c r="I4428" s="3" t="str">
        <f ca="1">IFERROR(__xludf.DUMMYFUNCTION("googletranslate(F4428,""en"",""ja"")"),"計算された右心室駆出率")</f>
        <v>計算された右心室駆出率</v>
      </c>
    </row>
    <row r="4429" spans="1:9" ht="45">
      <c r="A4429" s="3" t="s">
        <v>81</v>
      </c>
      <c r="B4429" s="3" t="s">
        <v>18211</v>
      </c>
      <c r="C4429" s="3" t="s">
        <v>18212</v>
      </c>
      <c r="D4429" s="3" t="s">
        <v>18213</v>
      </c>
      <c r="E4429" s="3" t="s">
        <v>18214</v>
      </c>
      <c r="F4429" s="3" t="s">
        <v>18215</v>
      </c>
      <c r="G4429" s="3" t="str">
        <f ca="1">IFERROR(__xludf.DUMMYFUNCTION("googletranslate(D4429,""en"",""ja"")"),"右心室駆出率、Est;右心室駆出率、推定値")</f>
        <v>右心室駆出率、Est;右心室駆出率、推定値</v>
      </c>
      <c r="H4429" s="3" t="str">
        <f ca="1">IFERROR(__xludf.DUMMYFUNCTION("googletranslate(E4429,""en"",""ja"")"),"右心室収縮期に右心室から駆出される血液量のパーセントまたは割合を視覚的に推定したもの。")</f>
        <v>右心室収縮期に右心室から駆出される血液量のパーセントまたは割合を視覚的に推定したもの。</v>
      </c>
      <c r="I4429" s="3" t="str">
        <f ca="1">IFERROR(__xludf.DUMMYFUNCTION("googletranslate(F4429,""en"",""ja"")"),"推定右心室駆出率")</f>
        <v>推定右心室駆出率</v>
      </c>
    </row>
    <row r="4430" spans="1:9" ht="30">
      <c r="A4430" s="3" t="s">
        <v>67</v>
      </c>
      <c r="B4430" s="3" t="s">
        <v>18216</v>
      </c>
      <c r="C4430" s="3" t="s">
        <v>18217</v>
      </c>
      <c r="D4430" s="3" t="s">
        <v>18217</v>
      </c>
      <c r="E4430" s="3" t="s">
        <v>18218</v>
      </c>
      <c r="F4430" s="3" t="s">
        <v>18219</v>
      </c>
      <c r="G4430" s="3" t="str">
        <f ca="1">IFERROR(__xludf.DUMMYFUNCTION("googletranslate(D4430,""en"",""ja"")"),"ヒトライノウイルス・エンテロウイルス")</f>
        <v>ヒトライノウイルス・エンテロウイルス</v>
      </c>
      <c r="H4430" s="3" t="str">
        <f ca="1">IFERROR(__xludf.DUMMYFUNCTION("googletranslate(E4430,""en"",""ja"")"),"生物学的検体中のヒトライノウイルスおよび/またはヒトエンテロウイルスの測定。")</f>
        <v>生物学的検体中のヒトライノウイルスおよび/またはヒトエンテロウイルスの測定。</v>
      </c>
      <c r="I4430" s="3" t="str">
        <f ca="1">IFERROR(__xludf.DUMMYFUNCTION("googletranslate(F4430,""en"",""ja"")"),"ヒトライノウイルスおよび/またはエンテロウイルスの測定")</f>
        <v>ヒトライノウイルスおよび/またはエンテロウイルスの測定</v>
      </c>
    </row>
    <row r="4431" spans="1:9" ht="45">
      <c r="A4431" s="3" t="s">
        <v>67</v>
      </c>
      <c r="B4431" s="3" t="s">
        <v>18220</v>
      </c>
      <c r="C4431" s="3" t="s">
        <v>18221</v>
      </c>
      <c r="D4431" s="3" t="s">
        <v>18222</v>
      </c>
      <c r="E4431" s="3" t="s">
        <v>18223</v>
      </c>
      <c r="F4431" s="3" t="s">
        <v>18224</v>
      </c>
      <c r="G4431" s="3" t="str">
        <f ca="1">IFERROR(__xludf.DUMMYFUNCTION("googletranslate(D4431,""en"",""ja"")"),"ヒトライノウイルス/エンテロウイルス核酸;ヒトライノウイルス/エンテロウイルス核酸")</f>
        <v>ヒトライノウイルス/エンテロウイルス核酸;ヒトライノウイルス/エンテロウイルス核酸</v>
      </c>
      <c r="H4431" s="3" t="str">
        <f ca="1">IFERROR(__xludf.DUMMYFUNCTION("googletranslate(E4431,""en"",""ja"")"),"生物学的検体中のヒトライノウイルス種および/またはヒトエンテロウイルス種の任意のメンバーからの核酸の測定。")</f>
        <v>生物学的検体中のヒトライノウイルス種および/またはヒトエンテロウイルス種の任意のメンバーからの核酸の測定。</v>
      </c>
      <c r="I4431" s="3" t="str">
        <f ca="1">IFERROR(__xludf.DUMMYFUNCTION("googletranslate(F4431,""en"",""ja"")"),"ヒトライノウイルスおよび/またはエンテロウイルスの核酸測定")</f>
        <v>ヒトライノウイルスおよび/またはエンテロウイルスの核酸測定</v>
      </c>
    </row>
    <row r="4432" spans="1:9" ht="45">
      <c r="A4432" s="3" t="s">
        <v>67</v>
      </c>
      <c r="B4432" s="3" t="s">
        <v>18225</v>
      </c>
      <c r="C4432" s="3" t="s">
        <v>18226</v>
      </c>
      <c r="D4432" s="3" t="s">
        <v>18226</v>
      </c>
      <c r="E4432" s="3" t="s">
        <v>18227</v>
      </c>
      <c r="F4432" s="3" t="s">
        <v>18228</v>
      </c>
      <c r="G4432" s="3" t="str">
        <f ca="1">IFERROR(__xludf.DUMMYFUNCTION("googletranslate(D4432,""en"",""ja"")"),"ヒトライノウイルス/エンテロウイルスRNA")</f>
        <v>ヒトライノウイルス/エンテロウイルスRNA</v>
      </c>
      <c r="H4432" s="3" t="str">
        <f ca="1">IFERROR(__xludf.DUMMYFUNCTION("googletranslate(E4432,""en"",""ja"")"),"生物学的標本中のヒトライノウイルス種および/またはヒトエンテロウイルス種のいずれかのメンバーからの RNA の測定。")</f>
        <v>生物学的標本中のヒトライノウイルス種および/またはヒトエンテロウイルス種のいずれかのメンバーからの RNA の測定。</v>
      </c>
      <c r="I4432" s="3" t="str">
        <f ca="1">IFERROR(__xludf.DUMMYFUNCTION("googletranslate(F4432,""en"",""ja"")"),"ヒトライノウイルスおよび/またはエンテロウイルスのRNA測定")</f>
        <v>ヒトライノウイルスおよび/またはエンテロウイルスのRNA測定</v>
      </c>
    </row>
    <row r="4433" spans="1:9" ht="45">
      <c r="A4433" s="3" t="s">
        <v>490</v>
      </c>
      <c r="B4433" s="3" t="s">
        <v>18229</v>
      </c>
      <c r="C4433" s="3" t="s">
        <v>18230</v>
      </c>
      <c r="D4433" s="3" t="s">
        <v>18230</v>
      </c>
      <c r="E4433" s="3" t="s">
        <v>18231</v>
      </c>
      <c r="F4433" s="3" t="s">
        <v>18230</v>
      </c>
      <c r="G4433" s="3" t="str">
        <f ca="1">IFERROR(__xludf.DUMMYFUNCTION("googletranslate(D4433,""en"",""ja"")"),"予測残存量のパーセント")</f>
        <v>予測残存量のパーセント</v>
      </c>
      <c r="H4433" s="3" t="str">
        <f ca="1">IFERROR(__xludf.DUMMYFUNCTION("googletranslate(E4433,""en"",""ja"")"),"予測された正常値に対する割合として表した、最大限に吐き出した後に肺内に残っている空気の量。")</f>
        <v>予測された正常値に対する割合として表した、最大限に吐き出した後に肺内に残っている空気の量。</v>
      </c>
      <c r="I4433" s="3" t="str">
        <f ca="1">IFERROR(__xludf.DUMMYFUNCTION("googletranslate(F4433,""en"",""ja"")"),"予測残存量のパーセント")</f>
        <v>予測残存量のパーセント</v>
      </c>
    </row>
    <row r="4434" spans="1:9" ht="75">
      <c r="A4434" s="3" t="s">
        <v>985</v>
      </c>
      <c r="B4434" s="3" t="s">
        <v>18232</v>
      </c>
      <c r="C4434" s="3" t="s">
        <v>18233</v>
      </c>
      <c r="D4434" s="3" t="s">
        <v>18233</v>
      </c>
      <c r="E4434" s="3" t="s">
        <v>18234</v>
      </c>
      <c r="F4434" s="3" t="s">
        <v>18235</v>
      </c>
      <c r="G4434" s="3" t="str">
        <f ca="1">IFERROR(__xludf.DUMMYFUNCTION("googletranslate(D4434,""en"",""ja"")"),"R 波振幅、集合体")</f>
        <v>R 波振幅、集合体</v>
      </c>
      <c r="H4434" s="3" t="str">
        <f ca="1">IFERROR(__xludf.DUMMYFUNCTION("googletranslate(E4434,""en"",""ja"")"),"単一の ECG 内の複数の拍動からの R 波振幅の測定に基づいた R 波振幅の合計値。集計方法はさまざまですが、通常は平均などの中心傾向の尺度です。")</f>
        <v>単一の ECG 内の複数の拍動からの R 波振幅の測定に基づいた R 波振幅の合計値。集計方法はさまざまですが、通常は平均などの中心傾向の尺度です。</v>
      </c>
      <c r="I4434" s="3" t="str">
        <f ca="1">IFERROR(__xludf.DUMMYFUNCTION("googletranslate(F4434,""en"",""ja"")"),"R 波振幅の集計")</f>
        <v>R 波振幅の集計</v>
      </c>
    </row>
    <row r="4435" spans="1:9" ht="75">
      <c r="A4435" s="3" t="s">
        <v>985</v>
      </c>
      <c r="B4435" s="3" t="s">
        <v>18236</v>
      </c>
      <c r="C4435" s="3" t="s">
        <v>18237</v>
      </c>
      <c r="D4435" s="3" t="s">
        <v>18237</v>
      </c>
      <c r="E4435" s="3" t="s">
        <v>18238</v>
      </c>
      <c r="F4435" s="3" t="s">
        <v>18239</v>
      </c>
      <c r="G4435" s="3" t="str">
        <f ca="1">IFERROR(__xludf.DUMMYFUNCTION("googletranslate(D4435,""en"",""ja"")"),"R 波振幅、シングルビート")</f>
        <v>R 波振幅、シングルビート</v>
      </c>
      <c r="H4435" s="3" t="str">
        <f ca="1">IFERROR(__xludf.DUMMYFUNCTION("googletranslate(E4435,""en"",""ja"")"),"1つまたは複数のリードを使用して単一拍動の等電性ベースラインからR波のピークまで測定されるR波の平均振幅(通常はmmで測定される)の心電図測定。録音ゲインに基づいて、この測定は")</f>
        <v>1つまたは複数のリードを使用して単一拍動の等電性ベースラインからR波のピークまで測定されるR波の平均振幅(通常はmmで測定される)の心電図測定。録音ゲインに基づいて、この測定は</v>
      </c>
      <c r="I4435" s="3" t="str">
        <f ca="1">IFERROR(__xludf.DUMMYFUNCTION("googletranslate(F4435,""en"",""ja"")"),"R 波振幅 シングルビート")</f>
        <v>R 波振幅 シングルビート</v>
      </c>
    </row>
    <row r="4436" spans="1:9" ht="30">
      <c r="A4436" s="3" t="s">
        <v>6</v>
      </c>
      <c r="B4436" s="3" t="s">
        <v>18240</v>
      </c>
      <c r="C4436" s="3" t="s">
        <v>18241</v>
      </c>
      <c r="D4436" s="3" t="s">
        <v>18241</v>
      </c>
      <c r="E4436" s="3" t="s">
        <v>18242</v>
      </c>
      <c r="F4436" s="3" t="s">
        <v>18243</v>
      </c>
      <c r="G4436" s="3" t="str">
        <f ca="1">IFERROR(__xludf.DUMMYFUNCTION("googletranslate(D4436,""en"",""ja"")"),"S100 カルシウム結合タンパク質 A8")</f>
        <v>S100 カルシウム結合タンパク質 A8</v>
      </c>
      <c r="H4436" s="3" t="str">
        <f ca="1">IFERROR(__xludf.DUMMYFUNCTION("googletranslate(E4436,""en"",""ja"")"),"生体標本中の S100 カルシウム結合タンパク質 A8 の測定。")</f>
        <v>生体標本中の S100 カルシウム結合タンパク質 A8 の測定。</v>
      </c>
      <c r="I4436" s="3" t="str">
        <f ca="1">IFERROR(__xludf.DUMMYFUNCTION("googletranslate(F4436,""en"",""ja"")"),"S100 カルシウム結合タンパク質 A8 の測定")</f>
        <v>S100 カルシウム結合タンパク質 A8 の測定</v>
      </c>
    </row>
    <row r="4437" spans="1:9" ht="30">
      <c r="A4437" s="3" t="s">
        <v>6</v>
      </c>
      <c r="B4437" s="3" t="s">
        <v>18244</v>
      </c>
      <c r="C4437" s="3" t="s">
        <v>18245</v>
      </c>
      <c r="D4437" s="3" t="s">
        <v>18245</v>
      </c>
      <c r="E4437" s="3" t="s">
        <v>18246</v>
      </c>
      <c r="F4437" s="3" t="s">
        <v>18247</v>
      </c>
      <c r="G4437" s="3" t="str">
        <f ca="1">IFERROR(__xludf.DUMMYFUNCTION("googletranslate(D4437,""en"",""ja"")"),"S100 カルシウム結合プロテイン B")</f>
        <v>S100 カルシウム結合プロテイン B</v>
      </c>
      <c r="H4437" s="3" t="str">
        <f ca="1">IFERROR(__xludf.DUMMYFUNCTION("googletranslate(E4437,""en"",""ja"")"),"生物学的標本中の S100 カルシウム結合タンパク質 B の測定値。")</f>
        <v>生物学的標本中の S100 カルシウム結合タンパク質 B の測定値。</v>
      </c>
      <c r="I4437" s="3" t="str">
        <f ca="1">IFERROR(__xludf.DUMMYFUNCTION("googletranslate(F4437,""en"",""ja"")"),"S100 カルシウム結合プロテインBの測定")</f>
        <v>S100 カルシウム結合プロテインBの測定</v>
      </c>
    </row>
    <row r="4438" spans="1:9" ht="45">
      <c r="A4438" s="3" t="s">
        <v>6</v>
      </c>
      <c r="B4438" s="3" t="s">
        <v>18248</v>
      </c>
      <c r="C4438" s="3" t="s">
        <v>18249</v>
      </c>
      <c r="D4438" s="3" t="s">
        <v>18250</v>
      </c>
      <c r="E4438" s="3" t="s">
        <v>18251</v>
      </c>
      <c r="F4438" s="3" t="s">
        <v>18252</v>
      </c>
      <c r="G4438" s="3" t="str">
        <f ca="1">IFERROR(__xludf.DUMMYFUNCTION("googletranslate(D4438,""en"",""ja"")"),"Phos-S6 リボソームタンパク質; 40S リボソーム サブユニットのリン酸化 S6 タンパク質")</f>
        <v>Phos-S6 リボソームタンパク質; 40S リボソーム サブユニットのリン酸化 S6 タンパク質</v>
      </c>
      <c r="H4438" s="3" t="str">
        <f ca="1">IFERROR(__xludf.DUMMYFUNCTION("googletranslate(E4438,""en"",""ja"")"),"生体標本中の 40S リボソーム サブユニットのリン酸化 S6 タンパク質の測定。")</f>
        <v>生体標本中の 40S リボソーム サブユニットのリン酸化 S6 タンパク質の測定。</v>
      </c>
      <c r="I4438" s="3" t="str">
        <f ca="1">IFERROR(__xludf.DUMMYFUNCTION("googletranslate(F4438,""en"",""ja"")"),"リン酸化40Sリボソームタンパク質S6の測定")</f>
        <v>リン酸化40Sリボソームタンパク質S6の測定</v>
      </c>
    </row>
    <row r="4439" spans="1:9" ht="30">
      <c r="A4439" s="3" t="s">
        <v>6</v>
      </c>
      <c r="B4439" s="3" t="s">
        <v>18253</v>
      </c>
      <c r="C4439" s="3" t="s">
        <v>18254</v>
      </c>
      <c r="D4439" s="3" t="s">
        <v>18255</v>
      </c>
      <c r="E4439" s="3" t="s">
        <v>18256</v>
      </c>
      <c r="F4439" s="3" t="s">
        <v>18257</v>
      </c>
      <c r="G4439" s="3" t="str">
        <f ca="1">IFERROR(__xludf.DUMMYFUNCTION("googletranslate(D4439,""en"",""ja"")"),"豚4; SAA1;血清アミロイド A-1 タンパク質;血清アミロイドA1")</f>
        <v>豚4; SAA1;血清アミロイド A-1 タンパク質;血清アミロイドA1</v>
      </c>
      <c r="H4439" s="3" t="str">
        <f ca="1">IFERROR(__xludf.DUMMYFUNCTION("googletranslate(E4439,""en"",""ja"")"),"生物学的検体中の血清アミロイド A1 の測定。")</f>
        <v>生物学的検体中の血清アミロイド A1 の測定。</v>
      </c>
      <c r="I4439" s="3" t="str">
        <f ca="1">IFERROR(__xludf.DUMMYFUNCTION("googletranslate(F4439,""en"",""ja"")"),"血清アミロイドA1測定")</f>
        <v>血清アミロイドA1測定</v>
      </c>
    </row>
    <row r="4440" spans="1:9" ht="45">
      <c r="A4440" s="3" t="s">
        <v>6</v>
      </c>
      <c r="B4440" s="3" t="s">
        <v>18258</v>
      </c>
      <c r="C4440" s="3" t="s">
        <v>18259</v>
      </c>
      <c r="D4440" s="3" t="s">
        <v>18260</v>
      </c>
      <c r="E4440" s="3" t="s">
        <v>18261</v>
      </c>
      <c r="F4440" s="3" t="s">
        <v>18262</v>
      </c>
      <c r="G4440" s="3" t="str">
        <f ca="1">IFERROR(__xludf.DUMMYFUNCTION("googletranslate(D4440,""en"",""ja"")"),"サーグ;血清-腹水アルブミン勾配")</f>
        <v>サーグ;血清-腹水アルブミン勾配</v>
      </c>
      <c r="H4440" s="3" t="str">
        <f ca="1">IFERROR(__xludf.DUMMYFUNCTION("googletranslate(E4440,""en"",""ja"")"),"血清-腹水アルブミン勾配の測定値。血清中のアルブミンから腹水中のアルブミンの量を差し引くことによって計算されます。")</f>
        <v>血清-腹水アルブミン勾配の測定値。血清中のアルブミンから腹水中のアルブミンの量を差し引くことによって計算されます。</v>
      </c>
      <c r="I4440" s="3" t="str">
        <f ca="1">IFERROR(__xludf.DUMMYFUNCTION("googletranslate(F4440,""en"",""ja"")"),"血清-腹水アルブミン勾配測定")</f>
        <v>血清-腹水アルブミン勾配測定</v>
      </c>
    </row>
    <row r="4441" spans="1:9" ht="75">
      <c r="A4441" s="3" t="s">
        <v>118</v>
      </c>
      <c r="B4441" s="3" t="s">
        <v>18263</v>
      </c>
      <c r="C4441" s="3" t="s">
        <v>18264</v>
      </c>
      <c r="D4441" s="3" t="s">
        <v>18264</v>
      </c>
      <c r="E4441" s="3" t="s">
        <v>18265</v>
      </c>
      <c r="F4441" s="3" t="s">
        <v>18264</v>
      </c>
      <c r="G4441" s="3" t="str">
        <f ca="1">IFERROR(__xludf.DUMMYFUNCTION("googletranslate(D4441,""en"",""ja"")"),"矢状腹部直径")</f>
        <v>矢状腹部直径</v>
      </c>
      <c r="H4441" s="3" t="str">
        <f ca="1">IFERROR(__xludf.DUMMYFUNCTION("googletranslate(E4441,""en"",""ja"")"),"内臓肥満、または腹部脂肪の標準的な尺度。患者の背中から胸郭の底部と骨盤領域の上部の間の上腹部までを測定します。この測定は、患者が立った状態または仰臥位の状態で行うことができます。")</f>
        <v>内臓肥満、または腹部脂肪の標準的な尺度。患者の背中から胸郭の底部と骨盤領域の上部の間の上腹部までを測定します。この測定は、患者が立った状態または仰臥位の状態で行うことができます。</v>
      </c>
      <c r="I4441" s="3" t="str">
        <f ca="1">IFERROR(__xludf.DUMMYFUNCTION("googletranslate(F4441,""en"",""ja"")"),"矢状腹部直径")</f>
        <v>矢状腹部直径</v>
      </c>
    </row>
    <row r="4442" spans="1:9" ht="30">
      <c r="A4442" s="3" t="s">
        <v>67</v>
      </c>
      <c r="B4442" s="3" t="s">
        <v>18266</v>
      </c>
      <c r="C4442" s="3" t="s">
        <v>18267</v>
      </c>
      <c r="D4442" s="3" t="s">
        <v>18267</v>
      </c>
      <c r="E4442" s="3" t="s">
        <v>18268</v>
      </c>
      <c r="F4442" s="3" t="s">
        <v>18269</v>
      </c>
      <c r="G4442" s="3" t="str">
        <f ca="1">IFERROR(__xludf.DUMMYFUNCTION("googletranslate(D4442,""en"",""ja"")"),"ストレプトコッカス・アガラクティエ")</f>
        <v>ストレプトコッカス・アガラクティエ</v>
      </c>
      <c r="H4442" s="3" t="str">
        <f ca="1">IFERROR(__xludf.DUMMYFUNCTION("googletranslate(E4442,""en"",""ja"")"),"生物学的標本中の Streptococcus agalactiae の測定。")</f>
        <v>生物学的標本中の Streptococcus agalactiae の測定。</v>
      </c>
      <c r="I4442" s="3" t="str">
        <f ca="1">IFERROR(__xludf.DUMMYFUNCTION("googletranslate(F4442,""en"",""ja"")"),"Streptococcus agalactiaeの測定")</f>
        <v>Streptococcus agalactiaeの測定</v>
      </c>
    </row>
    <row r="4443" spans="1:9" ht="30">
      <c r="A4443" s="3" t="s">
        <v>67</v>
      </c>
      <c r="B4443" s="3" t="s">
        <v>18270</v>
      </c>
      <c r="C4443" s="3" t="s">
        <v>18271</v>
      </c>
      <c r="D4443" s="3" t="s">
        <v>18272</v>
      </c>
      <c r="E4443" s="3" t="s">
        <v>18273</v>
      </c>
      <c r="F4443" s="3" t="s">
        <v>18274</v>
      </c>
      <c r="G4443" s="3" t="str">
        <f ca="1">IFERROR(__xludf.DUMMYFUNCTION("googletranslate(D4443,""en"",""ja"")"),"Streptococcus agalactiae 抗原;レンサ球菌グループB抗原")</f>
        <v>Streptococcus agalactiae 抗原;レンサ球菌グループB抗原</v>
      </c>
      <c r="H4443" s="3" t="str">
        <f ca="1">IFERROR(__xludf.DUMMYFUNCTION("googletranslate(E4443,""en"",""ja"")"),"生物学的検体中の Streptococcus agalactiae 抗原の測定。")</f>
        <v>生物学的検体中の Streptococcus agalactiae 抗原の測定。</v>
      </c>
      <c r="I4443" s="3" t="str">
        <f ca="1">IFERROR(__xludf.DUMMYFUNCTION("googletranslate(F4443,""en"",""ja"")"),"Streptococcus agalactiae 抗原測定")</f>
        <v>Streptococcus agalactiae 抗原測定</v>
      </c>
    </row>
    <row r="4444" spans="1:9" ht="30">
      <c r="A4444" s="3" t="s">
        <v>67</v>
      </c>
      <c r="B4444" s="3" t="s">
        <v>18275</v>
      </c>
      <c r="C4444" s="3" t="s">
        <v>18276</v>
      </c>
      <c r="D4444" s="3" t="s">
        <v>18276</v>
      </c>
      <c r="E4444" s="3" t="s">
        <v>18277</v>
      </c>
      <c r="F4444" s="3" t="s">
        <v>18278</v>
      </c>
      <c r="G4444" s="3" t="str">
        <f ca="1">IFERROR(__xludf.DUMMYFUNCTION("googletranslate(D4444,""en"",""ja"")"),"Streptococcus agalactiae DNA")</f>
        <v>Streptococcus agalactiae DNA</v>
      </c>
      <c r="H4444" s="3" t="str">
        <f ca="1">IFERROR(__xludf.DUMMYFUNCTION("googletranslate(E4444,""en"",""ja"")"),"生物学的標本中の Streptococcus agalactiae DNA の測定。")</f>
        <v>生物学的標本中の Streptococcus agalactiae DNA の測定。</v>
      </c>
      <c r="I4444" s="3" t="str">
        <f ca="1">IFERROR(__xludf.DUMMYFUNCTION("googletranslate(F4444,""en"",""ja"")"),"Streptococcus agalactiae DNA測定")</f>
        <v>Streptococcus agalactiae DNA測定</v>
      </c>
    </row>
    <row r="4445" spans="1:9" ht="45">
      <c r="A4445" s="3" t="s">
        <v>6</v>
      </c>
      <c r="B4445" s="3" t="s">
        <v>18279</v>
      </c>
      <c r="C4445" s="3" t="s">
        <v>18280</v>
      </c>
      <c r="D4445" s="3" t="s">
        <v>18281</v>
      </c>
      <c r="E4445" s="3" t="s">
        <v>18282</v>
      </c>
      <c r="F4445" s="3" t="s">
        <v>18283</v>
      </c>
      <c r="G4445" s="3" t="str">
        <f ca="1">IFERROR(__xludf.DUMMYFUNCTION("googletranslate(D4445,""en"",""ja"")"),"S-アデノシル-L-ホモシステイン; S-アデノシルホモシステイン;さぁ")</f>
        <v>S-アデノシル-L-ホモシステイン; S-アデノシルホモシステイン;さぁ</v>
      </c>
      <c r="H4445" s="3" t="str">
        <f ca="1">IFERROR(__xludf.DUMMYFUNCTION("googletranslate(E4445,""en"",""ja"")"),"生物学的標本中の S-アデノシルホモシステインの測定。")</f>
        <v>生物学的標本中の S-アデノシルホモシステインの測定。</v>
      </c>
      <c r="I4445" s="3" t="str">
        <f ca="1">IFERROR(__xludf.DUMMYFUNCTION("googletranslate(F4445,""en"",""ja"")"),"S-アデノシルホモシステインの測定")</f>
        <v>S-アデノシルホモシステインの測定</v>
      </c>
    </row>
    <row r="4446" spans="1:9">
      <c r="A4446" s="3" t="s">
        <v>6</v>
      </c>
      <c r="B4446" s="3" t="s">
        <v>18284</v>
      </c>
      <c r="C4446" s="3" t="s">
        <v>18285</v>
      </c>
      <c r="D4446" s="3" t="s">
        <v>18285</v>
      </c>
      <c r="E4446" s="3" t="s">
        <v>18286</v>
      </c>
      <c r="F4446" s="3" t="s">
        <v>18287</v>
      </c>
      <c r="G4446" s="3" t="str">
        <f ca="1">IFERROR(__xludf.DUMMYFUNCTION("googletranslate(D4446,""en"",""ja"")"),"サリチル酸塩")</f>
        <v>サリチル酸塩</v>
      </c>
      <c r="H4446" s="3" t="str">
        <f ca="1">IFERROR(__xludf.DUMMYFUNCTION("googletranslate(E4446,""en"",""ja"")"),"生物学的標本中のサリチル酸塩の測定。")</f>
        <v>生物学的標本中のサリチル酸塩の測定。</v>
      </c>
      <c r="I4446" s="3" t="str">
        <f ca="1">IFERROR(__xludf.DUMMYFUNCTION("googletranslate(F4446,""en"",""ja"")"),"サリチル酸塩の測定")</f>
        <v>サリチル酸塩の測定</v>
      </c>
    </row>
    <row r="4447" spans="1:9" ht="45">
      <c r="A4447" s="3" t="s">
        <v>490</v>
      </c>
      <c r="B4447" s="3" t="s">
        <v>18288</v>
      </c>
      <c r="C4447" s="3" t="s">
        <v>18289</v>
      </c>
      <c r="D4447" s="3" t="s">
        <v>18289</v>
      </c>
      <c r="E4447" s="3" t="s">
        <v>18290</v>
      </c>
      <c r="F4447" s="3" t="s">
        <v>18289</v>
      </c>
      <c r="G4447" s="3" t="str">
        <f ca="1">IFERROR(__xludf.DUMMYFUNCTION("googletranslate(D4447,""en"",""ja"")"),"Salazar-Knowles 方程式パラメータ A")</f>
        <v>Salazar-Knowles 方程式パラメータ A</v>
      </c>
      <c r="H4447" s="3" t="str">
        <f ca="1">IFERROR(__xludf.DUMMYFUNCTION("googletranslate(E4447,""en"",""ja"")"),"サラザール・ノウルズ方程式によって記述される指数関数の表現、および被験者の吸気能力の推定。")</f>
        <v>サラザール・ノウルズ方程式によって記述される指数関数の表現、および被験者の吸気能力の推定。</v>
      </c>
      <c r="I4447" s="3" t="str">
        <f ca="1">IFERROR(__xludf.DUMMYFUNCTION("googletranslate(F4447,""en"",""ja"")"),"Salazar-Knowles 方程式パラメータ A")</f>
        <v>Salazar-Knowles 方程式パラメータ A</v>
      </c>
    </row>
    <row r="4448" spans="1:9" ht="45">
      <c r="A4448" s="3" t="s">
        <v>490</v>
      </c>
      <c r="B4448" s="3" t="s">
        <v>18291</v>
      </c>
      <c r="C4448" s="3" t="s">
        <v>18292</v>
      </c>
      <c r="D4448" s="3" t="s">
        <v>18292</v>
      </c>
      <c r="E4448" s="3" t="s">
        <v>18293</v>
      </c>
      <c r="F4448" s="3" t="s">
        <v>18292</v>
      </c>
      <c r="G4448" s="3" t="str">
        <f ca="1">IFERROR(__xludf.DUMMYFUNCTION("googletranslate(D4448,""en"",""ja"")"),"Salazar-Knowles 方程式パラメータ B")</f>
        <v>Salazar-Knowles 方程式パラメータ B</v>
      </c>
      <c r="H4448" s="3" t="str">
        <f ca="1">IFERROR(__xludf.DUMMYFUNCTION("googletranslate(E4448,""en"",""ja"")"),"総肺活量での体積と経肺圧がゼロでの仮説体積との差。")</f>
        <v>総肺活量での体積と経肺圧がゼロでの仮説体積との差。</v>
      </c>
      <c r="I4448" s="3" t="str">
        <f ca="1">IFERROR(__xludf.DUMMYFUNCTION("googletranslate(F4448,""en"",""ja"")"),"Salazar-Knowles 方程式パラメータ B")</f>
        <v>Salazar-Knowles 方程式パラメータ B</v>
      </c>
    </row>
    <row r="4449" spans="1:9" ht="30">
      <c r="A4449" s="3" t="s">
        <v>490</v>
      </c>
      <c r="B4449" s="3" t="s">
        <v>18294</v>
      </c>
      <c r="C4449" s="3" t="s">
        <v>18295</v>
      </c>
      <c r="D4449" s="3" t="s">
        <v>18295</v>
      </c>
      <c r="E4449" s="3" t="s">
        <v>18296</v>
      </c>
      <c r="F4449" s="3" t="s">
        <v>18297</v>
      </c>
      <c r="G4449" s="3" t="str">
        <f ca="1">IFERROR(__xludf.DUMMYFUNCTION("googletranslate(D4449,""en"",""ja"")"),"サラザール・ノウルズ方程式、K")</f>
        <v>サラザール・ノウルズ方程式、K</v>
      </c>
      <c r="H4449" s="3" t="str">
        <f ca="1">IFERROR(__xludf.DUMMYFUNCTION("googletranslate(E4449,""en"",""ja"")"),"圧力-体積曲線の収縮肢の上部の曲率を反映しています。")</f>
        <v>圧力-体積曲線の収縮肢の上部の曲率を反映しています。</v>
      </c>
      <c r="I4449" s="3" t="str">
        <f ca="1">IFERROR(__xludf.DUMMYFUNCTION("googletranslate(F4449,""en"",""ja"")"),"Salazar-Knowles 方程式、K パラメータ")</f>
        <v>Salazar-Knowles 方程式、K パラメータ</v>
      </c>
    </row>
    <row r="4450" spans="1:9" ht="30">
      <c r="A4450" s="3" t="s">
        <v>67</v>
      </c>
      <c r="B4450" s="3" t="s">
        <v>18298</v>
      </c>
      <c r="C4450" s="3" t="s">
        <v>18299</v>
      </c>
      <c r="D4450" s="3" t="s">
        <v>18299</v>
      </c>
      <c r="E4450" s="3" t="s">
        <v>18300</v>
      </c>
      <c r="F4450" s="3" t="s">
        <v>18301</v>
      </c>
      <c r="G4450" s="3" t="str">
        <f ca="1">IFERROR(__xludf.DUMMYFUNCTION("googletranslate(D4450,""en"",""ja"")"),"サルモネラ抗原")</f>
        <v>サルモネラ抗原</v>
      </c>
      <c r="H4450" s="3" t="str">
        <f ca="1">IFERROR(__xludf.DUMMYFUNCTION("googletranslate(E4450,""en"",""ja"")"),"生物学的標本中のサルモネラ属の任意のメンバーに由来する抗原の測定。")</f>
        <v>生物学的標本中のサルモネラ属の任意のメンバーに由来する抗原の測定。</v>
      </c>
      <c r="I4450" s="3" t="str">
        <f ca="1">IFERROR(__xludf.DUMMYFUNCTION("googletranslate(F4450,""en"",""ja"")"),"サルモネラ抗原測定")</f>
        <v>サルモネラ抗原測定</v>
      </c>
    </row>
    <row r="4451" spans="1:9" ht="30">
      <c r="A4451" s="3" t="s">
        <v>67</v>
      </c>
      <c r="B4451" s="3" t="s">
        <v>18302</v>
      </c>
      <c r="C4451" s="3" t="s">
        <v>18303</v>
      </c>
      <c r="D4451" s="3" t="s">
        <v>18303</v>
      </c>
      <c r="E4451" s="3" t="s">
        <v>18304</v>
      </c>
      <c r="F4451" s="3" t="s">
        <v>18305</v>
      </c>
      <c r="G4451" s="3" t="str">
        <f ca="1">IFERROR(__xludf.DUMMYFUNCTION("googletranslate(D4451,""en"",""ja"")"),"サルモネラ菌のDNA")</f>
        <v>サルモネラ菌のDNA</v>
      </c>
      <c r="H4451" s="3" t="str">
        <f ca="1">IFERROR(__xludf.DUMMYFUNCTION("googletranslate(E4451,""en"",""ja"")"),"生物学的標本中のサルモネラ属のメンバーからの DNA の測定。")</f>
        <v>生物学的標本中のサルモネラ属のメンバーからの DNA の測定。</v>
      </c>
      <c r="I4451" s="3" t="str">
        <f ca="1">IFERROR(__xludf.DUMMYFUNCTION("googletranslate(F4451,""en"",""ja"")"),"サルモネラ菌DNA測定")</f>
        <v>サルモネラ菌DNA測定</v>
      </c>
    </row>
    <row r="4452" spans="1:9" ht="45">
      <c r="A4452" s="3" t="s">
        <v>67</v>
      </c>
      <c r="B4452" s="3" t="s">
        <v>18306</v>
      </c>
      <c r="C4452" s="3" t="s">
        <v>18307</v>
      </c>
      <c r="D4452" s="3" t="s">
        <v>18307</v>
      </c>
      <c r="E4452" s="3" t="s">
        <v>18308</v>
      </c>
      <c r="F4452" s="3" t="s">
        <v>18309</v>
      </c>
      <c r="G4452" s="3" t="str">
        <f ca="1">IFERROR(__xludf.DUMMYFUNCTION("googletranslate(D4452,""en"",""ja"")"),"サルモネラ")</f>
        <v>サルモネラ</v>
      </c>
      <c r="H4452" s="3" t="str">
        <f ca="1">IFERROR(__xludf.DUMMYFUNCTION("googletranslate(E4452,""en"",""ja"")"),"生物学的標本において、種レベルには割り当てられていないが、サルモネラ属レベルに割り当てられている微生物の測定値。")</f>
        <v>生物学的標本において、種レベルには割り当てられていないが、サルモネラ属レベルに割り当てられている微生物の測定値。</v>
      </c>
      <c r="I4452" s="3" t="str">
        <f ca="1">IFERROR(__xludf.DUMMYFUNCTION("googletranslate(F4452,""en"",""ja"")"),"サルモネラ菌の測定")</f>
        <v>サルモネラ菌の測定</v>
      </c>
    </row>
    <row r="4453" spans="1:9" ht="45">
      <c r="A4453" s="3" t="s">
        <v>503</v>
      </c>
      <c r="B4453" s="3" t="s">
        <v>18310</v>
      </c>
      <c r="C4453" s="3" t="s">
        <v>18311</v>
      </c>
      <c r="D4453" s="3" t="s">
        <v>18311</v>
      </c>
      <c r="E4453" s="3" t="s">
        <v>18312</v>
      </c>
      <c r="F4453" s="3" t="s">
        <v>18311</v>
      </c>
      <c r="G4453" s="3" t="str">
        <f ca="1">IFERROR(__xludf.DUMMYFUNCTION("googletranslate(D4453,""en"",""ja"")"),"従業員の給与タイプ")</f>
        <v>従業員の給与タイプ</v>
      </c>
      <c r="H4453" s="3" t="str">
        <f ca="1">IFERROR(__xludf.DUMMYFUNCTION("googletranslate(E4453,""en"",""ja"")"),"雇用主が従業員の給与または賃金を計算するために使用する方法を指定するコード。たとえば、時間単位、年間単位、コミッション単位などです。")</f>
        <v>雇用主が従業員の給与または賃金を計算するために使用する方法を指定するコード。たとえば、時間単位、年間単位、コミッション単位などです。</v>
      </c>
      <c r="I4453" s="3" t="str">
        <f ca="1">IFERROR(__xludf.DUMMYFUNCTION("googletranslate(F4453,""en"",""ja"")"),"従業員の給与タイプ")</f>
        <v>従業員の給与タイプ</v>
      </c>
    </row>
    <row r="4454" spans="1:9" ht="45">
      <c r="A4454" s="3" t="s">
        <v>6</v>
      </c>
      <c r="B4454" s="3" t="s">
        <v>18313</v>
      </c>
      <c r="C4454" s="3" t="s">
        <v>18314</v>
      </c>
      <c r="D4454" s="3" t="s">
        <v>18315</v>
      </c>
      <c r="E4454" s="3" t="s">
        <v>18316</v>
      </c>
      <c r="F4454" s="3" t="s">
        <v>18317</v>
      </c>
      <c r="G4454" s="3" t="str">
        <f ca="1">IFERROR(__xludf.DUMMYFUNCTION("googletranslate(D4454,""en"",""ja"")"),"S-アデノシル-L-メチオニン; S-アデノシルメチオニン;同じ;同じ;サミー")</f>
        <v>S-アデノシル-L-メチオニン; S-アデノシルメチオニン;同じ;同じ;サミー</v>
      </c>
      <c r="H4454" s="3" t="str">
        <f ca="1">IFERROR(__xludf.DUMMYFUNCTION("googletranslate(E4454,""en"",""ja"")"),"生物学的標本中の S-アデノシルメチオニンの測定。")</f>
        <v>生物学的標本中の S-アデノシルメチオニンの測定。</v>
      </c>
      <c r="I4454" s="3" t="str">
        <f ca="1">IFERROR(__xludf.DUMMYFUNCTION("googletranslate(F4454,""en"",""ja"")"),"S-アデノシルメチオニンの測定")</f>
        <v>S-アデノシルメチオニンの測定</v>
      </c>
    </row>
    <row r="4455" spans="1:9" ht="30">
      <c r="A4455" s="3" t="s">
        <v>81</v>
      </c>
      <c r="B4455" s="3" t="s">
        <v>18318</v>
      </c>
      <c r="C4455" s="3" t="s">
        <v>18319</v>
      </c>
      <c r="D4455" s="3" t="s">
        <v>18320</v>
      </c>
      <c r="E4455" s="3" t="s">
        <v>18321</v>
      </c>
      <c r="F4455" s="3" t="s">
        <v>18319</v>
      </c>
      <c r="G4455" s="3" t="str">
        <f ca="1">IFERROR(__xludf.DUMMYFUNCTION("googletranslate(D4455,""en"",""ja"")"),"SAMインジケーター;収縮期前方運動インジケーター")</f>
        <v>SAMインジケーター;収縮期前方運動インジケーター</v>
      </c>
      <c r="H4455" s="3" t="str">
        <f ca="1">IFERROR(__xludf.DUMMYFUNCTION("googletranslate(E4455,""en"",""ja"")"),"心臓弁およびその関連構造の収縮期の前方運動があるかどうかに関する指標。")</f>
        <v>心臓弁およびその関連構造の収縮期の前方運動があるかどうかに関する指標。</v>
      </c>
      <c r="I4455" s="3" t="str">
        <f ca="1">IFERROR(__xludf.DUMMYFUNCTION("googletranslate(F4455,""en"",""ja"")"),"収縮期前方運動インジケーター")</f>
        <v>収縮期前方運動インジケーター</v>
      </c>
    </row>
    <row r="4456" spans="1:9" ht="30">
      <c r="A4456" s="3" t="s">
        <v>81</v>
      </c>
      <c r="B4456" s="3" t="s">
        <v>18322</v>
      </c>
      <c r="C4456" s="3" t="s">
        <v>18323</v>
      </c>
      <c r="D4456" s="3" t="s">
        <v>18324</v>
      </c>
      <c r="E4456" s="3" t="s">
        <v>18325</v>
      </c>
      <c r="F4456" s="3" t="s">
        <v>18323</v>
      </c>
      <c r="G4456" s="3" t="str">
        <f ca="1">IFERROR(__xludf.DUMMYFUNCTION("googletranslate(D4456,""en"",""ja"")"),"SAM の重大度。収縮期前方運動の重症度")</f>
        <v>SAM の重大度。収縮期前方運動の重症度</v>
      </c>
      <c r="H4456" s="3" t="str">
        <f ca="1">IFERROR(__xludf.DUMMYFUNCTION("googletranslate(E4456,""en"",""ja"")"),"心臓弁およびその関連構造の収縮期の前方運動の重症度の評価。")</f>
        <v>心臓弁およびその関連構造の収縮期の前方運動の重症度の評価。</v>
      </c>
      <c r="I4456" s="3" t="str">
        <f ca="1">IFERROR(__xludf.DUMMYFUNCTION("googletranslate(F4456,""en"",""ja"")"),"収縮期前方運動の重症度")</f>
        <v>収縮期前方運動の重症度</v>
      </c>
    </row>
    <row r="4457" spans="1:9" ht="30">
      <c r="A4457" s="3" t="s">
        <v>67</v>
      </c>
      <c r="B4457" s="3" t="s">
        <v>18326</v>
      </c>
      <c r="C4457" s="3" t="s">
        <v>18327</v>
      </c>
      <c r="D4457" s="3" t="s">
        <v>18327</v>
      </c>
      <c r="E4457" s="3" t="s">
        <v>18328</v>
      </c>
      <c r="F4457" s="3" t="s">
        <v>18329</v>
      </c>
      <c r="G4457" s="3" t="str">
        <f ca="1">IFERROR(__xludf.DUMMYFUNCTION("googletranslate(D4457,""en"",""ja"")"),"狭心症レンサ球菌")</f>
        <v>狭心症レンサ球菌</v>
      </c>
      <c r="H4457" s="3" t="str">
        <f ca="1">IFERROR(__xludf.DUMMYFUNCTION("googletranslate(E4457,""en"",""ja"")"),"生物学的標本中のストレプトコッカス・アンギノサスの測定。")</f>
        <v>生物学的標本中のストレプトコッカス・アンギノサスの測定。</v>
      </c>
      <c r="I4457" s="3" t="str">
        <f ca="1">IFERROR(__xludf.DUMMYFUNCTION("googletranslate(F4457,""en"",""ja"")"),"狭心球菌測定")</f>
        <v>狭心球菌測定</v>
      </c>
    </row>
    <row r="4458" spans="1:9" ht="45">
      <c r="A4458" s="3" t="s">
        <v>118</v>
      </c>
      <c r="B4458" s="3" t="s">
        <v>18330</v>
      </c>
      <c r="C4458" s="3" t="s">
        <v>18331</v>
      </c>
      <c r="D4458" s="3" t="s">
        <v>18331</v>
      </c>
      <c r="E4458" s="3" t="s">
        <v>18332</v>
      </c>
      <c r="F4458" s="3" t="s">
        <v>18331</v>
      </c>
      <c r="G4458" s="3" t="str">
        <f ca="1">IFERROR(__xludf.DUMMYFUNCTION("googletranslate(D4458,""en"",""ja"")"),"O2 による酸素飽和度/割合")</f>
        <v>O2 による酸素飽和度/割合</v>
      </c>
      <c r="H4458" s="3" t="str">
        <f ca="1">IFERROR(__xludf.DUMMYFUNCTION("googletranslate(E4458,""en"",""ja"")"),"吸入ガス中の酸素の体積分率に対する血液の酸素ヘモグロビン飽和度の相対測定値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58" s="3" t="str">
        <f ca="1">IFERROR(__xludf.DUMMYFUNCTION("googletranslate(F4458,""en"",""ja"")"),"O2 による酸素飽和度/割合")</f>
        <v>O2 による酸素飽和度/割合</v>
      </c>
    </row>
    <row r="4459" spans="1:9" ht="45">
      <c r="A4459" s="3" t="s">
        <v>6</v>
      </c>
      <c r="B4459" s="3" t="s">
        <v>18330</v>
      </c>
      <c r="C4459" s="3" t="s">
        <v>18331</v>
      </c>
      <c r="D4459" s="3" t="s">
        <v>18331</v>
      </c>
      <c r="E4459" s="3" t="s">
        <v>18332</v>
      </c>
      <c r="F4459" s="3" t="s">
        <v>18331</v>
      </c>
      <c r="G4459" s="3" t="str">
        <f ca="1">IFERROR(__xludf.DUMMYFUNCTION("googletranslate(D4459,""en"",""ja"")"),"O2 による酸素飽和度/割合")</f>
        <v>O2 による酸素飽和度/割合</v>
      </c>
      <c r="H4459" s="3" t="str">
        <f ca="1">IFERROR(__xludf.DUMMYFUNCTION("googletranslate(E4459,""en"",""ja"")"),"吸入ガス中の酸素の体積分率に対する血液の酸素ヘモグロビン飽和度の相対測定値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59" s="3" t="str">
        <f ca="1">IFERROR(__xludf.DUMMYFUNCTION("googletranslate(F4459,""en"",""ja"")"),"O2 による酸素飽和度/割合")</f>
        <v>O2 による酸素飽和度/割合</v>
      </c>
    </row>
    <row r="4460" spans="1:9" ht="45">
      <c r="A4460" s="3" t="s">
        <v>490</v>
      </c>
      <c r="B4460" s="3" t="s">
        <v>18330</v>
      </c>
      <c r="C4460" s="3" t="s">
        <v>18331</v>
      </c>
      <c r="D4460" s="3" t="s">
        <v>18331</v>
      </c>
      <c r="E4460" s="3" t="s">
        <v>18332</v>
      </c>
      <c r="F4460" s="3" t="s">
        <v>18331</v>
      </c>
      <c r="G4460" s="3" t="str">
        <f ca="1">IFERROR(__xludf.DUMMYFUNCTION("googletranslate(D4460,""en"",""ja"")"),"O2 による酸素飽和度/割合")</f>
        <v>O2 による酸素飽和度/割合</v>
      </c>
      <c r="H4460" s="3" t="str">
        <f ca="1">IFERROR(__xludf.DUMMYFUNCTION("googletranslate(E4460,""en"",""ja"")"),"吸入ガス中の酸素の体積分率に対する血液の酸素ヘモグロビン飽和度の相対測定値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60" s="3" t="str">
        <f ca="1">IFERROR(__xludf.DUMMYFUNCTION("googletranslate(F4460,""en"",""ja"")"),"O2 による酸素飽和度/割合")</f>
        <v>O2 による酸素飽和度/割合</v>
      </c>
    </row>
    <row r="4461" spans="1:9" ht="30">
      <c r="A4461" s="3" t="s">
        <v>67</v>
      </c>
      <c r="B4461" s="3" t="s">
        <v>18333</v>
      </c>
      <c r="C4461" s="3" t="s">
        <v>18334</v>
      </c>
      <c r="D4461" s="3" t="s">
        <v>18334</v>
      </c>
      <c r="E4461" s="3" t="s">
        <v>18335</v>
      </c>
      <c r="F4461" s="3" t="s">
        <v>18336</v>
      </c>
      <c r="G4461" s="3" t="str">
        <f ca="1">IFERROR(__xludf.DUMMYFUNCTION("googletranslate(D4461,""en"",""ja"")"),"SARS-CoV-1/SARS-CoV-2 抗原")</f>
        <v>SARS-CoV-1/SARS-CoV-2 抗原</v>
      </c>
      <c r="H4461" s="3" t="str">
        <f ca="1">IFERROR(__xludf.DUMMYFUNCTION("googletranslate(E4461,""en"",""ja"")"),"生物学的検体中の SARS-CoV-1 および/または SARS-CoV-2 の抗原の測定。")</f>
        <v>生物学的検体中の SARS-CoV-1 および/または SARS-CoV-2 の抗原の測定。</v>
      </c>
      <c r="I4461" s="3" t="str">
        <f ca="1">IFERROR(__xludf.DUMMYFUNCTION("googletranslate(F4461,""en"",""ja"")"),"SARS-CoV-1/SARS-CoV-2 抗原測定")</f>
        <v>SARS-CoV-1/SARS-CoV-2 抗原測定</v>
      </c>
    </row>
    <row r="4462" spans="1:9" ht="30">
      <c r="A4462" s="3" t="s">
        <v>67</v>
      </c>
      <c r="B4462" s="3" t="s">
        <v>18337</v>
      </c>
      <c r="C4462" s="3" t="s">
        <v>18338</v>
      </c>
      <c r="D4462" s="3" t="s">
        <v>18338</v>
      </c>
      <c r="E4462" s="3" t="s">
        <v>18339</v>
      </c>
      <c r="F4462" s="3" t="s">
        <v>18340</v>
      </c>
      <c r="G4462" s="3" t="str">
        <f ca="1">IFERROR(__xludf.DUMMYFUNCTION("googletranslate(D4462,""en"",""ja"")"),"SARS-CoV-2 抗原")</f>
        <v>SARS-CoV-2 抗原</v>
      </c>
      <c r="H4462" s="3" t="str">
        <f ca="1">IFERROR(__xludf.DUMMYFUNCTION("googletranslate(E4462,""en"",""ja"")"),"生物学的検体中の SARS-CoV-2 抗原の測定。")</f>
        <v>生物学的検体中の SARS-CoV-2 抗原の測定。</v>
      </c>
      <c r="I4462" s="3" t="str">
        <f ca="1">IFERROR(__xludf.DUMMYFUNCTION("googletranslate(F4462,""en"",""ja"")"),"SARS-CoV-2抗原測定")</f>
        <v>SARS-CoV-2抗原測定</v>
      </c>
    </row>
    <row r="4463" spans="1:9" ht="30">
      <c r="A4463" s="3" t="s">
        <v>67</v>
      </c>
      <c r="B4463" s="3" t="s">
        <v>18341</v>
      </c>
      <c r="C4463" s="3" t="s">
        <v>18342</v>
      </c>
      <c r="D4463" s="3" t="s">
        <v>18343</v>
      </c>
      <c r="E4463" s="3" t="s">
        <v>18344</v>
      </c>
      <c r="F4463" s="3" t="s">
        <v>18345</v>
      </c>
      <c r="G4463" s="3" t="str">
        <f ca="1">IFERROR(__xludf.DUMMYFUNCTION("googletranslate(D4463,""en"",""ja"")"),"SARS-CoV-2 N タンパク質抗原")</f>
        <v>SARS-CoV-2 N タンパク質抗原</v>
      </c>
      <c r="H4463" s="3" t="str">
        <f ca="1">IFERROR(__xludf.DUMMYFUNCTION("googletranslate(E4463,""en"",""ja"")"),"生物学的検体中の SARS-CoV-2 ヌクレオカプシドタンパク質抗原の測定。")</f>
        <v>生物学的検体中の SARS-CoV-2 ヌクレオカプシドタンパク質抗原の測定。</v>
      </c>
      <c r="I4463" s="3" t="str">
        <f ca="1">IFERROR(__xludf.DUMMYFUNCTION("googletranslate(F4463,""en"",""ja"")"),"SARS-CoV-2 ヌクレオカプシドタンパク質抗原の測定")</f>
        <v>SARS-CoV-2 ヌクレオカプシドタンパク質抗原の測定</v>
      </c>
    </row>
    <row r="4464" spans="1:9" ht="30">
      <c r="A4464" s="3" t="s">
        <v>67</v>
      </c>
      <c r="B4464" s="3" t="s">
        <v>18346</v>
      </c>
      <c r="C4464" s="3" t="s">
        <v>18347</v>
      </c>
      <c r="D4464" s="3" t="s">
        <v>18347</v>
      </c>
      <c r="E4464" s="3" t="s">
        <v>18348</v>
      </c>
      <c r="F4464" s="3" t="s">
        <v>18349</v>
      </c>
      <c r="G4464" s="3" t="str">
        <f ca="1">IFERROR(__xludf.DUMMYFUNCTION("googletranslate(D4464,""en"",""ja"")"),"SARS-CoV-2 RNA")</f>
        <v>SARS-CoV-2 RNA</v>
      </c>
      <c r="H4464" s="3" t="str">
        <f ca="1">IFERROR(__xludf.DUMMYFUNCTION("googletranslate(E4464,""en"",""ja"")"),"生物学的検体中の SARS-CoV-2 RNA の測定。")</f>
        <v>生物学的検体中の SARS-CoV-2 RNA の測定。</v>
      </c>
      <c r="I4464" s="3" t="str">
        <f ca="1">IFERROR(__xludf.DUMMYFUNCTION("googletranslate(F4464,""en"",""ja"")"),"SARS-CoV-2 RNA 測定")</f>
        <v>SARS-CoV-2 RNA 測定</v>
      </c>
    </row>
    <row r="4465" spans="1:9" ht="30">
      <c r="A4465" s="3" t="s">
        <v>67</v>
      </c>
      <c r="B4465" s="3" t="s">
        <v>18350</v>
      </c>
      <c r="C4465" s="3" t="s">
        <v>18351</v>
      </c>
      <c r="D4465" s="3" t="s">
        <v>18352</v>
      </c>
      <c r="E4465" s="3" t="s">
        <v>18353</v>
      </c>
      <c r="F4465" s="3" t="s">
        <v>18354</v>
      </c>
      <c r="G4465" s="3" t="str">
        <f ca="1">IFERROR(__xludf.DUMMYFUNCTION("googletranslate(D4465,""en"",""ja"")"),"SARS-CoV-2 S 遺伝子; SARS-CoV-2 S RNA; SARS-CoV-2 スパイク RNA")</f>
        <v>SARS-CoV-2 S 遺伝子; SARS-CoV-2 S RNA; SARS-CoV-2 スパイク RNA</v>
      </c>
      <c r="H4465" s="3" t="str">
        <f ca="1">IFERROR(__xludf.DUMMYFUNCTION("googletranslate(E4465,""en"",""ja"")"),"生物学的検体中の SARS-CoV-2 S RNA の測定。")</f>
        <v>生物学的検体中の SARS-CoV-2 S RNA の測定。</v>
      </c>
      <c r="I4465" s="3" t="str">
        <f ca="1">IFERROR(__xludf.DUMMYFUNCTION("googletranslate(F4465,""en"",""ja"")"),"SARS-CoV-2 S RNA の測定")</f>
        <v>SARS-CoV-2 S RNA の測定</v>
      </c>
    </row>
    <row r="4466" spans="1:9">
      <c r="A4466" s="3" t="s">
        <v>6</v>
      </c>
      <c r="B4466" s="3" t="s">
        <v>18355</v>
      </c>
      <c r="C4466" s="3" t="s">
        <v>18356</v>
      </c>
      <c r="D4466" s="3" t="s">
        <v>18357</v>
      </c>
      <c r="E4466" s="3" t="s">
        <v>18358</v>
      </c>
      <c r="F4466" s="3" t="s">
        <v>18359</v>
      </c>
      <c r="G4466" s="3" t="str">
        <f ca="1">IFERROR(__xludf.DUMMYFUNCTION("googletranslate(D4466,""en"",""ja"")"),"N-メチルグリシン;サルコシン")</f>
        <v>N-メチルグリシン;サルコシン</v>
      </c>
      <c r="H4466" s="3" t="str">
        <f ca="1">IFERROR(__xludf.DUMMYFUNCTION("googletranslate(E4466,""en"",""ja"")"),"生物学的標本中のサルコシンの測定。")</f>
        <v>生物学的標本中のサルコシンの測定。</v>
      </c>
      <c r="I4466" s="3" t="str">
        <f ca="1">IFERROR(__xludf.DUMMYFUNCTION("googletranslate(F4466,""en"",""ja"")"),"サルコシンの測定")</f>
        <v>サルコシンの測定</v>
      </c>
    </row>
    <row r="4467" spans="1:9" ht="60">
      <c r="A4467" s="3" t="s">
        <v>67</v>
      </c>
      <c r="B4467" s="3" t="s">
        <v>18360</v>
      </c>
      <c r="C4467" s="3" t="s">
        <v>18361</v>
      </c>
      <c r="D4467" s="3" t="s">
        <v>18361</v>
      </c>
      <c r="E4467" s="3" t="s">
        <v>18362</v>
      </c>
      <c r="F4467" s="3" t="s">
        <v>18363</v>
      </c>
      <c r="G4467" s="3" t="str">
        <f ca="1">IFERROR(__xludf.DUMMYFUNCTION("googletranslate(D4467,""en"",""ja"")"),"SARS関連コロナウイルスRNA/MERS RNA")</f>
        <v>SARS関連コロナウイルスRNA/MERS RNA</v>
      </c>
      <c r="H4467" s="3" t="str">
        <f ca="1">IFERROR(__xludf.DUMMYFUNCTION("googletranslate(E4467,""en"",""ja"")"),"生体試料中の SARS-CoV、SARS-CoV-2、他の SARS 様コロナウイルス、および/または MERS-CoV を含むがこれらに限定されない、SARS 関連および/または MERS コロナウイルス RNA の測定。")</f>
        <v>生体試料中の SARS-CoV、SARS-CoV-2、他の SARS 様コロナウイルス、および/または MERS-CoV を含むがこれらに限定されない、SARS 関連および/または MERS コロナウイルス RNA の測定。</v>
      </c>
      <c r="I4467" s="3" t="str">
        <f ca="1">IFERROR(__xludf.DUMMYFUNCTION("googletranslate(F4467,""en"",""ja"")"),"SARS関連コロナウイルスRNA/MERS RNA測定")</f>
        <v>SARS関連コロナウイルスRNA/MERS RNA測定</v>
      </c>
    </row>
    <row r="4468" spans="1:9" ht="45">
      <c r="A4468" s="3" t="s">
        <v>67</v>
      </c>
      <c r="B4468" s="3" t="s">
        <v>18364</v>
      </c>
      <c r="C4468" s="3" t="s">
        <v>18365</v>
      </c>
      <c r="D4468" s="3" t="s">
        <v>18366</v>
      </c>
      <c r="E4468" s="3" t="s">
        <v>18367</v>
      </c>
      <c r="F4468" s="3" t="s">
        <v>18368</v>
      </c>
      <c r="G4468" s="3" t="str">
        <f ca="1">IFERROR(__xludf.DUMMYFUNCTION("googletranslate(D4468,""en"",""ja"")"),"SARS-CoV; SARS-CoV-1;重症急性呼吸器症候群関連コロナウイルス")</f>
        <v>SARS-CoV; SARS-CoV-1;重症急性呼吸器症候群関連コロナウイルス</v>
      </c>
      <c r="H4468" s="3" t="str">
        <f ca="1">IFERROR(__xludf.DUMMYFUNCTION("googletranslate(E4468,""en"",""ja"")"),"生体試料中の重症急性呼吸器症候群関連コロナウイルスの測定。")</f>
        <v>生体試料中の重症急性呼吸器症候群関連コロナウイルスの測定。</v>
      </c>
      <c r="I4468" s="3" t="str">
        <f ca="1">IFERROR(__xludf.DUMMYFUNCTION("googletranslate(F4468,""en"",""ja"")"),"重症急性呼吸器症候群関連コロナウイルス測定")</f>
        <v>重症急性呼吸器症候群関連コロナウイルス測定</v>
      </c>
    </row>
    <row r="4469" spans="1:9" ht="60">
      <c r="A4469" s="3" t="s">
        <v>67</v>
      </c>
      <c r="B4469" s="3" t="s">
        <v>18369</v>
      </c>
      <c r="C4469" s="3" t="s">
        <v>18370</v>
      </c>
      <c r="D4469" s="3" t="s">
        <v>18371</v>
      </c>
      <c r="E4469" s="3" t="s">
        <v>18372</v>
      </c>
      <c r="F4469" s="3" t="s">
        <v>18373</v>
      </c>
      <c r="G4469" s="3" t="str">
        <f ca="1">IFERROR(__xludf.DUMMYFUNCTION("googletranslate(D4469,""en"",""ja"")"),"SARS-CoV-2;重症急性Resp症候群コロナウイルス2;重症急性呼吸器症候群コロナウイルス 2")</f>
        <v>SARS-CoV-2;重症急性Resp症候群コロナウイルス2;重症急性呼吸器症候群コロナウイルス 2</v>
      </c>
      <c r="H4469" s="3" t="str">
        <f ca="1">IFERROR(__xludf.DUMMYFUNCTION("googletranslate(E4469,""en"",""ja"")"),"生体試料中の重症急性呼吸器症候群コロナウイルス 2 の測定。")</f>
        <v>生体試料中の重症急性呼吸器症候群コロナウイルス 2 の測定。</v>
      </c>
      <c r="I4469" s="3" t="str">
        <f ca="1">IFERROR(__xludf.DUMMYFUNCTION("googletranslate(F4469,""en"",""ja"")"),"重症急性呼吸器症候群コロナウイルス2の測定")</f>
        <v>重症急性呼吸器症候群コロナウイルス2の測定</v>
      </c>
    </row>
    <row r="4470" spans="1:9" ht="60">
      <c r="A4470" s="3" t="s">
        <v>67</v>
      </c>
      <c r="B4470" s="3" t="s">
        <v>18374</v>
      </c>
      <c r="C4470" s="3" t="s">
        <v>18375</v>
      </c>
      <c r="D4470" s="3" t="s">
        <v>18375</v>
      </c>
      <c r="E4470" s="3" t="s">
        <v>18376</v>
      </c>
      <c r="F4470" s="3" t="s">
        <v>18377</v>
      </c>
      <c r="G4470" s="3" t="str">
        <f ca="1">IFERROR(__xludf.DUMMYFUNCTION("googletranslate(D4470,""en"",""ja"")"),"SARS関連コロナウイルスRNA")</f>
        <v>SARS関連コロナウイルスRNA</v>
      </c>
      <c r="H4470" s="3" t="str">
        <f ca="1">IFERROR(__xludf.DUMMYFUNCTION("googletranslate(E4470,""en"",""ja"")"),"生物標本中の SARS-CoV、SARS-CoV-2、および/またはその他の SARS 様コロナウイルスを含むがこれらに限定されない、SARS 関連コロナウイルス RNA の測定。")</f>
        <v>生物標本中の SARS-CoV、SARS-CoV-2、および/またはその他の SARS 様コロナウイルスを含むがこれらに限定されない、SARS 関連コロナウイルス RNA の測定。</v>
      </c>
      <c r="I4470" s="3" t="str">
        <f ca="1">IFERROR(__xludf.DUMMYFUNCTION("googletranslate(F4470,""en"",""ja"")"),"SARS関連コロナウイルスRNA測定")</f>
        <v>SARS関連コロナウイルスRNA測定</v>
      </c>
    </row>
    <row r="4471" spans="1:9" ht="30">
      <c r="A4471" s="3" t="s">
        <v>67</v>
      </c>
      <c r="B4471" s="3" t="s">
        <v>18378</v>
      </c>
      <c r="C4471" s="3" t="s">
        <v>18379</v>
      </c>
      <c r="D4471" s="3" t="s">
        <v>18379</v>
      </c>
      <c r="E4471" s="3" t="s">
        <v>18380</v>
      </c>
      <c r="F4471" s="3" t="s">
        <v>18381</v>
      </c>
      <c r="G4471" s="3" t="str">
        <f ca="1">IFERROR(__xludf.DUMMYFUNCTION("googletranslate(D4471,""en"",""ja"")"),"黄色ブドウ球菌のDNA")</f>
        <v>黄色ブドウ球菌のDNA</v>
      </c>
      <c r="H4471" s="3" t="str">
        <f ca="1">IFERROR(__xludf.DUMMYFUNCTION("googletranslate(E4471,""en"",""ja"")"),"生物学的標本中の黄色ブドウ球菌 DNA の測定。")</f>
        <v>生物学的標本中の黄色ブドウ球菌 DNA の測定。</v>
      </c>
      <c r="I4471" s="3" t="str">
        <f ca="1">IFERROR(__xludf.DUMMYFUNCTION("googletranslate(F4471,""en"",""ja"")"),"黄色ブドウ球菌DNA測定")</f>
        <v>黄色ブドウ球菌DNA測定</v>
      </c>
    </row>
    <row r="4472" spans="1:9" ht="30">
      <c r="A4472" s="3" t="s">
        <v>67</v>
      </c>
      <c r="B4472" s="3" t="s">
        <v>18382</v>
      </c>
      <c r="C4472" s="3" t="s">
        <v>18383</v>
      </c>
      <c r="D4472" s="3" t="s">
        <v>18384</v>
      </c>
      <c r="E4472" s="3" t="s">
        <v>18385</v>
      </c>
      <c r="F4472" s="3" t="s">
        <v>18386</v>
      </c>
      <c r="G4472" s="3" t="str">
        <f ca="1">IFERROR(__xludf.DUMMYFUNCTION("googletranslate(D4472,""en"",""ja"")"),"黄色ブドウ球菌。黄色ブドウ球菌")</f>
        <v>黄色ブドウ球菌。黄色ブドウ球菌</v>
      </c>
      <c r="H4472" s="3" t="str">
        <f ca="1">IFERROR(__xludf.DUMMYFUNCTION("googletranslate(E4472,""en"",""ja"")"),"生物学的標本中の黄色ブドウ球菌の測定。")</f>
        <v>生物学的標本中の黄色ブドウ球菌の測定。</v>
      </c>
      <c r="I4472" s="3" t="str">
        <f ca="1">IFERROR(__xludf.DUMMYFUNCTION("googletranslate(F4472,""en"",""ja"")"),"黄色ブドウ球菌の測定")</f>
        <v>黄色ブドウ球菌の測定</v>
      </c>
    </row>
    <row r="4473" spans="1:9" ht="60">
      <c r="A4473" s="3" t="s">
        <v>490</v>
      </c>
      <c r="B4473" s="3" t="s">
        <v>18387</v>
      </c>
      <c r="C4473" s="3" t="s">
        <v>18388</v>
      </c>
      <c r="D4473" s="3" t="s">
        <v>18388</v>
      </c>
      <c r="E4473" s="3" t="s">
        <v>18389</v>
      </c>
      <c r="F4473" s="3" t="s">
        <v>18388</v>
      </c>
      <c r="G4473" s="3" t="str">
        <f ca="1">IFERROR(__xludf.DUMMYFUNCTION("googletranslate(D4473,""en"",""ja"")"),"比気道容積")</f>
        <v>比気道容積</v>
      </c>
      <c r="H4473" s="3" t="str">
        <f ca="1">IFERROR(__xludf.DUMMYFUNCTION("googletranslate(E4473,""en"",""ja"")"),"機能的呼吸イメージングで使用されるパラメータ。指定された肺内領域の気道容積を、同じ指定された肺内領域の総容積で割ることによって導出されます。")</f>
        <v>機能的呼吸イメージングで使用されるパラメータ。指定された肺内領域の気道容積を、同じ指定された肺内領域の総容積で割ることによって導出されます。</v>
      </c>
      <c r="I4473" s="3" t="str">
        <f ca="1">IFERROR(__xludf.DUMMYFUNCTION("googletranslate(F4473,""en"",""ja"")"),"比気道容積")</f>
        <v>比気道容積</v>
      </c>
    </row>
    <row r="4474" spans="1:9" ht="75">
      <c r="A4474" s="3" t="s">
        <v>490</v>
      </c>
      <c r="B4474" s="3" t="s">
        <v>18390</v>
      </c>
      <c r="C4474" s="3" t="s">
        <v>18391</v>
      </c>
      <c r="D4474" s="3" t="s">
        <v>18391</v>
      </c>
      <c r="E4474" s="3" t="s">
        <v>18392</v>
      </c>
      <c r="F4474" s="3" t="s">
        <v>18391</v>
      </c>
      <c r="G4474" s="3" t="str">
        <f ca="1">IFERROR(__xludf.DUMMYFUNCTION("googletranslate(D4474,""en"",""ja"")"),"予測比気道容積のパーセント")</f>
        <v>予測比気道容積のパーセント</v>
      </c>
      <c r="H4474" s="3" t="str">
        <f ca="1">IFERROR(__xludf.DUMMYFUNCTION("googletranslate(E4474,""en"",""ja"")"),"呼吸機能画像処理で使用されるパラメータ。指定された肺内領域の気道容積を同じ指定された肺内領域の総容積で割ることによって導出され、予測正常値の割合として表されます。")</f>
        <v>呼吸機能画像処理で使用されるパラメータ。指定された肺内領域の気道容積を同じ指定された肺内領域の総容積で割ることによって導出され、予測正常値の割合として表されます。</v>
      </c>
      <c r="I4474" s="3" t="str">
        <f ca="1">IFERROR(__xludf.DUMMYFUNCTION("googletranslate(F4474,""en"",""ja"")"),"予測比気道容積のパーセント")</f>
        <v>予測比気道容積のパーセント</v>
      </c>
    </row>
    <row r="4475" spans="1:9" ht="30">
      <c r="A4475" s="3" t="s">
        <v>185</v>
      </c>
      <c r="B4475" s="3" t="s">
        <v>18393</v>
      </c>
      <c r="C4475" s="3" t="s">
        <v>18394</v>
      </c>
      <c r="D4475" s="3" t="s">
        <v>18394</v>
      </c>
      <c r="E4475" s="3" t="s">
        <v>18395</v>
      </c>
      <c r="F4475" s="3" t="s">
        <v>18394</v>
      </c>
      <c r="G4475" s="3" t="str">
        <f ca="1">IFERROR(__xludf.DUMMYFUNCTION("googletranslate(D4475,""en"",""ja"")"),"物質依存性指標")</f>
        <v>物質依存性指標</v>
      </c>
      <c r="H4475" s="3" t="str">
        <f ca="1">IFERROR(__xludf.DUMMYFUNCTION("googletranslate(E4475,""en"",""ja"")"),"個人が物質に依存しているかどうかを示す指標。")</f>
        <v>個人が物質に依存しているかどうかを示す指標。</v>
      </c>
      <c r="I4475" s="3" t="str">
        <f ca="1">IFERROR(__xludf.DUMMYFUNCTION("googletranslate(F4475,""en"",""ja"")"),"物質依存性指標")</f>
        <v>物質依存性指標</v>
      </c>
    </row>
    <row r="4476" spans="1:9" ht="60">
      <c r="A4476" s="3" t="s">
        <v>118</v>
      </c>
      <c r="B4476" s="3" t="s">
        <v>18396</v>
      </c>
      <c r="C4476" s="3" t="s">
        <v>18397</v>
      </c>
      <c r="D4476" s="3" t="s">
        <v>18398</v>
      </c>
      <c r="E4476" s="3" t="s">
        <v>18399</v>
      </c>
      <c r="F4476" s="3" t="s">
        <v>18400</v>
      </c>
      <c r="G4476" s="3" t="str">
        <f ca="1">IFERROR(__xludf.DUMMYFUNCTION("googletranslate(D4476,""en"",""ja"")"),"年齢に対する収縮期血圧のパーセンタイル。年齢に対する収縮期血圧のパーセンタイル")</f>
        <v>年齢に対する収縮期血圧のパーセンタイル。年齢に対する収縮期血圧のパーセンタイル</v>
      </c>
      <c r="H4476" s="3" t="str">
        <f ca="1">IFERROR(__xludf.DUMMYFUNCTION("googletranslate(E4476,""en"",""ja"")"),"個人の最高血圧および年齢と参照集団の最高血圧および年齢の評価された関係をパーセンタイルで表したもの。")</f>
        <v>個人の最高血圧および年齢と参照集団の最高血圧および年齢の評価された関係をパーセンタイルで表したもの。</v>
      </c>
      <c r="I4476" s="3" t="str">
        <f ca="1">IFERROR(__xludf.DUMMYFUNCTION("googletranslate(F4476,""en"",""ja"")"),"年齢に対する最高血圧のパーセンタイル")</f>
        <v>年齢に対する最高血圧のパーセンタイル</v>
      </c>
    </row>
    <row r="4477" spans="1:9" ht="60">
      <c r="A4477" s="3" t="s">
        <v>118</v>
      </c>
      <c r="B4477" s="3" t="s">
        <v>18401</v>
      </c>
      <c r="C4477" s="3" t="s">
        <v>18402</v>
      </c>
      <c r="D4477" s="3" t="s">
        <v>18403</v>
      </c>
      <c r="E4477" s="3" t="s">
        <v>18404</v>
      </c>
      <c r="F4477" s="3" t="s">
        <v>18405</v>
      </c>
      <c r="G4477" s="3" t="str">
        <f ca="1">IFERROR(__xludf.DUMMYFUNCTION("googletranslate(D4477,""en"",""ja"")"),"身長に対する収縮期血圧のパーセンタイル。身長に対する収縮期血圧のパーセンタイル")</f>
        <v>身長に対する収縮期血圧のパーセンタイル。身長に対する収縮期血圧のパーセンタイル</v>
      </c>
      <c r="H4477" s="3" t="str">
        <f ca="1">IFERROR(__xludf.DUMMYFUNCTION("googletranslate(E4477,""en"",""ja"")"),"個人の最高血圧および身長と参照集団の最高血圧および身長の評価された関係をパーセンタイルで表したもの。")</f>
        <v>個人の最高血圧および身長と参照集団の最高血圧および身長の評価された関係をパーセンタイルで表したもの。</v>
      </c>
      <c r="I4477" s="3" t="str">
        <f ca="1">IFERROR(__xludf.DUMMYFUNCTION("googletranslate(F4477,""en"",""ja"")"),"身長に対する収縮期血圧のパーセンタイル")</f>
        <v>身長に対する収縮期血圧のパーセンタイル</v>
      </c>
    </row>
    <row r="4478" spans="1:9">
      <c r="A4478" s="3" t="s">
        <v>6</v>
      </c>
      <c r="B4478" s="3" t="s">
        <v>18406</v>
      </c>
      <c r="C4478" s="3" t="s">
        <v>18407</v>
      </c>
      <c r="D4478" s="3" t="s">
        <v>18407</v>
      </c>
      <c r="E4478" s="3" t="s">
        <v>18408</v>
      </c>
      <c r="F4478" s="3" t="s">
        <v>18409</v>
      </c>
      <c r="G4478" s="3" t="str">
        <f ca="1">IFERROR(__xludf.DUMMYFUNCTION("googletranslate(D4478,""en"",""ja"")"),"シブトラミン")</f>
        <v>シブトラミン</v>
      </c>
      <c r="H4478" s="3" t="str">
        <f ca="1">IFERROR(__xludf.DUMMYFUNCTION("googletranslate(E4478,""en"",""ja"")"),"生物学的標本中のシブトラミンの測定。")</f>
        <v>生物学的標本中のシブトラミンの測定。</v>
      </c>
      <c r="I4478" s="3" t="str">
        <f ca="1">IFERROR(__xludf.DUMMYFUNCTION("googletranslate(F4478,""en"",""ja"")"),"シブトラミンの測定")</f>
        <v>シブトラミンの測定</v>
      </c>
    </row>
    <row r="4479" spans="1:9" ht="75">
      <c r="A4479" s="3" t="s">
        <v>6</v>
      </c>
      <c r="B4479" s="3" t="s">
        <v>18410</v>
      </c>
      <c r="C4479" s="3" t="s">
        <v>18411</v>
      </c>
      <c r="D4479" s="3" t="s">
        <v>18412</v>
      </c>
      <c r="E4479" s="3" t="s">
        <v>18413</v>
      </c>
      <c r="F4479" s="3" t="s">
        <v>18414</v>
      </c>
      <c r="G4479" s="3" t="str">
        <f ca="1">IFERROR(__xludf.DUMMYFUNCTION("googletranslate(D4479,""en"",""ja"")"),"N-アセチル-S-ベンジル-L-システイン; S-ベンジルメルカプツール酸; S-ベンジルメルカプチュレート; S-ベンジルメルカプツール酸; SBNAC")</f>
        <v>N-アセチル-S-ベンジル-L-システイン; S-ベンジルメルカプツール酸; S-ベンジルメルカプチュレート; S-ベンジルメルカプツール酸; SBNAC</v>
      </c>
      <c r="H4479" s="3" t="str">
        <f ca="1">IFERROR(__xludf.DUMMYFUNCTION("googletranslate(E4479,""en"",""ja"")"),"試料中の S-ベンジルメルカプツール酸の測定。")</f>
        <v>試料中の S-ベンジルメルカプツール酸の測定。</v>
      </c>
      <c r="I4479" s="3" t="str">
        <f ca="1">IFERROR(__xludf.DUMMYFUNCTION("googletranslate(F4479,""en"",""ja"")"),"S-ベンジルメルカプツール酸の測定")</f>
        <v>S-ベンジルメルカプツール酸の測定</v>
      </c>
    </row>
    <row r="4480" spans="1:9" ht="45">
      <c r="A4480" s="3" t="s">
        <v>142</v>
      </c>
      <c r="B4480" s="3" t="s">
        <v>18415</v>
      </c>
      <c r="C4480" s="3" t="s">
        <v>18416</v>
      </c>
      <c r="D4480" s="3" t="s">
        <v>18417</v>
      </c>
      <c r="E4480" s="3" t="s">
        <v>18418</v>
      </c>
      <c r="F4480" s="3" t="s">
        <v>18419</v>
      </c>
      <c r="G4480" s="3" t="str">
        <f ca="1">IFERROR(__xludf.DUMMYFUNCTION("googletranslate(D4480,""en"",""ja"")"),"対象者は現在子供に授乳中です。現在子供に母乳を与えている被験者の指標")</f>
        <v>対象者は現在子供に授乳中です。現在子供に母乳を与えている被験者の指標</v>
      </c>
      <c r="H4480" s="3" t="str">
        <f ca="1">IFERROR(__xludf.DUMMYFUNCTION("googletranslate(E4480,""en"",""ja"")"),"個人が現在子供に授乳しているかどうかに関する指標。")</f>
        <v>個人が現在子供に授乳しているかどうかに関する指標。</v>
      </c>
      <c r="I4480" s="3" t="str">
        <f ca="1">IFERROR(__xludf.DUMMYFUNCTION("googletranslate(F4480,""en"",""ja"")"),"現在子供に母乳を与えている被験者の指標")</f>
        <v>現在子供に母乳を与えている被験者の指標</v>
      </c>
    </row>
    <row r="4481" spans="1:9" ht="30">
      <c r="A4481" s="3" t="s">
        <v>6</v>
      </c>
      <c r="B4481" s="3" t="s">
        <v>18420</v>
      </c>
      <c r="C4481" s="3" t="s">
        <v>18421</v>
      </c>
      <c r="D4481" s="3" t="s">
        <v>18421</v>
      </c>
      <c r="E4481" s="3" t="s">
        <v>18422</v>
      </c>
      <c r="F4481" s="3" t="s">
        <v>18423</v>
      </c>
      <c r="G4481" s="3" t="str">
        <f ca="1">IFERROR(__xludf.DUMMYFUNCTION("googletranslate(D4481,""en"",""ja"")"),"セコバルビタール")</f>
        <v>セコバルビタール</v>
      </c>
      <c r="H4481" s="3" t="str">
        <f ca="1">IFERROR(__xludf.DUMMYFUNCTION("googletranslate(E4481,""en"",""ja"")"),"生物学的標本中に存在するセコバルビタールの測定。")</f>
        <v>生物学的標本中に存在するセコバルビタールの測定。</v>
      </c>
      <c r="I4481" s="3" t="str">
        <f ca="1">IFERROR(__xludf.DUMMYFUNCTION("googletranslate(F4481,""en"",""ja"")"),"セコバルビタールの測定")</f>
        <v>セコバルビタールの測定</v>
      </c>
    </row>
    <row r="4482" spans="1:9" ht="30">
      <c r="A4482" s="3" t="s">
        <v>6</v>
      </c>
      <c r="B4482" s="3" t="s">
        <v>18424</v>
      </c>
      <c r="C4482" s="3" t="s">
        <v>18425</v>
      </c>
      <c r="D4482" s="3" t="s">
        <v>18425</v>
      </c>
      <c r="E4482" s="3" t="s">
        <v>18426</v>
      </c>
      <c r="F4482" s="3" t="s">
        <v>18427</v>
      </c>
      <c r="G4482" s="3" t="str">
        <f ca="1">IFERROR(__xludf.DUMMYFUNCTION("googletranslate(D4482,""en"",""ja"")"),"扁平上皮癌抗原")</f>
        <v>扁平上皮癌抗原</v>
      </c>
      <c r="H4482" s="3" t="str">
        <f ca="1">IFERROR(__xludf.DUMMYFUNCTION("googletranslate(E4482,""en"",""ja"")"),"生物学的標本中の扁平上皮癌抗原の測定。")</f>
        <v>生物学的標本中の扁平上皮癌抗原の測定。</v>
      </c>
      <c r="I4482" s="3" t="str">
        <f ca="1">IFERROR(__xludf.DUMMYFUNCTION("googletranslate(F4482,""en"",""ja"")"),"扁平上皮癌抗原測定")</f>
        <v>扁平上皮癌抗原測定</v>
      </c>
    </row>
    <row r="4483" spans="1:9" ht="60">
      <c r="A4483" s="3" t="s">
        <v>103</v>
      </c>
      <c r="B4483" s="3" t="s">
        <v>18428</v>
      </c>
      <c r="C4483" s="3" t="s">
        <v>18429</v>
      </c>
      <c r="D4483" s="3" t="s">
        <v>18430</v>
      </c>
      <c r="E4483" s="3" t="s">
        <v>18431</v>
      </c>
      <c r="F4483" s="3" t="s">
        <v>18432</v>
      </c>
      <c r="G4483" s="3" t="str">
        <f ca="1">IFERROR(__xludf.DUMMYFUNCTION("googletranslate(D4483,""en"",""ja"")"),"細胞表面の CD223 発現。膜 CD223 の発現;細胞膜 CD223 発現; sCD223の発現")</f>
        <v>細胞表面の CD223 発現。膜 CD223 の発現;細胞膜 CD223 発現; sCD223の発現</v>
      </c>
      <c r="H4483" s="3" t="str">
        <f ca="1">IFERROR(__xludf.DUMMYFUNCTION("googletranslate(E4483,""en"",""ja"")"),"生物学的標本における細胞原形質膜 (表面) CD223 発現の測定。")</f>
        <v>生物学的標本における細胞原形質膜 (表面) CD223 発現の測定。</v>
      </c>
      <c r="I4483" s="3" t="str">
        <f ca="1">IFERROR(__xludf.DUMMYFUNCTION("googletranslate(F4483,""en"",""ja"")"),"細胞膜CD223発現測定")</f>
        <v>細胞膜CD223発現測定</v>
      </c>
    </row>
    <row r="4484" spans="1:9" ht="30">
      <c r="A4484" s="3" t="s">
        <v>6</v>
      </c>
      <c r="B4484" s="3" t="s">
        <v>18433</v>
      </c>
      <c r="C4484" s="3" t="s">
        <v>18434</v>
      </c>
      <c r="D4484" s="3" t="s">
        <v>18435</v>
      </c>
      <c r="E4484" s="3" t="s">
        <v>18436</v>
      </c>
      <c r="F4484" s="3" t="s">
        <v>18437</v>
      </c>
      <c r="G4484" s="3" t="str">
        <f ca="1">IFERROR(__xludf.DUMMYFUNCTION("googletranslate(D4484,""en"",""ja"")"),"KITリガンド;幹細胞因子")</f>
        <v>KITリガンド;幹細胞因子</v>
      </c>
      <c r="H4484" s="3" t="str">
        <f ca="1">IFERROR(__xludf.DUMMYFUNCTION("googletranslate(E4484,""en"",""ja"")"),"生物学的標本中の幹細胞因子の測定。")</f>
        <v>生物学的標本中の幹細胞因子の測定。</v>
      </c>
      <c r="I4484" s="3" t="str">
        <f ca="1">IFERROR(__xludf.DUMMYFUNCTION("googletranslate(F4484,""en"",""ja"")"),"幹細胞因子の測定")</f>
        <v>幹細胞因子の測定</v>
      </c>
    </row>
    <row r="4485" spans="1:9" ht="75">
      <c r="A4485" s="3" t="s">
        <v>6</v>
      </c>
      <c r="B4485" s="3" t="s">
        <v>18438</v>
      </c>
      <c r="C4485" s="3" t="s">
        <v>18439</v>
      </c>
      <c r="D4485" s="3" t="s">
        <v>18440</v>
      </c>
      <c r="E4485" s="3" t="s">
        <v>18441</v>
      </c>
      <c r="F4485" s="3" t="s">
        <v>18442</v>
      </c>
      <c r="G4485" s="3" t="str">
        <f ca="1">IFERROR(__xludf.DUMMYFUNCTION("googletranslate(D4485,""en"",""ja"")"),"Cキット; CD117; KIT 癌原遺伝子、受容体チロシンキナーゼ;マスト/幹細胞増殖因子 Rec キット;マスト/幹細胞成長因子受容体キット")</f>
        <v>Cキット; CD117; KIT 癌原遺伝子、受容体チロシンキナーゼ;マスト/幹細胞増殖因子 Rec キット;マスト/幹細胞成長因子受容体キット</v>
      </c>
      <c r="H4485" s="3" t="str">
        <f ca="1">IFERROR(__xludf.DUMMYFUNCTION("googletranslate(E4485,""en"",""ja"")"),"生物学的標本におけるマスト/幹細胞成長因子受容体キットの測定。")</f>
        <v>生物学的標本におけるマスト/幹細胞成長因子受容体キットの測定。</v>
      </c>
      <c r="I4485" s="3" t="str">
        <f ca="1">IFERROR(__xludf.DUMMYFUNCTION("googletranslate(F4485,""en"",""ja"")"),"マスト/幹細胞増殖因子受容体キットの測定")</f>
        <v>マスト/幹細胞増殖因子受容体キットの測定</v>
      </c>
    </row>
    <row r="4486" spans="1:9" ht="30">
      <c r="A4486" s="3" t="s">
        <v>6</v>
      </c>
      <c r="B4486" s="3" t="s">
        <v>18443</v>
      </c>
      <c r="C4486" s="3" t="s">
        <v>18444</v>
      </c>
      <c r="D4486" s="3" t="s">
        <v>18444</v>
      </c>
      <c r="E4486" s="3" t="s">
        <v>18445</v>
      </c>
      <c r="F4486" s="3" t="s">
        <v>18446</v>
      </c>
      <c r="G4486" s="3" t="str">
        <f ca="1">IFERROR(__xludf.DUMMYFUNCTION("googletranslate(D4486,""en"",""ja"")"),"分裂細胞/赤血球")</f>
        <v>分裂細胞/赤血球</v>
      </c>
      <c r="H4486" s="3" t="str">
        <f ca="1">IFERROR(__xludf.DUMMYFUNCTION("googletranslate(E4486,""en"",""ja"")"),"生物学的標本における赤血球に対する分裂細胞の相対的な尺度 (比率またはパーセンテージ)。")</f>
        <v>生物学的標本における赤血球に対する分裂細胞の相対的な尺度 (比率またはパーセンテージ)。</v>
      </c>
      <c r="I4486" s="3" t="str">
        <f ca="1">IFERROR(__xludf.DUMMYFUNCTION("googletranslate(F4486,""en"",""ja"")"),"赤血球に対する分裂球の比率の測定")</f>
        <v>赤血球に対する分裂球の比率の測定</v>
      </c>
    </row>
    <row r="4487" spans="1:9" ht="30">
      <c r="A4487" s="3" t="s">
        <v>6</v>
      </c>
      <c r="B4487" s="3" t="s">
        <v>18447</v>
      </c>
      <c r="C4487" s="3" t="s">
        <v>18448</v>
      </c>
      <c r="D4487" s="3" t="s">
        <v>18448</v>
      </c>
      <c r="E4487" s="3" t="s">
        <v>18449</v>
      </c>
      <c r="F4487" s="3" t="s">
        <v>18450</v>
      </c>
      <c r="G4487" s="3" t="str">
        <f ca="1">IFERROR(__xludf.DUMMYFUNCTION("googletranslate(D4487,""en"",""ja"")"),"住血吸虫")</f>
        <v>住血吸虫</v>
      </c>
      <c r="H4487" s="3" t="str">
        <f ca="1">IFERROR(__xludf.DUMMYFUNCTION("googletranslate(E4487,""en"",""ja"")"),"生物学的標本中の分裂赤血球（断片化した赤血球）の測定。")</f>
        <v>生物学的標本中の分裂赤血球（断片化した赤血球）の測定。</v>
      </c>
      <c r="I4487" s="3" t="str">
        <f ca="1">IFERROR(__xludf.DUMMYFUNCTION("googletranslate(F4487,""en"",""ja"")"),"分裂球数")</f>
        <v>分裂球数</v>
      </c>
    </row>
    <row r="4488" spans="1:9" ht="45">
      <c r="A4488" s="3" t="s">
        <v>6</v>
      </c>
      <c r="B4488" s="3" t="s">
        <v>18451</v>
      </c>
      <c r="C4488" s="3" t="s">
        <v>18452</v>
      </c>
      <c r="D4488" s="3" t="s">
        <v>18452</v>
      </c>
      <c r="E4488" s="3" t="s">
        <v>18453</v>
      </c>
      <c r="F4488" s="3" t="s">
        <v>18454</v>
      </c>
      <c r="G4488" s="3" t="str">
        <f ca="1">IFERROR(__xludf.DUMMYFUNCTION("googletranslate(D4488,""en"",""ja"")"),"鎌状赤血球/赤血球")</f>
        <v>鎌状赤血球/赤血球</v>
      </c>
      <c r="H4488" s="3" t="str">
        <f ca="1">IFERROR(__xludf.DUMMYFUNCTION("googletranslate(E4488,""en"",""ja"")"),"生物学的標本中のすべての赤血球に対する鎌状赤血球 (鎌状赤血球) の相対的な測定値 (比率またはパーセンテージ)。")</f>
        <v>生物学的標本中のすべての赤血球に対する鎌状赤血球 (鎌状赤血球) の相対的な測定値 (比率またはパーセンテージ)。</v>
      </c>
      <c r="I4488" s="3" t="str">
        <f ca="1">IFERROR(__xludf.DUMMYFUNCTION("googletranslate(F4488,""en"",""ja"")"),"鎌状赤血球と赤血球の比率の測定")</f>
        <v>鎌状赤血球と赤血球の比率の測定</v>
      </c>
    </row>
    <row r="4489" spans="1:9" ht="30">
      <c r="A4489" s="3" t="s">
        <v>6</v>
      </c>
      <c r="B4489" s="3" t="s">
        <v>18455</v>
      </c>
      <c r="C4489" s="3" t="s">
        <v>18456</v>
      </c>
      <c r="D4489" s="3" t="s">
        <v>18457</v>
      </c>
      <c r="E4489" s="3" t="s">
        <v>18458</v>
      </c>
      <c r="F4489" s="3" t="s">
        <v>18459</v>
      </c>
      <c r="G4489" s="3" t="str">
        <f ca="1">IFERROR(__xludf.DUMMYFUNCTION("googletranslate(D4489,""en"",""ja"")"),"黄レパノサイト。鎌状赤血球")</f>
        <v>黄レパノサイト。鎌状赤血球</v>
      </c>
      <c r="H4489" s="3" t="str">
        <f ca="1">IFERROR(__xludf.DUMMYFUNCTION("googletranslate(E4489,""en"",""ja"")"),"生物学的標本中の鎌状赤血球 (鎌状赤血球) の測定。")</f>
        <v>生物学的標本中の鎌状赤血球 (鎌状赤血球) の測定。</v>
      </c>
      <c r="I4489" s="3" t="str">
        <f ca="1">IFERROR(__xludf.DUMMYFUNCTION("googletranslate(F4489,""en"",""ja"")"),"鎌状赤血球数")</f>
        <v>鎌状赤血球数</v>
      </c>
    </row>
    <row r="4490" spans="1:9">
      <c r="A4490" s="3" t="s">
        <v>6</v>
      </c>
      <c r="B4490" s="3" t="s">
        <v>18460</v>
      </c>
      <c r="C4490" s="3" t="s">
        <v>18461</v>
      </c>
      <c r="D4490" s="3" t="s">
        <v>18461</v>
      </c>
      <c r="E4490" s="3" t="s">
        <v>18462</v>
      </c>
      <c r="F4490" s="3" t="s">
        <v>18463</v>
      </c>
      <c r="G4490" s="3" t="str">
        <f ca="1">IFERROR(__xludf.DUMMYFUNCTION("googletranslate(D4490,""en"",""ja"")"),"チオシアン酸塩")</f>
        <v>チオシアン酸塩</v>
      </c>
      <c r="H4490" s="3" t="str">
        <f ca="1">IFERROR(__xludf.DUMMYFUNCTION("googletranslate(E4490,""en"",""ja"")"),"生物学的標本中のチオシアン酸塩の測定。")</f>
        <v>生物学的標本中のチオシアン酸塩の測定。</v>
      </c>
      <c r="I4490" s="3" t="str">
        <f ca="1">IFERROR(__xludf.DUMMYFUNCTION("googletranslate(F4490,""en"",""ja"")"),"チオシアン酸塩の測定")</f>
        <v>チオシアン酸塩の測定</v>
      </c>
    </row>
    <row r="4491" spans="1:9" ht="30">
      <c r="A4491" s="3" t="s">
        <v>6</v>
      </c>
      <c r="B4491" s="3" t="s">
        <v>18464</v>
      </c>
      <c r="C4491" s="3" t="s">
        <v>18465</v>
      </c>
      <c r="D4491" s="3" t="s">
        <v>18465</v>
      </c>
      <c r="E4491" s="3" t="s">
        <v>18466</v>
      </c>
      <c r="F4491" s="3" t="s">
        <v>18467</v>
      </c>
      <c r="G4491" s="3" t="str">
        <f ca="1">IFERROR(__xludf.DUMMYFUNCTION("googletranslate(D4491,""en"",""ja"")"),"サクシニルアセトン")</f>
        <v>サクシニルアセトン</v>
      </c>
      <c r="H4491" s="3" t="str">
        <f ca="1">IFERROR(__xludf.DUMMYFUNCTION("googletranslate(E4491,""en"",""ja"")"),"生物学的標本中のスクシニルアセトンの測定。")</f>
        <v>生物学的標本中のスクシニルアセトンの測定。</v>
      </c>
      <c r="I4491" s="3" t="str">
        <f ca="1">IFERROR(__xludf.DUMMYFUNCTION("googletranslate(F4491,""en"",""ja"")"),"サクシニルアセトンの測定")</f>
        <v>サクシニルアセトンの測定</v>
      </c>
    </row>
    <row r="4492" spans="1:9" ht="30">
      <c r="A4492" s="3" t="s">
        <v>1557</v>
      </c>
      <c r="B4492" s="3" t="s">
        <v>18468</v>
      </c>
      <c r="C4492" s="3" t="s">
        <v>18469</v>
      </c>
      <c r="D4492" s="3" t="s">
        <v>18469</v>
      </c>
      <c r="E4492" s="3" t="s">
        <v>18470</v>
      </c>
      <c r="F4492" s="3" t="s">
        <v>18469</v>
      </c>
      <c r="G4492" s="3" t="str">
        <f ca="1">IFERROR(__xludf.DUMMYFUNCTION("googletranslate(D4492,""en"",""ja"")"),"スコア")</f>
        <v>スコア</v>
      </c>
      <c r="H4492" s="3" t="str">
        <f ca="1">IFERROR(__xludf.DUMMYFUNCTION("googletranslate(E4492,""en"",""ja"")"),"比較の目的で結果または応答を評価および順序付けする値 (数値、数値範囲、比率など)。")</f>
        <v>比較の目的で結果または応答を評価および順序付けする値 (数値、数値範囲、比率など)。</v>
      </c>
      <c r="I4492" s="3" t="str">
        <f ca="1">IFERROR(__xludf.DUMMYFUNCTION("googletranslate(F4492,""en"",""ja"")"),"スコア")</f>
        <v>スコア</v>
      </c>
    </row>
    <row r="4493" spans="1:9" ht="45">
      <c r="A4493" s="3" t="s">
        <v>2904</v>
      </c>
      <c r="B4493" s="3" t="s">
        <v>18471</v>
      </c>
      <c r="C4493" s="3" t="s">
        <v>18472</v>
      </c>
      <c r="D4493" s="3" t="s">
        <v>18472</v>
      </c>
      <c r="E4493" s="3" t="s">
        <v>18473</v>
      </c>
      <c r="F4493" s="3" t="s">
        <v>18472</v>
      </c>
      <c r="G4493" s="3" t="str">
        <f ca="1">IFERROR(__xludf.DUMMYFUNCTION("googletranslate(D4493,""en"",""ja"")"),"シンチレーションクリスタルタイプ")</f>
        <v>シンチレーションクリスタルタイプ</v>
      </c>
      <c r="H4493" s="3" t="str">
        <f ca="1">IFERROR(__xludf.DUMMYFUNCTION("googletranslate(E4493,""en"",""ja"")"),"画像処理に使用される、放射線照射に反応して光を発する結晶材料の分類。")</f>
        <v>画像処理に使用される、放射線照射に反応して光を発する結晶材料の分類。</v>
      </c>
      <c r="I4493" s="3" t="str">
        <f ca="1">IFERROR(__xludf.DUMMYFUNCTION("googletranslate(F4493,""en"",""ja"")"),"シンチレーションクリスタルタイプ")</f>
        <v>シンチレーションクリスタルタイプ</v>
      </c>
    </row>
    <row r="4494" spans="1:9" ht="30">
      <c r="A4494" s="3" t="s">
        <v>2904</v>
      </c>
      <c r="B4494" s="3" t="s">
        <v>18474</v>
      </c>
      <c r="C4494" s="3" t="s">
        <v>18475</v>
      </c>
      <c r="D4494" s="3" t="s">
        <v>18475</v>
      </c>
      <c r="E4494" s="3" t="s">
        <v>18476</v>
      </c>
      <c r="F4494" s="3" t="s">
        <v>18475</v>
      </c>
      <c r="G4494" s="3" t="str">
        <f ca="1">IFERROR(__xludf.DUMMYFUNCTION("googletranslate(D4494,""en"",""ja"")"),"断面の厚さ")</f>
        <v>断面の厚さ</v>
      </c>
      <c r="H4494" s="3" t="str">
        <f ca="1">IFERROR(__xludf.DUMMYFUNCTION("googletranslate(E4494,""en"",""ja"")"),"(組織、鉱物、その他の物質の) 切片の厚さの測定値。")</f>
        <v>(組織、鉱物、その他の物質の) 切片の厚さの測定値。</v>
      </c>
      <c r="I4494" s="3" t="str">
        <f ca="1">IFERROR(__xludf.DUMMYFUNCTION("googletranslate(F4494,""en"",""ja"")"),"断面の厚さ")</f>
        <v>断面の厚さ</v>
      </c>
    </row>
    <row r="4495" spans="1:9" ht="30">
      <c r="A4495" s="3" t="s">
        <v>6</v>
      </c>
      <c r="B4495" s="3" t="s">
        <v>18477</v>
      </c>
      <c r="C4495" s="3" t="s">
        <v>18478</v>
      </c>
      <c r="D4495" s="3" t="s">
        <v>18478</v>
      </c>
      <c r="E4495" s="3" t="s">
        <v>18479</v>
      </c>
      <c r="F4495" s="3" t="s">
        <v>18480</v>
      </c>
      <c r="G4495" s="3" t="str">
        <f ca="1">IFERROR(__xludf.DUMMYFUNCTION("googletranslate(D4495,""en"",""ja"")"),"ソルビトールデヒドロゲナーゼ")</f>
        <v>ソルビトールデヒドロゲナーゼ</v>
      </c>
      <c r="H4495" s="3" t="str">
        <f ca="1">IFERROR(__xludf.DUMMYFUNCTION("googletranslate(E4495,""en"",""ja"")"),"生物学的標本中のソルビトールデヒドロゲナーゼの測定。")</f>
        <v>生物学的標本中のソルビトールデヒドロゲナーゼの測定。</v>
      </c>
      <c r="I4495" s="3" t="str">
        <f ca="1">IFERROR(__xludf.DUMMYFUNCTION("googletranslate(F4495,""en"",""ja"")"),"ソルビトールデヒドロゲナーゼの測定")</f>
        <v>ソルビトールデヒドロゲナーゼの測定</v>
      </c>
    </row>
    <row r="4496" spans="1:9" ht="30">
      <c r="A4496" s="3" t="s">
        <v>6</v>
      </c>
      <c r="B4496" s="3" t="s">
        <v>18481</v>
      </c>
      <c r="C4496" s="3" t="s">
        <v>18482</v>
      </c>
      <c r="D4496" s="3" t="s">
        <v>18483</v>
      </c>
      <c r="E4496" s="3" t="s">
        <v>18484</v>
      </c>
      <c r="F4496" s="3" t="s">
        <v>18485</v>
      </c>
      <c r="G4496" s="3" t="str">
        <f ca="1">IFERROR(__xludf.DUMMYFUNCTION("googletranslate(D4496,""en"",""ja"")"),"N,N'-ジメチルアルギニン;対称ジメチルアルギニン")</f>
        <v>N,N'-ジメチルアルギニン;対称ジメチルアルギニン</v>
      </c>
      <c r="H4496" s="3" t="str">
        <f ca="1">IFERROR(__xludf.DUMMYFUNCTION("googletranslate(E4496,""en"",""ja"")"),"生物学的標本中の対称ジメチルアルギニンの測定。")</f>
        <v>生物学的標本中の対称ジメチルアルギニンの測定。</v>
      </c>
      <c r="I4496" s="3" t="str">
        <f ca="1">IFERROR(__xludf.DUMMYFUNCTION("googletranslate(F4496,""en"",""ja"")"),"対称ジメチルアルギニン測定")</f>
        <v>対称ジメチルアルギニン測定</v>
      </c>
    </row>
    <row r="4497" spans="1:9" ht="45">
      <c r="A4497" s="3" t="s">
        <v>159</v>
      </c>
      <c r="B4497" s="3" t="s">
        <v>18486</v>
      </c>
      <c r="C4497" s="3" t="s">
        <v>18487</v>
      </c>
      <c r="D4497" s="3" t="s">
        <v>18487</v>
      </c>
      <c r="E4497" s="3" t="s">
        <v>18488</v>
      </c>
      <c r="F4497" s="3" t="s">
        <v>18487</v>
      </c>
      <c r="G4497" s="3" t="str">
        <f ca="1">IFERROR(__xludf.DUMMYFUNCTION("googletranslate(D4497,""en"",""ja"")"),"睡眠効率")</f>
        <v>睡眠効率</v>
      </c>
      <c r="H4497" s="3" t="str">
        <f ca="1">IFERROR(__xludf.DUMMYFUNCTION("googletranslate(E4497,""en"",""ja"")"),"ベッドで費やした合計時間に対する合計睡眠時間 (N1 睡眠 + N2 睡眠 + N3 睡眠 + レム睡眠) の相対測定値 (パーセンテージ)。")</f>
        <v>ベッドで費やした合計時間に対する合計睡眠時間 (N1 睡眠 + N2 睡眠 + N3 睡眠 + レム睡眠) の相対測定値 (パーセンテージ)。</v>
      </c>
      <c r="I4497" s="3" t="str">
        <f ca="1">IFERROR(__xludf.DUMMYFUNCTION("googletranslate(F4497,""en"",""ja"")"),"睡眠効率")</f>
        <v>睡眠効率</v>
      </c>
    </row>
    <row r="4498" spans="1:9">
      <c r="A4498" s="3" t="s">
        <v>6</v>
      </c>
      <c r="B4498" s="3" t="s">
        <v>18486</v>
      </c>
      <c r="C4498" s="3" t="s">
        <v>18489</v>
      </c>
      <c r="D4498" s="3" t="s">
        <v>18489</v>
      </c>
      <c r="E4498" s="3" t="s">
        <v>18490</v>
      </c>
      <c r="F4498" s="3" t="s">
        <v>18491</v>
      </c>
      <c r="G4498" s="3" t="str">
        <f ca="1">IFERROR(__xludf.DUMMYFUNCTION("googletranslate(D4498,""en"",""ja"")"),"セレン")</f>
        <v>セレン</v>
      </c>
      <c r="H4498" s="3" t="str">
        <f ca="1">IFERROR(__xludf.DUMMYFUNCTION("googletranslate(E4498,""en"",""ja"")"),"試料中のセレンの測定。")</f>
        <v>試料中のセレンの測定。</v>
      </c>
      <c r="I4498" s="3" t="str">
        <f ca="1">IFERROR(__xludf.DUMMYFUNCTION("googletranslate(F4498,""en"",""ja"")"),"セレン測定")</f>
        <v>セレン測定</v>
      </c>
    </row>
    <row r="4499" spans="1:9">
      <c r="A4499" s="3" t="s">
        <v>51</v>
      </c>
      <c r="B4499" s="3" t="s">
        <v>18486</v>
      </c>
      <c r="C4499" s="3" t="s">
        <v>18489</v>
      </c>
      <c r="D4499" s="3" t="s">
        <v>18489</v>
      </c>
      <c r="E4499" s="3" t="s">
        <v>18490</v>
      </c>
      <c r="F4499" s="3" t="s">
        <v>18491</v>
      </c>
      <c r="G4499" s="3" t="str">
        <f ca="1">IFERROR(__xludf.DUMMYFUNCTION("googletranslate(D4499,""en"",""ja"")"),"セレン")</f>
        <v>セレン</v>
      </c>
      <c r="H4499" s="3" t="str">
        <f ca="1">IFERROR(__xludf.DUMMYFUNCTION("googletranslate(E4499,""en"",""ja"")"),"試料中のセレンの測定。")</f>
        <v>試料中のセレンの測定。</v>
      </c>
      <c r="I4499" s="3" t="str">
        <f ca="1">IFERROR(__xludf.DUMMYFUNCTION("googletranslate(F4499,""en"",""ja"")"),"セレン測定")</f>
        <v>セレン測定</v>
      </c>
    </row>
    <row r="4500" spans="1:9" ht="30">
      <c r="A4500" s="3" t="s">
        <v>6</v>
      </c>
      <c r="B4500" s="3" t="s">
        <v>18492</v>
      </c>
      <c r="C4500" s="3" t="s">
        <v>18493</v>
      </c>
      <c r="D4500" s="3" t="s">
        <v>18493</v>
      </c>
      <c r="E4500" s="3" t="s">
        <v>18494</v>
      </c>
      <c r="F4500" s="3" t="s">
        <v>18495</v>
      </c>
      <c r="G4500" s="3" t="str">
        <f ca="1">IFERROR(__xludf.DUMMYFUNCTION("googletranslate(D4500,""en"",""ja"")"),"セクレチン")</f>
        <v>セクレチン</v>
      </c>
      <c r="H4500" s="3" t="str">
        <f ca="1">IFERROR(__xludf.DUMMYFUNCTION("googletranslate(E4500,""en"",""ja"")"),"生物学的標本中のセクレチン ホルモンの測定。")</f>
        <v>生物学的標本中のセクレチン ホルモンの測定。</v>
      </c>
      <c r="I4500" s="3" t="str">
        <f ca="1">IFERROR(__xludf.DUMMYFUNCTION("googletranslate(F4500,""en"",""ja"")"),"セクレチン測定")</f>
        <v>セクレチン測定</v>
      </c>
    </row>
    <row r="4501" spans="1:9" ht="45">
      <c r="A4501" s="3" t="s">
        <v>6</v>
      </c>
      <c r="B4501" s="3" t="s">
        <v>18496</v>
      </c>
      <c r="C4501" s="3" t="s">
        <v>18497</v>
      </c>
      <c r="D4501" s="3" t="s">
        <v>18498</v>
      </c>
      <c r="E4501" s="3" t="s">
        <v>18499</v>
      </c>
      <c r="F4501" s="3" t="s">
        <v>18500</v>
      </c>
      <c r="G4501" s="3" t="str">
        <f ca="1">IFERROR(__xludf.DUMMYFUNCTION("googletranslate(D4501,""en"",""ja"")"),"顕微鏡による沈殿物分析;堆積物分析;底質検査")</f>
        <v>顕微鏡による沈殿物分析;堆積物分析;底質検査</v>
      </c>
      <c r="H4501" s="3" t="str">
        <f ca="1">IFERROR(__xludf.DUMMYFUNCTION("googletranslate(E4501,""en"",""ja"")"),"生物学的標本中の沈殿物の観察、評価、または検査。")</f>
        <v>生物学的標本中の沈殿物の観察、評価、または検査。</v>
      </c>
      <c r="I4501" s="3" t="str">
        <f ca="1">IFERROR(__xludf.DUMMYFUNCTION("googletranslate(F4501,""en"",""ja"")"),"堆積物分析")</f>
        <v>堆積物分析</v>
      </c>
    </row>
    <row r="4502" spans="1:9" ht="30">
      <c r="A4502" s="3" t="s">
        <v>67</v>
      </c>
      <c r="B4502" s="3" t="s">
        <v>18501</v>
      </c>
      <c r="C4502" s="3" t="s">
        <v>18502</v>
      </c>
      <c r="D4502" s="3" t="s">
        <v>18502</v>
      </c>
      <c r="E4502" s="3" t="s">
        <v>18503</v>
      </c>
      <c r="F4502" s="3" t="s">
        <v>18504</v>
      </c>
      <c r="G4502" s="3" t="str">
        <f ca="1">IFERROR(__xludf.DUMMYFUNCTION("googletranslate(D4502,""en"",""ja"")"),"サルモネラ・エンテリカ")</f>
        <v>サルモネラ・エンテリカ</v>
      </c>
      <c r="H4502" s="3" t="str">
        <f ca="1">IFERROR(__xludf.DUMMYFUNCTION("googletranslate(E4502,""en"",""ja"")"),"生物学的標本中のサルモネラ・エンテリカの測定。")</f>
        <v>生物学的標本中のサルモネラ・エンテリカの測定。</v>
      </c>
      <c r="I4502" s="3" t="str">
        <f ca="1">IFERROR(__xludf.DUMMYFUNCTION("googletranslate(F4502,""en"",""ja"")"),"サルモネラ・エンテリカの測定")</f>
        <v>サルモネラ・エンテリカの測定</v>
      </c>
    </row>
    <row r="4503" spans="1:9" ht="45">
      <c r="A4503" s="3" t="s">
        <v>67</v>
      </c>
      <c r="B4503" s="3" t="s">
        <v>18505</v>
      </c>
      <c r="C4503" s="3" t="s">
        <v>18506</v>
      </c>
      <c r="D4503" s="3" t="s">
        <v>18506</v>
      </c>
      <c r="E4503" s="3" t="s">
        <v>18507</v>
      </c>
      <c r="F4503" s="3" t="s">
        <v>18508</v>
      </c>
      <c r="G4503" s="3" t="str">
        <f ca="1">IFERROR(__xludf.DUMMYFUNCTION("googletranslate(D4503,""en"",""ja"")"),"サルモネラ・エンテリカ/ボンゴリ DNA")</f>
        <v>サルモネラ・エンテリカ/ボンゴリ DNA</v>
      </c>
      <c r="H4503" s="3" t="str">
        <f ca="1">IFERROR(__xludf.DUMMYFUNCTION("googletranslate(E4503,""en"",""ja"")"),"生物学的標本中のサルモネラ・エンテリカおよび/またはサルモネラ・ボンゴリ DNA の測定。")</f>
        <v>生物学的標本中のサルモネラ・エンテリカおよび/またはサルモネラ・ボンゴリ DNA の測定。</v>
      </c>
      <c r="I4503" s="3" t="str">
        <f ca="1">IFERROR(__xludf.DUMMYFUNCTION("googletranslate(F4503,""en"",""ja"")"),"Salmonella enterica および/または Salmonella bongori DNA 測定")</f>
        <v>Salmonella enterica および/または Salmonella bongori DNA 測定</v>
      </c>
    </row>
    <row r="4504" spans="1:9" ht="30">
      <c r="A4504" s="3" t="s">
        <v>67</v>
      </c>
      <c r="B4504" s="3" t="s">
        <v>18509</v>
      </c>
      <c r="C4504" s="3" t="s">
        <v>18510</v>
      </c>
      <c r="D4504" s="3" t="s">
        <v>18510</v>
      </c>
      <c r="E4504" s="3" t="s">
        <v>18511</v>
      </c>
      <c r="F4504" s="3" t="s">
        <v>18512</v>
      </c>
      <c r="G4504" s="3" t="str">
        <f ca="1">IFERROR(__xludf.DUMMYFUNCTION("googletranslate(D4504,""en"",""ja"")"),"表皮ブドウ球菌")</f>
        <v>表皮ブドウ球菌</v>
      </c>
      <c r="H4504" s="3" t="str">
        <f ca="1">IFERROR(__xludf.DUMMYFUNCTION("googletranslate(E4504,""en"",""ja"")"),"生物学的標本中の表皮ブドウ球菌の測定。")</f>
        <v>生物学的標本中の表皮ブドウ球菌の測定。</v>
      </c>
      <c r="I4504" s="3" t="str">
        <f ca="1">IFERROR(__xludf.DUMMYFUNCTION("googletranslate(F4504,""en"",""ja"")"),"表皮ブドウ球菌の測定")</f>
        <v>表皮ブドウ球菌の測定</v>
      </c>
    </row>
    <row r="4505" spans="1:9" ht="45">
      <c r="A4505" s="3" t="s">
        <v>5065</v>
      </c>
      <c r="B4505" s="3" t="s">
        <v>18513</v>
      </c>
      <c r="C4505" s="3" t="s">
        <v>18514</v>
      </c>
      <c r="D4505" s="3" t="s">
        <v>18514</v>
      </c>
      <c r="E4505" s="3" t="s">
        <v>18515</v>
      </c>
      <c r="F4505" s="3" t="s">
        <v>18514</v>
      </c>
      <c r="G4505" s="3" t="str">
        <f ca="1">IFERROR(__xludf.DUMMYFUNCTION("googletranslate(D4505,""en"",""ja"")"),"配列の再構成")</f>
        <v>配列の再構成</v>
      </c>
      <c r="H4505" s="3" t="str">
        <f ca="1">IFERROR(__xludf.DUMMYFUNCTION("googletranslate(E4505,""en"",""ja"")"),"核酸の獲得、喪失、逆転、または転座を引き起こす、核酸配列に影響を与えるプロセスの産物。")</f>
        <v>核酸の獲得、喪失、逆転、または転座を引き起こす、核酸配列に影響を与えるプロセスの産物。</v>
      </c>
      <c r="I4505" s="3" t="str">
        <f ca="1">IFERROR(__xludf.DUMMYFUNCTION("googletranslate(F4505,""en"",""ja"")"),"配列の再構成")</f>
        <v>配列の再構成</v>
      </c>
    </row>
    <row r="4506" spans="1:9">
      <c r="A4506" s="3" t="s">
        <v>6</v>
      </c>
      <c r="B4506" s="3" t="s">
        <v>18516</v>
      </c>
      <c r="C4506" s="3" t="s">
        <v>18517</v>
      </c>
      <c r="D4506" s="3" t="s">
        <v>18517</v>
      </c>
      <c r="E4506" s="3" t="s">
        <v>18518</v>
      </c>
      <c r="F4506" s="3" t="s">
        <v>18519</v>
      </c>
      <c r="G4506" s="3" t="str">
        <f ca="1">IFERROR(__xludf.DUMMYFUNCTION("googletranslate(D4506,""en"",""ja"")"),"セリーヌ")</f>
        <v>セリーヌ</v>
      </c>
      <c r="H4506" s="3" t="str">
        <f ca="1">IFERROR(__xludf.DUMMYFUNCTION("googletranslate(E4506,""en"",""ja"")"),"生物学的標本中のセリンの測定。")</f>
        <v>生物学的標本中のセリンの測定。</v>
      </c>
      <c r="I4506" s="3" t="str">
        <f ca="1">IFERROR(__xludf.DUMMYFUNCTION("googletranslate(F4506,""en"",""ja"")"),"セリン測定")</f>
        <v>セリン測定</v>
      </c>
    </row>
    <row r="4507" spans="1:9" ht="45">
      <c r="A4507" s="3" t="s">
        <v>67</v>
      </c>
      <c r="B4507" s="3" t="s">
        <v>18520</v>
      </c>
      <c r="C4507" s="3" t="s">
        <v>18521</v>
      </c>
      <c r="D4507" s="3" t="s">
        <v>18521</v>
      </c>
      <c r="E4507" s="3" t="s">
        <v>18522</v>
      </c>
      <c r="F4507" s="3" t="s">
        <v>18523</v>
      </c>
      <c r="G4507" s="3" t="str">
        <f ca="1">IFERROR(__xludf.DUMMYFUNCTION("googletranslate(D4507,""en"",""ja"")"),"セラチア")</f>
        <v>セラチア</v>
      </c>
      <c r="H4507" s="3" t="str">
        <f ca="1">IFERROR(__xludf.DUMMYFUNCTION("googletranslate(E4507,""en"",""ja"")"),"生物学的標本において、種レベルには割り当てられていないが、セラチア属レベルに割り当てられている生物の測定値。")</f>
        <v>生物学的標本において、種レベルには割り当てられていないが、セラチア属レベルに割り当てられている生物の測定値。</v>
      </c>
      <c r="I4507" s="3" t="str">
        <f ca="1">IFERROR(__xludf.DUMMYFUNCTION("googletranslate(F4507,""en"",""ja"")"),"セラチア測定")</f>
        <v>セラチア測定</v>
      </c>
    </row>
    <row r="4508" spans="1:9" ht="30">
      <c r="A4508" s="3" t="s">
        <v>6</v>
      </c>
      <c r="B4508" s="3" t="s">
        <v>18524</v>
      </c>
      <c r="C4508" s="3" t="s">
        <v>18525</v>
      </c>
      <c r="D4508" s="3" t="s">
        <v>18525</v>
      </c>
      <c r="E4508" s="3" t="s">
        <v>18526</v>
      </c>
      <c r="F4508" s="3" t="s">
        <v>18527</v>
      </c>
      <c r="G4508" s="3" t="str">
        <f ca="1">IFERROR(__xludf.DUMMYFUNCTION("googletranslate(D4508,""en"",""ja"")"),"セルトラリン")</f>
        <v>セルトラリン</v>
      </c>
      <c r="H4508" s="3" t="str">
        <f ca="1">IFERROR(__xludf.DUMMYFUNCTION("googletranslate(E4508,""en"",""ja"")"),"生物学的標本中に存在するセルトラリンの測定。")</f>
        <v>生物学的標本中に存在するセルトラリンの測定。</v>
      </c>
      <c r="I4508" s="3" t="str">
        <f ca="1">IFERROR(__xludf.DUMMYFUNCTION("googletranslate(F4508,""en"",""ja"")"),"セルトラリンの測定")</f>
        <v>セルトラリンの測定</v>
      </c>
    </row>
    <row r="4509" spans="1:9">
      <c r="A4509" s="3" t="s">
        <v>6</v>
      </c>
      <c r="B4509" s="3" t="s">
        <v>18528</v>
      </c>
      <c r="C4509" s="3" t="s">
        <v>18529</v>
      </c>
      <c r="D4509" s="3" t="s">
        <v>18529</v>
      </c>
      <c r="E4509" s="3" t="s">
        <v>18530</v>
      </c>
      <c r="F4509" s="3" t="s">
        <v>18531</v>
      </c>
      <c r="G4509" s="3" t="str">
        <f ca="1">IFERROR(__xludf.DUMMYFUNCTION("googletranslate(D4509,""en"",""ja"")"),"ノーサートラリン")</f>
        <v>ノーサートラリン</v>
      </c>
      <c r="H4509" s="3" t="str">
        <f ca="1">IFERROR(__xludf.DUMMYFUNCTION("googletranslate(E4509,""en"",""ja"")"),"生物学的標本中のノルセルトラリンの測定。")</f>
        <v>生物学的標本中のノルセルトラリンの測定。</v>
      </c>
      <c r="I4509" s="3" t="str">
        <f ca="1">IFERROR(__xludf.DUMMYFUNCTION("googletranslate(F4509,""en"",""ja"")"),"ノーサートラライン測定")</f>
        <v>ノーサートラライン測定</v>
      </c>
    </row>
    <row r="4510" spans="1:9" ht="45">
      <c r="A4510" s="3" t="s">
        <v>503</v>
      </c>
      <c r="B4510" s="3" t="s">
        <v>18532</v>
      </c>
      <c r="C4510" s="3" t="s">
        <v>18533</v>
      </c>
      <c r="D4510" s="3" t="s">
        <v>18533</v>
      </c>
      <c r="E4510" s="3" t="s">
        <v>18534</v>
      </c>
      <c r="F4510" s="3" t="s">
        <v>18535</v>
      </c>
      <c r="G4510" s="3" t="str">
        <f ca="1">IFERROR(__xludf.DUMMYFUNCTION("googletranslate(D4510,""en"",""ja"")"),"連絡先の設定")</f>
        <v>連絡先の設定</v>
      </c>
      <c r="H4510" s="3" t="str">
        <f ca="1">IFERROR(__xludf.DUMMYFUNCTION("googletranslate(E4510,""en"",""ja"")"),"その人が病気の保因者と接触した、または病気の保因者の役割を果たした可能性のある環境。")</f>
        <v>その人が病気の保因者と接触した、または病気の保因者の役割を果たした可能性のある環境。</v>
      </c>
      <c r="I4510" s="3" t="str">
        <f ca="1">IFERROR(__xludf.DUMMYFUNCTION("googletranslate(F4510,""en"",""ja"")"),"疾病連絡先の設定")</f>
        <v>疾病連絡先の設定</v>
      </c>
    </row>
    <row r="4511" spans="1:9">
      <c r="A4511" s="3" t="s">
        <v>185</v>
      </c>
      <c r="B4511" s="3" t="s">
        <v>18536</v>
      </c>
      <c r="C4511" s="3" t="s">
        <v>18537</v>
      </c>
      <c r="D4511" s="3" t="s">
        <v>18537</v>
      </c>
      <c r="E4511" s="3" t="s">
        <v>18538</v>
      </c>
      <c r="F4511" s="3" t="s">
        <v>18539</v>
      </c>
      <c r="G4511" s="3" t="str">
        <f ca="1">IFERROR(__xludf.DUMMYFUNCTION("googletranslate(D4511,""en"",""ja"")"),"重症度/強度")</f>
        <v>重症度/強度</v>
      </c>
      <c r="H4511" s="3" t="str">
        <f ca="1">IFERROR(__xludf.DUMMYFUNCTION("googletranslate(E4511,""en"",""ja"")"),"何か望ましくないことの程度。")</f>
        <v>何か望ましくないことの程度。</v>
      </c>
      <c r="I4511" s="3" t="str">
        <f ca="1">IFERROR(__xludf.DUMMYFUNCTION("googletranslate(F4511,""en"",""ja"")"),"重大度")</f>
        <v>重大度</v>
      </c>
    </row>
    <row r="4512" spans="1:9" ht="30">
      <c r="A4512" s="3" t="s">
        <v>142</v>
      </c>
      <c r="B4512" s="3" t="s">
        <v>18540</v>
      </c>
      <c r="C4512" s="3" t="s">
        <v>18541</v>
      </c>
      <c r="D4512" s="3" t="s">
        <v>18541</v>
      </c>
      <c r="E4512" s="3" t="s">
        <v>18542</v>
      </c>
      <c r="F4512" s="3" t="s">
        <v>18541</v>
      </c>
      <c r="G4512" s="3" t="str">
        <f ca="1">IFERROR(__xludf.DUMMYFUNCTION("googletranslate(D4512,""en"",""ja"")"),"性的禁欲の期間")</f>
        <v>性的禁欲の期間</v>
      </c>
      <c r="H4512" s="3" t="str">
        <f ca="1">IFERROR(__xludf.DUMMYFUNCTION("googletranslate(E4512,""en"",""ja"")"),"個人が性行為を控えた期間。")</f>
        <v>個人が性行為を控えた期間。</v>
      </c>
      <c r="I4512" s="3" t="str">
        <f ca="1">IFERROR(__xludf.DUMMYFUNCTION("googletranslate(F4512,""en"",""ja"")"),"性的禁欲の期間")</f>
        <v>性的禁欲の期間</v>
      </c>
    </row>
    <row r="4513" spans="1:9" ht="105">
      <c r="A4513" s="3" t="s">
        <v>503</v>
      </c>
      <c r="B4513" s="3" t="s">
        <v>18543</v>
      </c>
      <c r="C4513" s="3" t="s">
        <v>18544</v>
      </c>
      <c r="D4513" s="3" t="s">
        <v>18544</v>
      </c>
      <c r="E4513" s="3" t="s">
        <v>18545</v>
      </c>
      <c r="F4513" s="3" t="s">
        <v>18544</v>
      </c>
      <c r="G4513" s="3" t="str">
        <f ca="1">IFERROR(__xludf.DUMMYFUNCTION("googletranslate(D4513,""en"",""ja"")"),"出生時に割り当てられた性別")</f>
        <v>出生時に割り当てられた性別</v>
      </c>
      <c r="H4513" s="3" t="str">
        <f ca="1">IFERROR(__xludf.DUMMYFUNCTION("googletranslate(E4513,""en"",""ja"")"),"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f>
        <v>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v>
      </c>
      <c r="I4513" s="3" t="str">
        <f ca="1">IFERROR(__xludf.DUMMYFUNCTION("googletranslate(F4513,""en"",""ja"")"),"出生時に割り当てられた性別")</f>
        <v>出生時に割り当てられた性別</v>
      </c>
    </row>
    <row r="4514" spans="1:9" ht="30">
      <c r="A4514" s="3" t="s">
        <v>503</v>
      </c>
      <c r="B4514" s="3" t="s">
        <v>18546</v>
      </c>
      <c r="C4514" s="3" t="s">
        <v>18547</v>
      </c>
      <c r="D4514" s="3" t="s">
        <v>18547</v>
      </c>
      <c r="E4514" s="3" t="s">
        <v>18548</v>
      </c>
      <c r="F4514" s="3" t="s">
        <v>18547</v>
      </c>
      <c r="G4514" s="3" t="str">
        <f ca="1">IFERROR(__xludf.DUMMYFUNCTION("googletranslate(D4514,""en"",""ja"")"),"性的指向")</f>
        <v>性的指向</v>
      </c>
      <c r="H4514" s="3" t="str">
        <f ca="1">IFERROR(__xludf.DUMMYFUNCTION("googletranslate(E4514,""en"",""ja"")"),"人の感情的、ロマンチック、および/または性的魅力のパターン。")</f>
        <v>人の感情的、ロマンチック、および/または性的魅力のパターン。</v>
      </c>
      <c r="I4514" s="3" t="str">
        <f ca="1">IFERROR(__xludf.DUMMYFUNCTION("googletranslate(F4514,""en"",""ja"")"),"性的指向")</f>
        <v>性的指向</v>
      </c>
    </row>
    <row r="4515" spans="1:9" ht="30">
      <c r="A4515" s="3" t="s">
        <v>6</v>
      </c>
      <c r="B4515" s="3" t="s">
        <v>18549</v>
      </c>
      <c r="C4515" s="3" t="s">
        <v>18550</v>
      </c>
      <c r="D4515" s="3" t="s">
        <v>18550</v>
      </c>
      <c r="E4515" s="3" t="s">
        <v>18551</v>
      </c>
      <c r="F4515" s="3" t="s">
        <v>18552</v>
      </c>
      <c r="G4515" s="3" t="str">
        <f ca="1">IFERROR(__xludf.DUMMYFUNCTION("googletranslate(D4515,""en"",""ja"")"),"セザリー細胞")</f>
        <v>セザリー細胞</v>
      </c>
      <c r="H4515" s="3" t="str">
        <f ca="1">IFERROR(__xludf.DUMMYFUNCTION("googletranslate(E4515,""en"",""ja"")"),"生物学的標本中のセザリー細胞 (脳様核を持つ異型リンパ球) の測定。")</f>
        <v>生物学的標本中のセザリー細胞 (脳様核を持つ異型リンパ球) の測定。</v>
      </c>
      <c r="I4515" s="3" t="str">
        <f ca="1">IFERROR(__xludf.DUMMYFUNCTION("googletranslate(F4515,""en"",""ja"")"),"セザリー細胞数")</f>
        <v>セザリー細胞数</v>
      </c>
    </row>
    <row r="4516" spans="1:9" ht="45">
      <c r="A4516" s="3" t="s">
        <v>6</v>
      </c>
      <c r="B4516" s="3" t="s">
        <v>18553</v>
      </c>
      <c r="C4516" s="3" t="s">
        <v>18554</v>
      </c>
      <c r="D4516" s="3" t="s">
        <v>18554</v>
      </c>
      <c r="E4516" s="3" t="s">
        <v>18555</v>
      </c>
      <c r="F4516" s="3" t="s">
        <v>18556</v>
      </c>
      <c r="G4516" s="3" t="str">
        <f ca="1">IFERROR(__xludf.DUMMYFUNCTION("googletranslate(D4516,""en"",""ja"")"),"セザリー細胞/白血球")</f>
        <v>セザリー細胞/白血球</v>
      </c>
      <c r="H4516" s="3" t="str">
        <f ca="1">IFERROR(__xludf.DUMMYFUNCTION("googletranslate(E4516,""en"",""ja"")"),"生物学的標本中のすべての白血球に対するセザリー細胞の相対測定値 (比率またはパーセンテージ)。")</f>
        <v>生物学的標本中のすべての白血球に対するセザリー細胞の相対測定値 (比率またはパーセンテージ)。</v>
      </c>
      <c r="I4516" s="3" t="str">
        <f ca="1">IFERROR(__xludf.DUMMYFUNCTION("googletranslate(F4516,""en"",""ja"")"),"セザリー細胞と白血球の比率の測定")</f>
        <v>セザリー細胞と白血球の比率の測定</v>
      </c>
    </row>
    <row r="4517" spans="1:9" ht="45">
      <c r="A4517" s="3" t="s">
        <v>6</v>
      </c>
      <c r="B4517" s="3" t="s">
        <v>18557</v>
      </c>
      <c r="C4517" s="3" t="s">
        <v>18558</v>
      </c>
      <c r="D4517" s="3" t="s">
        <v>18558</v>
      </c>
      <c r="E4517" s="3" t="s">
        <v>18559</v>
      </c>
      <c r="F4517" s="3" t="s">
        <v>18560</v>
      </c>
      <c r="G4517" s="3" t="str">
        <f ca="1">IFERROR(__xludf.DUMMYFUNCTION("googletranslate(D4517,""en"",""ja"")"),"セザリー細胞/リンパ球")</f>
        <v>セザリー細胞/リンパ球</v>
      </c>
      <c r="H4517" s="3" t="str">
        <f ca="1">IFERROR(__xludf.DUMMYFUNCTION("googletranslate(E4517,""en"",""ja"")"),"相対測定値 (生物学的標本中のすべてのリンパ球に対するセザリー細胞 (脳様核を持つ異型リンパ球) の比率またはパーセンテージ)。")</f>
        <v>相対測定値 (生物学的標本中のすべてのリンパ球に対するセザリー細胞 (脳様核を持つ異型リンパ球) の比率またはパーセンテージ)。</v>
      </c>
      <c r="I4517" s="3" t="str">
        <f ca="1">IFERROR(__xludf.DUMMYFUNCTION("googletranslate(F4517,""en"",""ja"")"),"セザリー細胞とリンパ球の比率の測定")</f>
        <v>セザリー細胞とリンパ球の比率の測定</v>
      </c>
    </row>
    <row r="4518" spans="1:9" ht="30">
      <c r="A4518" s="3" t="s">
        <v>6</v>
      </c>
      <c r="B4518" s="3" t="s">
        <v>18561</v>
      </c>
      <c r="C4518" s="3" t="s">
        <v>18562</v>
      </c>
      <c r="D4518" s="3" t="s">
        <v>18563</v>
      </c>
      <c r="E4518" s="3" t="s">
        <v>18564</v>
      </c>
      <c r="F4518" s="3" t="s">
        <v>18565</v>
      </c>
      <c r="G4518" s="3" t="str">
        <f ca="1">IFERROR(__xludf.DUMMYFUNCTION("googletranslate(D4518,""en"",""ja"")"),"SP-D;界面活性剤プロテインD")</f>
        <v>SP-D;界面活性剤プロテインD</v>
      </c>
      <c r="H4518" s="3" t="str">
        <f ca="1">IFERROR(__xludf.DUMMYFUNCTION("googletranslate(E4518,""en"",""ja"")"),"生物学的標本中の界面活性剤プロテイン D の測定。")</f>
        <v>生物学的標本中の界面活性剤プロテイン D の測定。</v>
      </c>
      <c r="I4518" s="3" t="str">
        <f ca="1">IFERROR(__xludf.DUMMYFUNCTION("googletranslate(F4518,""en"",""ja"")"),"界面活性剤プロテインDの測定")</f>
        <v>界面活性剤プロテインDの測定</v>
      </c>
    </row>
    <row r="4519" spans="1:9">
      <c r="A4519" s="3" t="s">
        <v>2904</v>
      </c>
      <c r="B4519" s="3" t="s">
        <v>18566</v>
      </c>
      <c r="C4519" s="3" t="s">
        <v>18567</v>
      </c>
      <c r="D4519" s="3" t="s">
        <v>18567</v>
      </c>
      <c r="E4519" s="3" t="s">
        <v>18568</v>
      </c>
      <c r="F4519" s="3" t="s">
        <v>18567</v>
      </c>
      <c r="G4519" s="3" t="str">
        <f ca="1">IFERROR(__xludf.DUMMYFUNCTION("googletranslate(D4519,""en"",""ja"")"),"ソフトウェア名")</f>
        <v>ソフトウェア名</v>
      </c>
      <c r="H4519" s="3" t="str">
        <f ca="1">IFERROR(__xludf.DUMMYFUNCTION("googletranslate(E4519,""en"",""ja"")"),"ソフトウェア プログラムのリテラル識別子。")</f>
        <v>ソフトウェア プログラムのリテラル識別子。</v>
      </c>
      <c r="I4519" s="3" t="str">
        <f ca="1">IFERROR(__xludf.DUMMYFUNCTION("googletranslate(F4519,""en"",""ja"")"),"ソフトウェア名")</f>
        <v>ソフトウェア名</v>
      </c>
    </row>
    <row r="4520" spans="1:9" ht="45">
      <c r="A4520" s="3" t="s">
        <v>1255</v>
      </c>
      <c r="B4520" s="3" t="s">
        <v>18569</v>
      </c>
      <c r="C4520" s="3" t="s">
        <v>18570</v>
      </c>
      <c r="D4520" s="3" t="s">
        <v>18570</v>
      </c>
      <c r="E4520" s="3" t="s">
        <v>18571</v>
      </c>
      <c r="F4520" s="3" t="s">
        <v>18570</v>
      </c>
      <c r="G4520" s="3" t="str">
        <f ca="1">IFERROR(__xludf.DUMMYFUNCTION("googletranslate(D4520,""en"",""ja"")"),"ソフトウェアバージョン")</f>
        <v>ソフトウェアバージョン</v>
      </c>
      <c r="H4520" s="3" t="str">
        <f ca="1">IFERROR(__xludf.DUMMYFUNCTION("googletranslate(E4520,""en"",""ja"")"),"ソフトウェアの形式または変種。ソフトウェア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520" s="3" t="str">
        <f ca="1">IFERROR(__xludf.DUMMYFUNCTION("googletranslate(F4520,""en"",""ja"")"),"ソフトウェアバージョン")</f>
        <v>ソフトウェアバージョン</v>
      </c>
    </row>
    <row r="4521" spans="1:9" ht="45">
      <c r="A4521" s="3" t="s">
        <v>2904</v>
      </c>
      <c r="B4521" s="3" t="s">
        <v>18569</v>
      </c>
      <c r="C4521" s="3" t="s">
        <v>18570</v>
      </c>
      <c r="D4521" s="3" t="s">
        <v>18570</v>
      </c>
      <c r="E4521" s="3" t="s">
        <v>18571</v>
      </c>
      <c r="F4521" s="3" t="s">
        <v>18570</v>
      </c>
      <c r="G4521" s="3" t="str">
        <f ca="1">IFERROR(__xludf.DUMMYFUNCTION("googletranslate(D4521,""en"",""ja"")"),"ソフトウェアバージョン")</f>
        <v>ソフトウェアバージョン</v>
      </c>
      <c r="H4521" s="3" t="str">
        <f ca="1">IFERROR(__xludf.DUMMYFUNCTION("googletranslate(E4521,""en"",""ja"")"),"ソフトウェアの形式または変種。ソフトウェア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521" s="3" t="str">
        <f ca="1">IFERROR(__xludf.DUMMYFUNCTION("googletranslate(F4521,""en"",""ja"")"),"ソフトウェアバージョン")</f>
        <v>ソフトウェアバージョン</v>
      </c>
    </row>
    <row r="4522" spans="1:9" ht="30">
      <c r="A4522" s="3" t="s">
        <v>490</v>
      </c>
      <c r="B4522" s="3" t="s">
        <v>18572</v>
      </c>
      <c r="C4522" s="3" t="s">
        <v>18573</v>
      </c>
      <c r="D4522" s="3" t="s">
        <v>18573</v>
      </c>
      <c r="E4522" s="3" t="s">
        <v>18574</v>
      </c>
      <c r="F4522" s="3" t="s">
        <v>18573</v>
      </c>
      <c r="G4522" s="3" t="str">
        <f ca="1">IFERROR(__xludf.DUMMYFUNCTION("googletranslate(D4522,""en"",""ja"")"),"比気道コンダクタンス")</f>
        <v>比気道コンダクタンス</v>
      </c>
      <c r="H4522" s="3" t="str">
        <f ca="1">IFERROR(__xludf.DUMMYFUNCTION("googletranslate(E4522,""en"",""ja"")"),"肺容積に対する気道コンダクタンスの測定値。 (NCI)")</f>
        <v>肺容積に対する気道コンダクタンスの測定値。 (NCI)</v>
      </c>
      <c r="I4522" s="3" t="str">
        <f ca="1">IFERROR(__xludf.DUMMYFUNCTION("googletranslate(F4522,""en"",""ja"")"),"比気道コンダクタンス")</f>
        <v>比気道コンダクタンス</v>
      </c>
    </row>
    <row r="4523" spans="1:9" ht="30">
      <c r="A4523" s="3" t="s">
        <v>81</v>
      </c>
      <c r="B4523" s="3" t="s">
        <v>18575</v>
      </c>
      <c r="C4523" s="3" t="s">
        <v>18576</v>
      </c>
      <c r="D4523" s="3" t="s">
        <v>18576</v>
      </c>
      <c r="E4523" s="3" t="s">
        <v>18577</v>
      </c>
      <c r="F4523" s="3" t="s">
        <v>18576</v>
      </c>
      <c r="G4523" s="3" t="str">
        <f ca="1">IFERROR(__xludf.DUMMYFUNCTION("googletranslate(D4523,""en"",""ja"")"),"部分的な後期ガドリニウム強化")</f>
        <v>部分的な後期ガドリニウム強化</v>
      </c>
      <c r="H4523" s="3" t="str">
        <f ca="1">IFERROR(__xludf.DUMMYFUNCTION("googletranslate(E4523,""en"",""ja"")"),"後期ガドリニウム増強の特徴を示すセグメントの同定。")</f>
        <v>後期ガドリニウム増強の特徴を示すセグメントの同定。</v>
      </c>
      <c r="I4523" s="3" t="str">
        <f ca="1">IFERROR(__xludf.DUMMYFUNCTION("googletranslate(F4523,""en"",""ja"")"),"部分的な後期ガドリニウム強化")</f>
        <v>部分的な後期ガドリニウム強化</v>
      </c>
    </row>
    <row r="4524" spans="1:9" ht="75">
      <c r="A4524" s="3" t="s">
        <v>6</v>
      </c>
      <c r="B4524" s="3" t="s">
        <v>18578</v>
      </c>
      <c r="C4524" s="3" t="s">
        <v>18579</v>
      </c>
      <c r="D4524" s="3" t="s">
        <v>18580</v>
      </c>
      <c r="E4524" s="3" t="s">
        <v>18581</v>
      </c>
      <c r="F4524" s="3" t="s">
        <v>18582</v>
      </c>
      <c r="G4524" s="3" t="str">
        <f ca="1">IFERROR(__xludf.DUMMYFUNCTION("googletranslate(D4524,""en"",""ja"")"),"DSHP;ダンカン病 SH2 タンパク質; EBVS; IMD5; LYP; MTCP1; SAP; SAP/SH2D1A; 1A タンパク質を含む SH2 ドメイン; XLP; XLPD; XLPD1")</f>
        <v>DSHP;ダンカン病 SH2 タンパク質; EBVS; IMD5; LYP; MTCP1; SAP; SAP/SH2D1A; 1A タンパク質を含む SH2 ドメイン; XLP; XLPD; XLPD1</v>
      </c>
      <c r="H4524" s="3" t="str">
        <f ca="1">IFERROR(__xludf.DUMMYFUNCTION("googletranslate(E4524,""en"",""ja"")"),"生体試料中の 1A タンパク質を含む SH2 ドメインの測定。")</f>
        <v>生体試料中の 1A タンパク質を含む SH2 ドメインの測定。</v>
      </c>
      <c r="I4524" s="3" t="str">
        <f ca="1">IFERROR(__xludf.DUMMYFUNCTION("googletranslate(F4524,""en"",""ja"")"),"SH2ドメインを含む1Aタンパク質の測定")</f>
        <v>SH2ドメインを含む1Aタンパク質の測定</v>
      </c>
    </row>
    <row r="4525" spans="1:9" ht="30">
      <c r="A4525" s="3" t="s">
        <v>67</v>
      </c>
      <c r="B4525" s="3" t="s">
        <v>18583</v>
      </c>
      <c r="C4525" s="3" t="s">
        <v>18584</v>
      </c>
      <c r="D4525" s="3" t="s">
        <v>18584</v>
      </c>
      <c r="E4525" s="3" t="s">
        <v>18585</v>
      </c>
      <c r="F4525" s="3" t="s">
        <v>18586</v>
      </c>
      <c r="G4525" s="3" t="str">
        <f ca="1">IFERROR(__xludf.DUMMYFUNCTION("googletranslate(D4525,""en"",""ja"")"),"溶血性ブドウ球菌")</f>
        <v>溶血性ブドウ球菌</v>
      </c>
      <c r="H4525" s="3" t="str">
        <f ca="1">IFERROR(__xludf.DUMMYFUNCTION("googletranslate(E4525,""en"",""ja"")"),"生物学的標本中の溶血性ブドウ球菌の測定。")</f>
        <v>生物学的標本中の溶血性ブドウ球菌の測定。</v>
      </c>
      <c r="I4525" s="3" t="str">
        <f ca="1">IFERROR(__xludf.DUMMYFUNCTION("googletranslate(F4525,""en"",""ja"")"),"溶血性ブドウ球菌の測定")</f>
        <v>溶血性ブドウ球菌の測定</v>
      </c>
    </row>
    <row r="4526" spans="1:9" ht="30">
      <c r="A4526" s="3" t="s">
        <v>1557</v>
      </c>
      <c r="B4526" s="3" t="s">
        <v>18587</v>
      </c>
      <c r="C4526" s="3" t="s">
        <v>18588</v>
      </c>
      <c r="D4526" s="3" t="s">
        <v>18588</v>
      </c>
      <c r="E4526" s="3" t="s">
        <v>18589</v>
      </c>
      <c r="F4526" s="3" t="s">
        <v>18588</v>
      </c>
      <c r="G4526" s="3" t="str">
        <f ca="1">IFERROR(__xludf.DUMMYFUNCTION("googletranslate(D4526,""en"",""ja"")"),"形")</f>
        <v>形</v>
      </c>
      <c r="H4526" s="3" t="str">
        <f ca="1">IFERROR(__xludf.DUMMYFUNCTION("googletranslate(E4526,""en"",""ja"")"),"何かがその実体とは異なるように空間的に配置されること。 (NCI)")</f>
        <v>何かがその実体とは異なるように空間的に配置されること。 (NCI)</v>
      </c>
      <c r="I4526" s="3" t="str">
        <f ca="1">IFERROR(__xludf.DUMMYFUNCTION("googletranslate(F4526,""en"",""ja"")"),"形")</f>
        <v>形</v>
      </c>
    </row>
    <row r="4527" spans="1:9" ht="30">
      <c r="A4527" s="3" t="s">
        <v>6</v>
      </c>
      <c r="B4527" s="3" t="s">
        <v>18590</v>
      </c>
      <c r="C4527" s="3" t="s">
        <v>18591</v>
      </c>
      <c r="D4527" s="3" t="s">
        <v>18592</v>
      </c>
      <c r="E4527" s="3" t="s">
        <v>18593</v>
      </c>
      <c r="F4527" s="3" t="s">
        <v>18594</v>
      </c>
      <c r="G4527" s="3" t="str">
        <f ca="1">IFERROR(__xludf.DUMMYFUNCTION("googletranslate(D4527,""en"",""ja"")"),"性ホルモン結合グロブリン;性ホルモン結合タンパク質")</f>
        <v>性ホルモン結合グロブリン;性ホルモン結合タンパク質</v>
      </c>
      <c r="H4527" s="3" t="str">
        <f ca="1">IFERROR(__xludf.DUMMYFUNCTION("googletranslate(E4527,""en"",""ja"")"),"生物学的標本中の性ホルモン結合 (グロブリン) タンパク質の測定。")</f>
        <v>生物学的標本中の性ホルモン結合 (グロブリン) タンパク質の測定。</v>
      </c>
      <c r="I4527" s="3" t="str">
        <f ca="1">IFERROR(__xludf.DUMMYFUNCTION("googletranslate(F4527,""en"",""ja"")"),"性ホルモン結合タンパク質の測定")</f>
        <v>性ホルモン結合タンパク質の測定</v>
      </c>
    </row>
    <row r="4528" spans="1:9" ht="30">
      <c r="A4528" s="3" t="s">
        <v>6</v>
      </c>
      <c r="B4528" s="3" t="s">
        <v>18595</v>
      </c>
      <c r="C4528" s="3" t="s">
        <v>18596</v>
      </c>
      <c r="D4528" s="3" t="s">
        <v>18596</v>
      </c>
      <c r="E4528" s="3" t="s">
        <v>18597</v>
      </c>
      <c r="F4528" s="3" t="s">
        <v>18598</v>
      </c>
      <c r="G4528" s="3" t="str">
        <f ca="1">IFERROR(__xludf.DUMMYFUNCTION("googletranslate(D4528,""en"",""ja"")"),"ソニック・ヘッジホッグ")</f>
        <v>ソニック・ヘッジホッグ</v>
      </c>
      <c r="H4528" s="3" t="str">
        <f ca="1">IFERROR(__xludf.DUMMYFUNCTION("googletranslate(E4528,""en"",""ja"")"),"生物学的標本中のソニックヘッジホッグタンパク質の測定。")</f>
        <v>生物学的標本中のソニックヘッジホッグタンパク質の測定。</v>
      </c>
      <c r="I4528" s="3" t="str">
        <f ca="1">IFERROR(__xludf.DUMMYFUNCTION("googletranslate(F4528,""en"",""ja"")"),"ソニックハリネズミ測定")</f>
        <v>ソニックハリネズミ測定</v>
      </c>
    </row>
    <row r="4529" spans="1:9" ht="30">
      <c r="A4529" s="3" t="s">
        <v>67</v>
      </c>
      <c r="B4529" s="3" t="s">
        <v>18599</v>
      </c>
      <c r="C4529" s="3" t="s">
        <v>18600</v>
      </c>
      <c r="D4529" s="3" t="s">
        <v>18600</v>
      </c>
      <c r="E4529" s="3" t="s">
        <v>18601</v>
      </c>
      <c r="F4529" s="3" t="s">
        <v>18602</v>
      </c>
      <c r="G4529" s="3" t="str">
        <f ca="1">IFERROR(__xludf.DUMMYFUNCTION("googletranslate(D4529,""en"",""ja"")"),"赤癬抗原")</f>
        <v>赤癬抗原</v>
      </c>
      <c r="H4529" s="3" t="str">
        <f ca="1">IFERROR(__xludf.DUMMYFUNCTION("googletranslate(E4529,""en"",""ja"")"),"生物学的標本中の赤癬属の任意のメンバーからの抗原の測定。")</f>
        <v>生物学的標本中の赤癬属の任意のメンバーからの抗原の測定。</v>
      </c>
      <c r="I4529" s="3" t="str">
        <f ca="1">IFERROR(__xludf.DUMMYFUNCTION("googletranslate(F4529,""en"",""ja"")"),"赤癬抗原の測定")</f>
        <v>赤癬抗原の測定</v>
      </c>
    </row>
    <row r="4530" spans="1:9">
      <c r="A4530" s="3" t="s">
        <v>67</v>
      </c>
      <c r="B4530" s="3" t="s">
        <v>18603</v>
      </c>
      <c r="C4530" s="3" t="s">
        <v>18604</v>
      </c>
      <c r="D4530" s="3" t="s">
        <v>18604</v>
      </c>
      <c r="E4530" s="3" t="s">
        <v>18605</v>
      </c>
      <c r="F4530" s="3" t="s">
        <v>18606</v>
      </c>
      <c r="G4530" s="3" t="str">
        <f ca="1">IFERROR(__xludf.DUMMYFUNCTION("googletranslate(D4530,""en"",""ja"")"),"志賀毒")</f>
        <v>志賀毒</v>
      </c>
      <c r="H4530" s="3" t="str">
        <f ca="1">IFERROR(__xludf.DUMMYFUNCTION("googletranslate(E4530,""en"",""ja"")"),"生体試料中の志賀毒素の測定。")</f>
        <v>生体試料中の志賀毒素の測定。</v>
      </c>
      <c r="I4530" s="3" t="str">
        <f ca="1">IFERROR(__xludf.DUMMYFUNCTION("googletranslate(F4530,""en"",""ja"")"),"志賀毒素測定")</f>
        <v>志賀毒素測定</v>
      </c>
    </row>
    <row r="4531" spans="1:9" ht="30">
      <c r="A4531" s="3" t="s">
        <v>67</v>
      </c>
      <c r="B4531" s="3" t="s">
        <v>18607</v>
      </c>
      <c r="C4531" s="3" t="s">
        <v>18608</v>
      </c>
      <c r="D4531" s="3" t="s">
        <v>18608</v>
      </c>
      <c r="E4531" s="3" t="s">
        <v>18609</v>
      </c>
      <c r="F4531" s="3" t="s">
        <v>18610</v>
      </c>
      <c r="G4531" s="3" t="str">
        <f ca="1">IFERROR(__xludf.DUMMYFUNCTION("googletranslate(D4531,""en"",""ja"")"),"赤痢菌の DNA")</f>
        <v>赤痢菌の DNA</v>
      </c>
      <c r="H4531" s="3" t="str">
        <f ca="1">IFERROR(__xludf.DUMMYFUNCTION("googletranslate(E4531,""en"",""ja"")"),"生物学的標本中の赤癬属のメンバーからの DNA の測定。")</f>
        <v>生物学的標本中の赤癬属のメンバーからの DNA の測定。</v>
      </c>
      <c r="I4531" s="3" t="str">
        <f ca="1">IFERROR(__xludf.DUMMYFUNCTION("googletranslate(F4531,""en"",""ja"")"),"シゲラ DNA 測定")</f>
        <v>シゲラ DNA 測定</v>
      </c>
    </row>
    <row r="4532" spans="1:9" ht="60">
      <c r="A4532" s="3" t="s">
        <v>67</v>
      </c>
      <c r="B4532" s="3" t="s">
        <v>18611</v>
      </c>
      <c r="C4532" s="3" t="s">
        <v>18612</v>
      </c>
      <c r="D4532" s="3" t="s">
        <v>18613</v>
      </c>
      <c r="E4532" s="3" t="s">
        <v>18614</v>
      </c>
      <c r="F4532" s="3" t="s">
        <v>18615</v>
      </c>
      <c r="G4532" s="3" t="str">
        <f ca="1">IFERROR(__xludf.DUMMYFUNCTION("googletranslate(D4532,""en"",""ja"")"),"シゲラ/EIEC;シゲラ/腸管侵襲性大腸菌;赤ブドウ球菌/腸管侵襲性大腸菌")</f>
        <v>シゲラ/EIEC;シゲラ/腸管侵襲性大腸菌;赤ブドウ球菌/腸管侵襲性大腸菌</v>
      </c>
      <c r="H4532" s="3" t="str">
        <f ca="1">IFERROR(__xludf.DUMMYFUNCTION("googletranslate(E4532,""en"",""ja"")"),"生物標本において、種レベルには割り当てられていないが、赤癬属レベルおよび/または腸管侵襲性大腸菌に割り当てられている生物の測定値。")</f>
        <v>生物標本において、種レベルには割り当てられていないが、赤癬属レベルおよび/または腸管侵襲性大腸菌に割り当てられている生物の測定値。</v>
      </c>
      <c r="I4532" s="3" t="str">
        <f ca="1">IFERROR(__xludf.DUMMYFUNCTION("googletranslate(F4532,""en"",""ja"")"),"赤癬菌および/または腸管侵襲性大腸菌の DNA 測定")</f>
        <v>赤癬菌および/または腸管侵襲性大腸菌の DNA 測定</v>
      </c>
    </row>
    <row r="4533" spans="1:9" ht="45">
      <c r="A4533" s="3" t="s">
        <v>67</v>
      </c>
      <c r="B4533" s="3" t="s">
        <v>18616</v>
      </c>
      <c r="C4533" s="3" t="s">
        <v>18617</v>
      </c>
      <c r="D4533" s="3" t="s">
        <v>18617</v>
      </c>
      <c r="E4533" s="3" t="s">
        <v>18618</v>
      </c>
      <c r="F4533" s="3" t="s">
        <v>18619</v>
      </c>
      <c r="G4533" s="3" t="str">
        <f ca="1">IFERROR(__xludf.DUMMYFUNCTION("googletranslate(D4533,""en"",""ja"")"),"赤ブドウ球菌")</f>
        <v>赤ブドウ球菌</v>
      </c>
      <c r="H4533" s="3" t="str">
        <f ca="1">IFERROR(__xludf.DUMMYFUNCTION("googletranslate(E4533,""en"",""ja"")"),"生物学的標本において、種レベルには割り当てられていないが赤癬属レベルに割り当てられている生物の測定値。")</f>
        <v>生物学的標本において、種レベルには割り当てられていないが赤癬属レベルに割り当てられている生物の測定値。</v>
      </c>
      <c r="I4533" s="3" t="str">
        <f ca="1">IFERROR(__xludf.DUMMYFUNCTION("googletranslate(F4533,""en"",""ja"")"),"赤癬菌の測定")</f>
        <v>赤癬菌の測定</v>
      </c>
    </row>
    <row r="4534" spans="1:9" ht="60">
      <c r="A4534" s="3" t="s">
        <v>2904</v>
      </c>
      <c r="B4534" s="3" t="s">
        <v>18620</v>
      </c>
      <c r="C4534" s="3" t="s">
        <v>18621</v>
      </c>
      <c r="D4534" s="3" t="s">
        <v>18621</v>
      </c>
      <c r="E4534" s="3" t="s">
        <v>18622</v>
      </c>
      <c r="F4534" s="3" t="s">
        <v>18623</v>
      </c>
      <c r="G4534" s="3" t="str">
        <f ca="1">IFERROR(__xludf.DUMMYFUNCTION("googletranslate(D4534,""en"",""ja"")"),"貯蔵寿命")</f>
        <v>貯蔵寿命</v>
      </c>
      <c r="H4534" s="3" t="str">
        <f ca="1">IFERROR(__xludf.DUMMYFUNCTION("googletranslate(E4534,""en"",""ja"")"),"定義された条件下で保管された場合、医療製品がその特性と記載された性能を指定された制限内で保持する期間。安定期間は製品の製造日から決定されます。")</f>
        <v>定義された条件下で保管された場合、医療製品がその特性と記載された性能を指定された制限内で保持する期間。安定期間は製品の製造日から決定されます。</v>
      </c>
      <c r="I4534" s="3" t="str">
        <f ca="1">IFERROR(__xludf.DUMMYFUNCTION("googletranslate(F4534,""en"",""ja"")"),"医療製品の有効期限")</f>
        <v>医療製品の有効期限</v>
      </c>
    </row>
    <row r="4535" spans="1:9" ht="45">
      <c r="A4535" s="3" t="s">
        <v>5065</v>
      </c>
      <c r="B4535" s="3" t="s">
        <v>18624</v>
      </c>
      <c r="C4535" s="3" t="s">
        <v>18625</v>
      </c>
      <c r="D4535" s="3" t="s">
        <v>18625</v>
      </c>
      <c r="E4535" s="3" t="s">
        <v>18626</v>
      </c>
      <c r="F4535" s="3" t="s">
        <v>18627</v>
      </c>
      <c r="G4535" s="3" t="str">
        <f ca="1">IFERROR(__xludf.DUMMYFUNCTION("googletranslate(D4535,""en"",""ja"")"),"ショートバリエーション")</f>
        <v>ショートバリエーション</v>
      </c>
      <c r="H4535" s="3" t="str">
        <f ca="1">IFERROR(__xludf.DUMMYFUNCTION("googletranslate(E4535,""en"",""ja"")"),"参照配列と比較した場合の、短いヌクレオチド配列 (一般に 50 塩基対以下と定義される) の変動性の評価。")</f>
        <v>参照配列と比較した場合の、短いヌクレオチド配列 (一般に 50 塩基対以下と定義される) の変動性の評価。</v>
      </c>
      <c r="I4535" s="3" t="str">
        <f ca="1">IFERROR(__xludf.DUMMYFUNCTION("googletranslate(F4535,""en"",""ja"")"),"ショートバリエーションの評価")</f>
        <v>ショートバリエーションの評価</v>
      </c>
    </row>
    <row r="4536" spans="1:9" ht="30">
      <c r="A4536" s="3" t="s">
        <v>503</v>
      </c>
      <c r="B4536" s="3" t="s">
        <v>18628</v>
      </c>
      <c r="C4536" s="3" t="s">
        <v>18629</v>
      </c>
      <c r="D4536" s="3" t="s">
        <v>18629</v>
      </c>
      <c r="E4536" s="3" t="s">
        <v>18630</v>
      </c>
      <c r="F4536" s="3" t="s">
        <v>18629</v>
      </c>
      <c r="G4536" s="3" t="str">
        <f ca="1">IFERROR(__xludf.DUMMYFUNCTION("googletranslate(D4536,""en"",""ja"")"),"副流煙暴露状況")</f>
        <v>副流煙暴露状況</v>
      </c>
      <c r="H4536" s="3" t="str">
        <f ca="1">IFERROR(__xludf.DUMMYFUNCTION("googletranslate(E4536,""en"",""ja"")"),"受動喫煙曝露に関する個人の状況。")</f>
        <v>受動喫煙曝露に関する個人の状況。</v>
      </c>
      <c r="I4536" s="3" t="str">
        <f ca="1">IFERROR(__xludf.DUMMYFUNCTION("googletranslate(F4536,""en"",""ja"")"),"副流煙暴露状況")</f>
        <v>副流煙暴露状況</v>
      </c>
    </row>
    <row r="4537" spans="1:9" ht="30">
      <c r="A4537" s="3" t="s">
        <v>6</v>
      </c>
      <c r="B4537" s="3" t="s">
        <v>18631</v>
      </c>
      <c r="C4537" s="3" t="s">
        <v>18632</v>
      </c>
      <c r="D4537" s="3" t="s">
        <v>18632</v>
      </c>
      <c r="E4537" s="3" t="s">
        <v>18633</v>
      </c>
      <c r="F4537" s="3" t="s">
        <v>18634</v>
      </c>
      <c r="G4537" s="3" t="str">
        <f ca="1">IFERROR(__xludf.DUMMYFUNCTION("googletranslate(D4537,""en"",""ja"")"),"可溶性細胞間接着分子 1")</f>
        <v>可溶性細胞間接着分子 1</v>
      </c>
      <c r="H4537" s="3" t="str">
        <f ca="1">IFERROR(__xludf.DUMMYFUNCTION("googletranslate(E4537,""en"",""ja"")"),"生体試料中の可溶性細胞間接着分子 1 の測定。")</f>
        <v>生体試料中の可溶性細胞間接着分子 1 の測定。</v>
      </c>
      <c r="I4537" s="3" t="str">
        <f ca="1">IFERROR(__xludf.DUMMYFUNCTION("googletranslate(F4537,""en"",""ja"")"),"可溶性細胞間接着分子1の測定")</f>
        <v>可溶性細胞間接着分子1の測定</v>
      </c>
    </row>
    <row r="4538" spans="1:9" ht="45">
      <c r="A4538" s="3" t="s">
        <v>6</v>
      </c>
      <c r="B4538" s="3" t="s">
        <v>18635</v>
      </c>
      <c r="C4538" s="3" t="s">
        <v>18636</v>
      </c>
      <c r="D4538" s="3" t="s">
        <v>18637</v>
      </c>
      <c r="E4538" s="3" t="s">
        <v>18638</v>
      </c>
      <c r="F4538" s="3" t="s">
        <v>18639</v>
      </c>
      <c r="G4538" s="3" t="str">
        <f ca="1">IFERROR(__xludf.DUMMYFUNCTION("googletranslate(D4538,""en"",""ja"")"),"可溶性細胞間接着分子 4;可溶性細胞間接着分子 4")</f>
        <v>可溶性細胞間接着分子 4;可溶性細胞間接着分子 4</v>
      </c>
      <c r="H4538" s="3" t="str">
        <f ca="1">IFERROR(__xludf.DUMMYFUNCTION("googletranslate(E4538,""en"",""ja"")"),"生体試料中の可溶性細胞間接着分子 4 の測定。")</f>
        <v>生体試料中の可溶性細胞間接着分子 4 の測定。</v>
      </c>
      <c r="I4538" s="3" t="str">
        <f ca="1">IFERROR(__xludf.DUMMYFUNCTION("googletranslate(F4538,""en"",""ja"")"),"可溶性細胞間接着分子4の測定")</f>
        <v>可溶性細胞間接着分子4の測定</v>
      </c>
    </row>
    <row r="4539" spans="1:9">
      <c r="A4539" s="3" t="s">
        <v>1255</v>
      </c>
      <c r="B4539" s="3" t="s">
        <v>18640</v>
      </c>
      <c r="C4539" s="3" t="s">
        <v>18641</v>
      </c>
      <c r="D4539" s="3" t="s">
        <v>18641</v>
      </c>
      <c r="E4539" s="3" t="s">
        <v>18642</v>
      </c>
      <c r="F4539" s="3" t="s">
        <v>18641</v>
      </c>
      <c r="G4539" s="3" t="str">
        <f ca="1">IFERROR(__xludf.DUMMYFUNCTION("googletranslate(D4539,""en"",""ja"")"),"信号振幅")</f>
        <v>信号振幅</v>
      </c>
      <c r="H4539" s="3" t="str">
        <f ca="1">IFERROR(__xludf.DUMMYFUNCTION("googletranslate(E4539,""en"",""ja"")"),"信号の高さの測定値。")</f>
        <v>信号の高さの測定値。</v>
      </c>
      <c r="I4539" s="3" t="str">
        <f ca="1">IFERROR(__xludf.DUMMYFUNCTION("googletranslate(F4539,""en"",""ja"")"),"信号振幅")</f>
        <v>信号振幅</v>
      </c>
    </row>
    <row r="4540" spans="1:9" ht="30">
      <c r="A4540" s="3" t="s">
        <v>1255</v>
      </c>
      <c r="B4540" s="3" t="s">
        <v>18643</v>
      </c>
      <c r="C4540" s="3" t="s">
        <v>18644</v>
      </c>
      <c r="D4540" s="3" t="s">
        <v>18644</v>
      </c>
      <c r="E4540" s="3" t="s">
        <v>18645</v>
      </c>
      <c r="F4540" s="3" t="s">
        <v>18644</v>
      </c>
      <c r="G4540" s="3" t="str">
        <f ca="1">IFERROR(__xludf.DUMMYFUNCTION("googletranslate(D4540,""en"",""ja"")"),"信号周波数")</f>
        <v>信号周波数</v>
      </c>
      <c r="H4540" s="3" t="str">
        <f ca="1">IFERROR(__xludf.DUMMYFUNCTION("googletranslate(E4540,""en"",""ja"")"),"単位時間あたりの周期的な波またはパルスのサイクル数の測定値。")</f>
        <v>単位時間あたりの周期的な波またはパルスのサイクル数の測定値。</v>
      </c>
      <c r="I4540" s="3" t="str">
        <f ca="1">IFERROR(__xludf.DUMMYFUNCTION("googletranslate(F4540,""en"",""ja"")"),"信号周波数")</f>
        <v>信号周波数</v>
      </c>
    </row>
    <row r="4541" spans="1:9" ht="30">
      <c r="A4541" s="3" t="s">
        <v>1255</v>
      </c>
      <c r="B4541" s="3" t="s">
        <v>18646</v>
      </c>
      <c r="C4541" s="3" t="s">
        <v>18647</v>
      </c>
      <c r="D4541" s="3" t="s">
        <v>18647</v>
      </c>
      <c r="E4541" s="3" t="s">
        <v>18648</v>
      </c>
      <c r="F4541" s="3" t="s">
        <v>18647</v>
      </c>
      <c r="G4541" s="3" t="str">
        <f ca="1">IFERROR(__xludf.DUMMYFUNCTION("googletranslate(D4541,""en"",""ja"")"),"信号幅")</f>
        <v>信号幅</v>
      </c>
      <c r="H4541" s="3" t="str">
        <f ca="1">IFERROR(__xludf.DUMMYFUNCTION("googletranslate(E4541,""en"",""ja"")"),"脈波の始まりと終わりの間の時間間隔で見られる値の範囲の測定値。")</f>
        <v>脈波の始まりと終わりの間の時間間隔で見られる値の範囲の測定値。</v>
      </c>
      <c r="I4541" s="3" t="str">
        <f ca="1">IFERROR(__xludf.DUMMYFUNCTION("googletranslate(F4541,""en"",""ja"")"),"信号幅")</f>
        <v>信号幅</v>
      </c>
    </row>
    <row r="4542" spans="1:9" ht="30">
      <c r="A4542" s="3" t="s">
        <v>6</v>
      </c>
      <c r="B4542" s="3" t="s">
        <v>18649</v>
      </c>
      <c r="C4542" s="3" t="s">
        <v>18650</v>
      </c>
      <c r="D4542" s="3" t="s">
        <v>18650</v>
      </c>
      <c r="E4542" s="3" t="s">
        <v>18651</v>
      </c>
      <c r="F4542" s="3" t="s">
        <v>18652</v>
      </c>
      <c r="G4542" s="3" t="str">
        <f ca="1">IFERROR(__xludf.DUMMYFUNCTION("googletranslate(D4542,""en"",""ja"")"),"6-モノアセチルモルヒネ")</f>
        <v>6-モノアセチルモルヒネ</v>
      </c>
      <c r="H4542" s="3" t="str">
        <f ca="1">IFERROR(__xludf.DUMMYFUNCTION("googletranslate(E4542,""en"",""ja"")"),"生物学的標本に存在する 6-モノアセチルモルヒネの測定。")</f>
        <v>生物学的標本に存在する 6-モノアセチルモルヒネの測定。</v>
      </c>
      <c r="I4542" s="3" t="str">
        <f ca="1">IFERROR(__xludf.DUMMYFUNCTION("googletranslate(F4542,""en"",""ja"")"),"6-モノアセチルモルヒネの測定")</f>
        <v>6-モノアセチルモルヒネの測定</v>
      </c>
    </row>
    <row r="4543" spans="1:9">
      <c r="A4543" s="3" t="s">
        <v>33</v>
      </c>
      <c r="B4543" s="3" t="s">
        <v>18653</v>
      </c>
      <c r="C4543" s="3" t="s">
        <v>18654</v>
      </c>
      <c r="D4543" s="3" t="s">
        <v>18654</v>
      </c>
      <c r="E4543" s="3" t="s">
        <v>18655</v>
      </c>
      <c r="F4543" s="3" t="s">
        <v>18654</v>
      </c>
      <c r="G4543" s="3" t="str">
        <f ca="1">IFERROR(__xludf.DUMMYFUNCTION("googletranslate(D4543,""en"",""ja"")"),"サイズ")</f>
        <v>サイズ</v>
      </c>
      <c r="H4543" s="3" t="str">
        <f ca="1">IFERROR(__xludf.DUMMYFUNCTION("googletranslate(E4543,""en"",""ja"")"),"何かの物理的な大きさ。 (NCI)")</f>
        <v>何かの物理的な大きさ。 (NCI)</v>
      </c>
      <c r="I4543" s="3" t="str">
        <f ca="1">IFERROR(__xludf.DUMMYFUNCTION("googletranslate(F4543,""en"",""ja"")"),"サイズ")</f>
        <v>サイズ</v>
      </c>
    </row>
    <row r="4544" spans="1:9">
      <c r="A4544" s="3" t="s">
        <v>2904</v>
      </c>
      <c r="B4544" s="3" t="s">
        <v>18653</v>
      </c>
      <c r="C4544" s="3" t="s">
        <v>18654</v>
      </c>
      <c r="D4544" s="3" t="s">
        <v>18654</v>
      </c>
      <c r="E4544" s="3" t="s">
        <v>18655</v>
      </c>
      <c r="F4544" s="3" t="s">
        <v>18654</v>
      </c>
      <c r="G4544" s="3" t="str">
        <f ca="1">IFERROR(__xludf.DUMMYFUNCTION("googletranslate(D4544,""en"",""ja"")"),"サイズ")</f>
        <v>サイズ</v>
      </c>
      <c r="H4544" s="3" t="str">
        <f ca="1">IFERROR(__xludf.DUMMYFUNCTION("googletranslate(E4544,""en"",""ja"")"),"何かの物理的な大きさ。 (NCI)")</f>
        <v>何かの物理的な大きさ。 (NCI)</v>
      </c>
      <c r="I4544" s="3" t="str">
        <f ca="1">IFERROR(__xludf.DUMMYFUNCTION("googletranslate(F4544,""en"",""ja"")"),"サイズ")</f>
        <v>サイズ</v>
      </c>
    </row>
    <row r="4545" spans="1:9" ht="30">
      <c r="A4545" s="3" t="s">
        <v>142</v>
      </c>
      <c r="B4545" s="3" t="s">
        <v>18656</v>
      </c>
      <c r="C4545" s="3" t="s">
        <v>18657</v>
      </c>
      <c r="D4545" s="3" t="s">
        <v>18657</v>
      </c>
      <c r="E4545" s="3" t="s">
        <v>18658</v>
      </c>
      <c r="F4545" s="3" t="s">
        <v>18657</v>
      </c>
      <c r="G4545" s="3" t="str">
        <f ca="1">IFERROR(__xludf.DUMMYFUNCTION("googletranslate(D4545,""en"",""ja"")"),"スキーン腺異常インジケーター")</f>
        <v>スキーン腺異常インジケーター</v>
      </c>
      <c r="H4545" s="3" t="str">
        <f ca="1">IFERROR(__xludf.DUMMYFUNCTION("googletranslate(E4545,""en"",""ja"")"),"スキーン腺に異常があるかどうかの指標。")</f>
        <v>スキーン腺に異常があるかどうかの指標。</v>
      </c>
      <c r="I4545" s="3" t="str">
        <f ca="1">IFERROR(__xludf.DUMMYFUNCTION("googletranslate(F4545,""en"",""ja"")"),"スキーン腺異常インジケーター")</f>
        <v>スキーン腺異常インジケーター</v>
      </c>
    </row>
    <row r="4546" spans="1:9" ht="45">
      <c r="A4546" s="3" t="s">
        <v>503</v>
      </c>
      <c r="B4546" s="3" t="s">
        <v>18659</v>
      </c>
      <c r="C4546" s="3" t="s">
        <v>18660</v>
      </c>
      <c r="D4546" s="3" t="s">
        <v>18661</v>
      </c>
      <c r="E4546" s="3" t="s">
        <v>18662</v>
      </c>
      <c r="F4546" s="3" t="s">
        <v>18663</v>
      </c>
      <c r="G4546" s="3" t="str">
        <f ca="1">IFERROR(__xludf.DUMMYFUNCTION("googletranslate(D4546,""en"",""ja"")"),"フィッツパトリックの皮膚分類;肌の分類")</f>
        <v>フィッツパトリックの皮膚分類;肌の分類</v>
      </c>
      <c r="H4546" s="3" t="str">
        <f ca="1">IFERROR(__xludf.DUMMYFUNCTION("googletranslate(E4546,""en"",""ja"")"),"日光に対する被験者の皮膚の感受性を分類するテスト。 (Fitzpatrick TB. 日光反応性皮膚タイプ I ～ VI の有効性と実用性. Arch. Dermatol. 1998 124: 869-871.)")</f>
        <v>日光に対する被験者の皮膚の感受性を分類するテスト。 (Fitzpatrick TB. 日光反応性皮膚タイプ I ～ VI の有効性と実用性. Arch. Dermatol. 1998 124: 869-871.)</v>
      </c>
      <c r="I4546" s="3" t="str">
        <f ca="1">IFERROR(__xludf.DUMMYFUNCTION("googletranslate(F4546,""en"",""ja"")"),"フィッツパトリック分類スケール")</f>
        <v>フィッツパトリック分類スケール</v>
      </c>
    </row>
    <row r="4547" spans="1:9">
      <c r="A4547" s="3" t="s">
        <v>159</v>
      </c>
      <c r="B4547" s="3" t="s">
        <v>18664</v>
      </c>
      <c r="C4547" s="3" t="s">
        <v>18665</v>
      </c>
      <c r="D4547" s="3" t="s">
        <v>18665</v>
      </c>
      <c r="E4547" s="3" t="s">
        <v>18666</v>
      </c>
      <c r="F4547" s="3" t="s">
        <v>18665</v>
      </c>
      <c r="G4547" s="3" t="str">
        <f ca="1">IFERROR(__xludf.DUMMYFUNCTION("googletranslate(D4547,""en"",""ja"")"),"皮膚コンダクタンス")</f>
        <v>皮膚コンダクタンス</v>
      </c>
      <c r="H4547" s="3" t="str">
        <f ca="1">IFERROR(__xludf.DUMMYFUNCTION("googletranslate(E4547,""en"",""ja"")"),"皮膚が電気を通す程度。")</f>
        <v>皮膚が電気を通す程度。</v>
      </c>
      <c r="I4547" s="3" t="str">
        <f ca="1">IFERROR(__xludf.DUMMYFUNCTION("googletranslate(F4547,""en"",""ja"")"),"皮膚コンダクタンス")</f>
        <v>皮膚コンダクタンス</v>
      </c>
    </row>
    <row r="4548" spans="1:9" ht="30">
      <c r="A4548" s="3" t="s">
        <v>1255</v>
      </c>
      <c r="B4548" s="3" t="s">
        <v>18667</v>
      </c>
      <c r="C4548" s="3" t="s">
        <v>18668</v>
      </c>
      <c r="D4548" s="3" t="s">
        <v>18668</v>
      </c>
      <c r="E4548" s="3" t="s">
        <v>18669</v>
      </c>
      <c r="F4548" s="3" t="s">
        <v>18668</v>
      </c>
      <c r="G4548" s="3" t="str">
        <f ca="1">IFERROR(__xludf.DUMMYFUNCTION("googletranslate(D4548,""en"",""ja"")"),"スライス番号")</f>
        <v>スライス番号</v>
      </c>
      <c r="H4548" s="3" t="str">
        <f ca="1">IFERROR(__xludf.DUMMYFUNCTION("googletranslate(E4548,""en"",""ja"")"),"画像スライスを識別するために使用される数値識別子。 (NCI)")</f>
        <v>画像スライスを識別するために使用される数値識別子。 (NCI)</v>
      </c>
      <c r="I4548" s="3" t="str">
        <f ca="1">IFERROR(__xludf.DUMMYFUNCTION("googletranslate(F4548,""en"",""ja"")"),"スライス番号")</f>
        <v>スライス番号</v>
      </c>
    </row>
    <row r="4549" spans="1:9" ht="30">
      <c r="A4549" s="3" t="s">
        <v>6</v>
      </c>
      <c r="B4549" s="3" t="s">
        <v>18670</v>
      </c>
      <c r="C4549" s="3" t="s">
        <v>18671</v>
      </c>
      <c r="D4549" s="3" t="s">
        <v>18671</v>
      </c>
      <c r="E4549" s="3" t="s">
        <v>18672</v>
      </c>
      <c r="F4549" s="3" t="s">
        <v>18673</v>
      </c>
      <c r="G4549" s="3" t="str">
        <f ca="1">IFERROR(__xludf.DUMMYFUNCTION("googletranslate(D4549,""en"",""ja"")"),"可溶性トランスフェリン受容体")</f>
        <v>可溶性トランスフェリン受容体</v>
      </c>
      <c r="H4549" s="3" t="str">
        <f ca="1">IFERROR(__xludf.DUMMYFUNCTION("googletranslate(E4549,""en"",""ja"")"),"生物学的標本中の可溶性トランスフェリン受容体の測定。")</f>
        <v>生物学的標本中の可溶性トランスフェリン受容体の測定。</v>
      </c>
      <c r="I4549" s="3" t="str">
        <f ca="1">IFERROR(__xludf.DUMMYFUNCTION("googletranslate(F4549,""en"",""ja"")"),"可溶性トランスフェリン受容体の測定")</f>
        <v>可溶性トランスフェリン受容体の測定</v>
      </c>
    </row>
    <row r="4550" spans="1:9" ht="45">
      <c r="A4550" s="3" t="s">
        <v>6</v>
      </c>
      <c r="B4550" s="3" t="s">
        <v>18674</v>
      </c>
      <c r="C4550" s="3" t="s">
        <v>18675</v>
      </c>
      <c r="D4550" s="3" t="s">
        <v>18676</v>
      </c>
      <c r="E4550" s="3" t="s">
        <v>18677</v>
      </c>
      <c r="F4550" s="3" t="s">
        <v>18678</v>
      </c>
      <c r="G4550" s="3" t="str">
        <f ca="1">IFERROR(__xludf.DUMMYFUNCTION("googletranslate(D4550,""en"",""ja"")"),"シアリルルイス X 抗原;シアリル・レックス。シアリルSSEA-1抗原;シアリル-CD15; SLeX")</f>
        <v>シアリルルイス X 抗原;シアリル・レックス。シアリルSSEA-1抗原;シアリル-CD15; SLeX</v>
      </c>
      <c r="H4550" s="3" t="str">
        <f ca="1">IFERROR(__xludf.DUMMYFUNCTION("googletranslate(E4550,""en"",""ja"")"),"生物学的標本中のシアリル化段階特異的胚抗原-1 の測定。")</f>
        <v>生物学的標本中のシアリル化段階特異的胚抗原-1 の測定。</v>
      </c>
      <c r="I4550" s="3" t="str">
        <f ca="1">IFERROR(__xludf.DUMMYFUNCTION("googletranslate(F4550,""en"",""ja"")"),"シアリルSSEA-1抗原の測定")</f>
        <v>シアリルSSEA-1抗原の測定</v>
      </c>
    </row>
    <row r="4551" spans="1:9" ht="30">
      <c r="A4551" s="3" t="s">
        <v>67</v>
      </c>
      <c r="B4551" s="3" t="s">
        <v>18679</v>
      </c>
      <c r="C4551" s="3" t="s">
        <v>18680</v>
      </c>
      <c r="D4551" s="3" t="s">
        <v>18680</v>
      </c>
      <c r="E4551" s="3" t="s">
        <v>18681</v>
      </c>
      <c r="F4551" s="3" t="s">
        <v>18682</v>
      </c>
      <c r="G4551" s="3" t="str">
        <f ca="1">IFERROR(__xludf.DUMMYFUNCTION("googletranslate(D4551,""en"",""ja"")"),"セラチア・マルセッセンス")</f>
        <v>セラチア・マルセッセンス</v>
      </c>
      <c r="H4551" s="3" t="str">
        <f ca="1">IFERROR(__xludf.DUMMYFUNCTION("googletranslate(E4551,""en"",""ja"")"),"生物学的標本中のセラチア・マルセッセンスの測定。")</f>
        <v>生物学的標本中のセラチア・マルセッセンスの測定。</v>
      </c>
      <c r="I4551" s="3" t="str">
        <f ca="1">IFERROR(__xludf.DUMMYFUNCTION("googletranslate(F4551,""en"",""ja"")"),"Serratia marcescens の測定")</f>
        <v>Serratia marcescens の測定</v>
      </c>
    </row>
    <row r="4552" spans="1:9" ht="30">
      <c r="A4552" s="3" t="s">
        <v>67</v>
      </c>
      <c r="B4552" s="3" t="s">
        <v>18683</v>
      </c>
      <c r="C4552" s="3" t="s">
        <v>18684</v>
      </c>
      <c r="D4552" s="3" t="s">
        <v>18684</v>
      </c>
      <c r="E4552" s="3" t="s">
        <v>18685</v>
      </c>
      <c r="F4552" s="3" t="s">
        <v>18686</v>
      </c>
      <c r="G4552" s="3" t="str">
        <f ca="1">IFERROR(__xludf.DUMMYFUNCTION("googletranslate(D4552,""en"",""ja"")"),"セラチア・マルセッセンスのDNA")</f>
        <v>セラチア・マルセッセンスのDNA</v>
      </c>
      <c r="H4552" s="3" t="str">
        <f ca="1">IFERROR(__xludf.DUMMYFUNCTION("googletranslate(E4552,""en"",""ja"")"),"生物学的標本中の Serratia marcescens DNA の測定。")</f>
        <v>生物学的標本中の Serratia marcescens DNA の測定。</v>
      </c>
      <c r="I4552" s="3" t="str">
        <f ca="1">IFERROR(__xludf.DUMMYFUNCTION("googletranslate(F4552,""en"",""ja"")"),"Serratia marcescens DNA 測定")</f>
        <v>Serratia marcescens DNA 測定</v>
      </c>
    </row>
    <row r="4553" spans="1:9" ht="45">
      <c r="A4553" s="3" t="s">
        <v>6</v>
      </c>
      <c r="B4553" s="3" t="s">
        <v>18687</v>
      </c>
      <c r="C4553" s="3" t="s">
        <v>18688</v>
      </c>
      <c r="D4553" s="3" t="s">
        <v>18689</v>
      </c>
      <c r="E4553" s="3" t="s">
        <v>18690</v>
      </c>
      <c r="F4553" s="3" t="s">
        <v>18691</v>
      </c>
      <c r="G4553" s="3" t="str">
        <f ca="1">IFERROR(__xludf.DUMMYFUNCTION("googletranslate(D4553,""en"",""ja"")"),"バスケットセル;グンプレヒト シャドウ セル。シャドウセル;スマッジセル")</f>
        <v>バスケットセル;グンプレヒト シャドウ セル。シャドウセル;スマッジセル</v>
      </c>
      <c r="H4553" s="3" t="str">
        <f ca="1">IFERROR(__xludf.DUMMYFUNCTION("googletranslate(E4553,""en"",""ja"")"),"生物学的標本中のスマッジ細胞（破裂した白血球の核残骸）の測定。")</f>
        <v>生物学的標本中のスマッジ細胞（破裂した白血球の核残骸）の測定。</v>
      </c>
      <c r="I4553" s="3" t="str">
        <f ca="1">IFERROR(__xludf.DUMMYFUNCTION("googletranslate(F4553,""en"",""ja"")"),"汚れ細胞数")</f>
        <v>汚れ細胞数</v>
      </c>
    </row>
    <row r="4554" spans="1:9" ht="75">
      <c r="A4554" s="3" t="s">
        <v>6</v>
      </c>
      <c r="B4554" s="3" t="s">
        <v>18692</v>
      </c>
      <c r="C4554" s="3" t="s">
        <v>18693</v>
      </c>
      <c r="D4554" s="3" t="s">
        <v>18694</v>
      </c>
      <c r="E4554" s="3" t="s">
        <v>18695</v>
      </c>
      <c r="F4554" s="3" t="s">
        <v>18696</v>
      </c>
      <c r="G4554" s="3" t="str">
        <f ca="1">IFERROR(__xludf.DUMMYFUNCTION("googletranslate(D4554,""en"",""ja"")"),"バスケット細胞/白血球;グンプレヒト シャドウ セル/白血球;影の細胞/白血球;細胞/白血球を汚す")</f>
        <v>バスケット細胞/白血球;グンプレヒト シャドウ セル/白血球;影の細胞/白血球;細胞/白血球を汚す</v>
      </c>
      <c r="H4554" s="3" t="str">
        <f ca="1">IFERROR(__xludf.DUMMYFUNCTION("googletranslate(E4554,""en"",""ja"")"),"生物学的標本中の白血球に対する汚れ細胞の相対的な測定値 (比率またはパーセンテージ)。")</f>
        <v>生物学的標本中の白血球に対する汚れ細胞の相対的な測定値 (比率またはパーセンテージ)。</v>
      </c>
      <c r="I4554" s="3" t="str">
        <f ca="1">IFERROR(__xludf.DUMMYFUNCTION("googletranslate(F4554,""en"",""ja"")"),"汚れ細胞と白血球の比率の測定")</f>
        <v>汚れ細胞と白血球の比率の測定</v>
      </c>
    </row>
    <row r="4555" spans="1:9" ht="30">
      <c r="A4555" s="3" t="s">
        <v>503</v>
      </c>
      <c r="B4555" s="3" t="s">
        <v>18697</v>
      </c>
      <c r="C4555" s="3" t="s">
        <v>18698</v>
      </c>
      <c r="D4555" s="3" t="s">
        <v>18698</v>
      </c>
      <c r="E4555" s="3" t="s">
        <v>18699</v>
      </c>
      <c r="F4555" s="3" t="s">
        <v>18698</v>
      </c>
      <c r="G4555" s="3" t="str">
        <f ca="1">IFERROR(__xludf.DUMMYFUNCTION("googletranslate(D4555,""en"",""ja"")"),"在胎期間の指標としては小さい")</f>
        <v>在胎期間の指標としては小さい</v>
      </c>
      <c r="H4555" s="3" t="str">
        <f ca="1">IFERROR(__xludf.DUMMYFUNCTION("googletranslate(E4555,""en"",""ja"")"),"胎児または乳児が在胎週数に対して小さいかどうかを示す指標。")</f>
        <v>胎児または乳児が在胎週数に対して小さいかどうかを示す指標。</v>
      </c>
      <c r="I4555" s="3" t="str">
        <f ca="1">IFERROR(__xludf.DUMMYFUNCTION("googletranslate(F4555,""en"",""ja"")"),"在胎期間の指標としては小さい")</f>
        <v>在胎期間の指標としては小さい</v>
      </c>
    </row>
    <row r="4556" spans="1:9" ht="45">
      <c r="A4556" s="3" t="s">
        <v>6</v>
      </c>
      <c r="B4556" s="3" t="s">
        <v>18700</v>
      </c>
      <c r="C4556" s="3" t="s">
        <v>18701</v>
      </c>
      <c r="D4556" s="3" t="s">
        <v>18702</v>
      </c>
      <c r="E4556" s="3" t="s">
        <v>18703</v>
      </c>
      <c r="F4556" s="3" t="s">
        <v>18701</v>
      </c>
      <c r="G4556" s="3" t="str">
        <f ca="1">IFERROR(__xludf.DUMMYFUNCTION("googletranslate(D4556,""en"",""ja"")"),"スミア評価;塗抹検査;標本塗抹検査")</f>
        <v>スミア評価;塗抹検査;標本塗抹検査</v>
      </c>
      <c r="H4556" s="3" t="str">
        <f ca="1">IFERROR(__xludf.DUMMYFUNCTION("googletranslate(E4556,""en"",""ja"")"),"生物学的標本の塗抹標本を観察、評価、または検査すること。")</f>
        <v>生物学的標本の塗抹標本を観察、評価、または検査すること。</v>
      </c>
      <c r="I4556" s="3" t="str">
        <f ca="1">IFERROR(__xludf.DUMMYFUNCTION("googletranslate(F4556,""en"",""ja"")"),"スメア検査")</f>
        <v>スメア検査</v>
      </c>
    </row>
    <row r="4557" spans="1:9" ht="45">
      <c r="A4557" s="3" t="s">
        <v>6</v>
      </c>
      <c r="B4557" s="3" t="s">
        <v>18704</v>
      </c>
      <c r="C4557" s="3" t="s">
        <v>18705</v>
      </c>
      <c r="D4557" s="3" t="s">
        <v>18706</v>
      </c>
      <c r="E4557" s="3" t="s">
        <v>18707</v>
      </c>
      <c r="F4557" s="3" t="s">
        <v>18708</v>
      </c>
      <c r="G4557" s="3" t="str">
        <f ca="1">IFERROR(__xludf.DUMMYFUNCTION("googletranslate(D4557,""en"",""ja"")"),"可溶性メソテリン関連ペプチド;可溶性メソテリン関連タンパク質")</f>
        <v>可溶性メソテリン関連ペプチド;可溶性メソテリン関連タンパク質</v>
      </c>
      <c r="H4557" s="3" t="str">
        <f ca="1">IFERROR(__xludf.DUMMYFUNCTION("googletranslate(E4557,""en"",""ja"")"),"生物学的標本中の可溶性メソテリン関連ペプチドの測定。")</f>
        <v>生物学的標本中の可溶性メソテリン関連ペプチドの測定。</v>
      </c>
      <c r="I4557" s="3" t="str">
        <f ca="1">IFERROR(__xludf.DUMMYFUNCTION("googletranslate(F4557,""en"",""ja"")"),"可溶性メソテリン関連ペプチドの測定")</f>
        <v>可溶性メソテリン関連ペプチドの測定</v>
      </c>
    </row>
    <row r="4558" spans="1:9" ht="30">
      <c r="A4558" s="3" t="s">
        <v>985</v>
      </c>
      <c r="B4558" s="3" t="s">
        <v>18709</v>
      </c>
      <c r="C4558" s="3" t="s">
        <v>18710</v>
      </c>
      <c r="D4558" s="3" t="s">
        <v>18710</v>
      </c>
      <c r="E4558" s="3" t="s">
        <v>18711</v>
      </c>
      <c r="F4558" s="3" t="s">
        <v>18712</v>
      </c>
      <c r="G4558" s="3" t="str">
        <f ca="1">IFERROR(__xludf.DUMMYFUNCTION("googletranslate(D4558,""en"",""ja"")"),"洞結節のリズムと不整脈")</f>
        <v>洞結節のリズムと不整脈</v>
      </c>
      <c r="H4558" s="3" t="str">
        <f ca="1">IFERROR(__xludf.DUMMYFUNCTION("googletranslate(E4558,""en"",""ja"")"),"洞結節のリズムと不整脈の心電図評価。")</f>
        <v>洞結節のリズムと不整脈の心電図評価。</v>
      </c>
      <c r="I4558" s="3" t="str">
        <f ca="1">IFERROR(__xludf.DUMMYFUNCTION("googletranslate(F4558,""en"",""ja"")"),"洞結節のリズムと不整脈の ECG 評価")</f>
        <v>洞結節のリズムと不整脈の ECG 評価</v>
      </c>
    </row>
    <row r="4559" spans="1:9" ht="30">
      <c r="A4559" s="3" t="s">
        <v>1664</v>
      </c>
      <c r="B4559" s="3" t="s">
        <v>18709</v>
      </c>
      <c r="C4559" s="3" t="s">
        <v>18710</v>
      </c>
      <c r="D4559" s="3" t="s">
        <v>18710</v>
      </c>
      <c r="E4559" s="3" t="s">
        <v>18711</v>
      </c>
      <c r="F4559" s="3" t="s">
        <v>18712</v>
      </c>
      <c r="G4559" s="3" t="str">
        <f ca="1">IFERROR(__xludf.DUMMYFUNCTION("googletranslate(D4559,""en"",""ja"")"),"洞結節のリズムと不整脈")</f>
        <v>洞結節のリズムと不整脈</v>
      </c>
      <c r="H4559" s="3" t="str">
        <f ca="1">IFERROR(__xludf.DUMMYFUNCTION("googletranslate(E4559,""en"",""ja"")"),"洞結節のリズムと不整脈の心電図評価。")</f>
        <v>洞結節のリズムと不整脈の心電図評価。</v>
      </c>
      <c r="I4559" s="3" t="str">
        <f ca="1">IFERROR(__xludf.DUMMYFUNCTION("googletranslate(F4559,""en"",""ja"")"),"洞結節のリズムと不整脈の ECG 評価")</f>
        <v>洞結節のリズムと不整脈の ECG 評価</v>
      </c>
    </row>
    <row r="4560" spans="1:9" ht="45">
      <c r="A4560" s="3" t="s">
        <v>5065</v>
      </c>
      <c r="B4560" s="3" t="s">
        <v>18713</v>
      </c>
      <c r="C4560" s="3" t="s">
        <v>18714</v>
      </c>
      <c r="D4560" s="3" t="s">
        <v>18714</v>
      </c>
      <c r="E4560" s="3" t="s">
        <v>18715</v>
      </c>
      <c r="F4560" s="3" t="s">
        <v>18716</v>
      </c>
      <c r="G4560" s="3" t="str">
        <f ca="1">IFERROR(__xludf.DUMMYFUNCTION("googletranslate(D4560,""en"",""ja"")"),"単一ヌクレオチドの変異")</f>
        <v>単一ヌクレオチドの変異</v>
      </c>
      <c r="H4560" s="3" t="str">
        <f ca="1">IFERROR(__xludf.DUMMYFUNCTION("googletranslate(E4560,""en"",""ja"")"),"参照ヌクレオチドと比較した場合の、ゲノムの特定の位置内で見つかったヌクレオチドの変動性の評価。")</f>
        <v>参照ヌクレオチドと比較した場合の、ゲノムの特定の位置内で見つかったヌクレオチドの変動性の評価。</v>
      </c>
      <c r="I4560" s="3" t="str">
        <f ca="1">IFERROR(__xludf.DUMMYFUNCTION("googletranslate(F4560,""en"",""ja"")"),"一塩基変異の評価")</f>
        <v>一塩基変異の評価</v>
      </c>
    </row>
    <row r="4561" spans="1:9">
      <c r="A4561" s="3" t="s">
        <v>6</v>
      </c>
      <c r="B4561" s="3" t="s">
        <v>18717</v>
      </c>
      <c r="C4561" s="3" t="s">
        <v>18718</v>
      </c>
      <c r="D4561" s="3" t="s">
        <v>18718</v>
      </c>
      <c r="E4561" s="3" t="s">
        <v>18719</v>
      </c>
      <c r="F4561" s="3" t="s">
        <v>18720</v>
      </c>
      <c r="G4561" s="3" t="str">
        <f ca="1">IFERROR(__xludf.DUMMYFUNCTION("googletranslate(D4561,""en"",""ja"")"),"二酸化硫黄")</f>
        <v>二酸化硫黄</v>
      </c>
      <c r="H4561" s="3" t="str">
        <f ca="1">IFERROR(__xludf.DUMMYFUNCTION("googletranslate(E4561,""en"",""ja"")"),"生物学的標本中の二酸化硫黄の測定。")</f>
        <v>生物学的標本中の二酸化硫黄の測定。</v>
      </c>
      <c r="I4561" s="3" t="str">
        <f ca="1">IFERROR(__xludf.DUMMYFUNCTION("googletranslate(F4561,""en"",""ja"")"),"二酸化硫黄の測定")</f>
        <v>二酸化硫黄の測定</v>
      </c>
    </row>
    <row r="4562" spans="1:9" ht="60">
      <c r="A4562" s="3" t="s">
        <v>503</v>
      </c>
      <c r="B4562" s="3" t="s">
        <v>18721</v>
      </c>
      <c r="C4562" s="3" t="s">
        <v>18722</v>
      </c>
      <c r="D4562" s="3" t="s">
        <v>18723</v>
      </c>
      <c r="E4562" s="3" t="s">
        <v>18724</v>
      </c>
      <c r="F4562" s="3" t="s">
        <v>18722</v>
      </c>
      <c r="G4562" s="3" t="str">
        <f ca="1">IFERROR(__xludf.DUMMYFUNCTION("googletranslate(D4562,""en"",""ja"")"),"社会経済的階級。社会経済的分類")</f>
        <v>社会経済的階級。社会経済的分類</v>
      </c>
      <c r="H4562" s="3" t="str">
        <f ca="1">IFERROR(__xludf.DUMMYFUNCTION("googletranslate(E4562,""en"",""ja"")"),"経済学、人口動態、社会的相互作用を考慮した個人の特徴付けまたは分類。社会または文化内での個人の行動を階層化するために使用されます。")</f>
        <v>経済学、人口動態、社会的相互作用を考慮した個人の特徴付けまたは分類。社会または文化内での個人の行動を階層化するために使用されます。</v>
      </c>
      <c r="I4562" s="3" t="str">
        <f ca="1">IFERROR(__xludf.DUMMYFUNCTION("googletranslate(F4562,""en"",""ja"")"),"社会経済的分類")</f>
        <v>社会経済的分類</v>
      </c>
    </row>
    <row r="4563" spans="1:9">
      <c r="A4563" s="3" t="s">
        <v>6</v>
      </c>
      <c r="B4563" s="3" t="s">
        <v>18725</v>
      </c>
      <c r="C4563" s="3" t="s">
        <v>18726</v>
      </c>
      <c r="D4563" s="3" t="s">
        <v>18726</v>
      </c>
      <c r="E4563" s="3" t="s">
        <v>18727</v>
      </c>
      <c r="F4563" s="3" t="s">
        <v>18728</v>
      </c>
      <c r="G4563" s="3" t="str">
        <f ca="1">IFERROR(__xludf.DUMMYFUNCTION("googletranslate(D4563,""en"",""ja"")"),"ナトリウム")</f>
        <v>ナトリウム</v>
      </c>
      <c r="H4563" s="3" t="str">
        <f ca="1">IFERROR(__xludf.DUMMYFUNCTION("googletranslate(E4563,""en"",""ja"")"),"生物学的標本中のナトリウムの測定。")</f>
        <v>生物学的標本中のナトリウムの測定。</v>
      </c>
      <c r="I4563" s="3" t="str">
        <f ca="1">IFERROR(__xludf.DUMMYFUNCTION("googletranslate(F4563,""en"",""ja"")"),"ナトリウム測定")</f>
        <v>ナトリウム測定</v>
      </c>
    </row>
    <row r="4564" spans="1:9" ht="45">
      <c r="A4564" s="3" t="s">
        <v>6</v>
      </c>
      <c r="B4564" s="3" t="s">
        <v>18729</v>
      </c>
      <c r="C4564" s="3" t="s">
        <v>18730</v>
      </c>
      <c r="D4564" s="3" t="s">
        <v>18730</v>
      </c>
      <c r="E4564" s="3" t="s">
        <v>18731</v>
      </c>
      <c r="F4564" s="3" t="s">
        <v>18730</v>
      </c>
      <c r="G4564" s="3" t="str">
        <f ca="1">IFERROR(__xludf.DUMMYFUNCTION("googletranslate(D4564,""en"",""ja"")"),"ナトリウム排泄率")</f>
        <v>ナトリウム排泄率</v>
      </c>
      <c r="H4564" s="3" t="str">
        <f ca="1">IFERROR(__xludf.DUMMYFUNCTION("googletranslate(E4564,""en"",""ja"")"),"規定の時間 (例: 1 時間) にわたって生物学的標本中に排泄されるナトリウムの量の測定。")</f>
        <v>規定の時間 (例: 1 時間) にわたって生物学的標本中に排泄されるナトリウムの量の測定。</v>
      </c>
      <c r="I4564" s="3" t="str">
        <f ca="1">IFERROR(__xludf.DUMMYFUNCTION("googletranslate(F4564,""en"",""ja"")"),"ナトリウム排泄率")</f>
        <v>ナトリウム排泄率</v>
      </c>
    </row>
    <row r="4565" spans="1:9" ht="30">
      <c r="A4565" s="3" t="s">
        <v>159</v>
      </c>
      <c r="B4565" s="3" t="s">
        <v>18732</v>
      </c>
      <c r="C4565" s="3" t="s">
        <v>18733</v>
      </c>
      <c r="D4565" s="3" t="s">
        <v>18733</v>
      </c>
      <c r="E4565" s="3" t="s">
        <v>18734</v>
      </c>
      <c r="F4565" s="3" t="s">
        <v>18733</v>
      </c>
      <c r="G4565" s="3" t="str">
        <f ca="1">IFERROR(__xludf.DUMMYFUNCTION("googletranslate(D4565,""en"",""ja"")"),"入眠潜時")</f>
        <v>入眠潜時</v>
      </c>
      <c r="H4565" s="3" t="str">
        <f ca="1">IFERROR(__xludf.DUMMYFUNCTION("googletranslate(E4565,""en"",""ja"")"),"照明が消えてから人が眠りにつくまでの時間。")</f>
        <v>照明が消えてから人が眠りにつくまでの時間。</v>
      </c>
      <c r="I4565" s="3" t="str">
        <f ca="1">IFERROR(__xludf.DUMMYFUNCTION("googletranslate(F4565,""en"",""ja"")"),"入眠潜時")</f>
        <v>入眠潜時</v>
      </c>
    </row>
    <row r="4566" spans="1:9" ht="30">
      <c r="A4566" s="3" t="s">
        <v>6</v>
      </c>
      <c r="B4566" s="3" t="s">
        <v>18735</v>
      </c>
      <c r="C4566" s="3" t="s">
        <v>18736</v>
      </c>
      <c r="D4566" s="3" t="s">
        <v>18737</v>
      </c>
      <c r="E4566" s="3" t="s">
        <v>18738</v>
      </c>
      <c r="F4566" s="3" t="s">
        <v>18739</v>
      </c>
      <c r="G4566" s="3" t="str">
        <f ca="1">IFERROR(__xludf.DUMMYFUNCTION("googletranslate(D4566,""en"",""ja"")"),"成長ホルモン;ソマトトロフィン;成長ホルモン")</f>
        <v>成長ホルモン;ソマトトロフィン;成長ホルモン</v>
      </c>
      <c r="H4566" s="3" t="str">
        <f ca="1">IFERROR(__xludf.DUMMYFUNCTION("googletranslate(E4566,""en"",""ja"")"),"生物学的標本中のソマトトロフィン (成長) ホルモンの測定。")</f>
        <v>生物学的標本中のソマトトロフィン (成長) ホルモンの測定。</v>
      </c>
      <c r="I4566" s="3" t="str">
        <f ca="1">IFERROR(__xludf.DUMMYFUNCTION("googletranslate(F4566,""en"",""ja"")"),"ソマトトロフィンの測定")</f>
        <v>ソマトトロフィンの測定</v>
      </c>
    </row>
    <row r="4567" spans="1:9">
      <c r="A4567" s="3" t="s">
        <v>6</v>
      </c>
      <c r="B4567" s="3" t="s">
        <v>18740</v>
      </c>
      <c r="C4567" s="3" t="s">
        <v>18741</v>
      </c>
      <c r="D4567" s="3" t="s">
        <v>18741</v>
      </c>
      <c r="E4567" s="3" t="s">
        <v>18742</v>
      </c>
      <c r="F4567" s="3" t="s">
        <v>18743</v>
      </c>
      <c r="G4567" s="3" t="str">
        <f ca="1">IFERROR(__xludf.DUMMYFUNCTION("googletranslate(D4567,""en"",""ja"")"),"スクレロスチン")</f>
        <v>スクレロスチン</v>
      </c>
      <c r="H4567" s="3" t="str">
        <f ca="1">IFERROR(__xludf.DUMMYFUNCTION("googletranslate(E4567,""en"",""ja"")"),"生物学的標本中のスクレロスチンの測定。")</f>
        <v>生物学的標本中のスクレロスチンの測定。</v>
      </c>
      <c r="I4567" s="3" t="str">
        <f ca="1">IFERROR(__xludf.DUMMYFUNCTION("googletranslate(F4567,""en"",""ja"")"),"スクレロスチンの測定")</f>
        <v>スクレロスチンの測定</v>
      </c>
    </row>
    <row r="4568" spans="1:9" ht="45">
      <c r="A4568" s="3" t="s">
        <v>142</v>
      </c>
      <c r="B4568" s="3" t="s">
        <v>18744</v>
      </c>
      <c r="C4568" s="3" t="s">
        <v>18745</v>
      </c>
      <c r="D4568" s="3" t="s">
        <v>18746</v>
      </c>
      <c r="E4568" s="3" t="s">
        <v>18747</v>
      </c>
      <c r="F4568" s="3" t="s">
        <v>18745</v>
      </c>
      <c r="G4568" s="3" t="str">
        <f ca="1">IFERROR(__xludf.DUMMYFUNCTION("googletranslate(D4568,""en"",""ja"")"),"流産の回数;自然流産の数")</f>
        <v>流産の回数;自然流産の数</v>
      </c>
      <c r="H4568" s="3" t="str">
        <f ca="1">IFERROR(__xludf.DUMMYFUNCTION("googletranslate(E4568,""en"",""ja"")"),"女性被験者が経験した自然中絶（胎児が在胎週数 20 週未満）の総数の測定値。")</f>
        <v>女性被験者が経験した自然中絶（胎児が在胎週数 20 週未満）の総数の測定値。</v>
      </c>
      <c r="I4568" s="3" t="str">
        <f ca="1">IFERROR(__xludf.DUMMYFUNCTION("googletranslate(F4568,""en"",""ja"")"),"自然流産の数")</f>
        <v>自然流産の数</v>
      </c>
    </row>
    <row r="4569" spans="1:9" ht="45">
      <c r="A4569" s="3" t="s">
        <v>6</v>
      </c>
      <c r="B4569" s="3" t="s">
        <v>18748</v>
      </c>
      <c r="C4569" s="3" t="s">
        <v>18749</v>
      </c>
      <c r="D4569" s="3" t="s">
        <v>18750</v>
      </c>
      <c r="E4569" s="3" t="s">
        <v>18751</v>
      </c>
      <c r="F4569" s="3" t="s">
        <v>18752</v>
      </c>
      <c r="G4569" s="3" t="str">
        <f ca="1">IFERROR(__xludf.DUMMYFUNCTION("googletranslate(D4569,""en"",""ja"")"),"S-膵臓-1 抗原;シアル化炭酸抗原 SPAN-1; SPan-1")</f>
        <v>S-膵臓-1 抗原;シアル化炭酸抗原 SPAN-1; SPan-1</v>
      </c>
      <c r="H4569" s="3" t="str">
        <f ca="1">IFERROR(__xludf.DUMMYFUNCTION("googletranslate(E4569,""en"",""ja"")"),"生物学的標本中の S-pancreas-1 抗原の測定。")</f>
        <v>生物学的標本中の S-pancreas-1 抗原の測定。</v>
      </c>
      <c r="I4569" s="3" t="str">
        <f ca="1">IFERROR(__xludf.DUMMYFUNCTION("googletranslate(F4569,""en"",""ja"")"),"S-膵臓-1 抗原測定")</f>
        <v>S-膵臓-1 抗原測定</v>
      </c>
    </row>
    <row r="4570" spans="1:9" ht="30">
      <c r="A4570" s="3" t="s">
        <v>33</v>
      </c>
      <c r="B4570" s="3" t="s">
        <v>18753</v>
      </c>
      <c r="C4570" s="3" t="s">
        <v>18754</v>
      </c>
      <c r="D4570" s="3" t="s">
        <v>18755</v>
      </c>
      <c r="E4570" s="3" t="s">
        <v>18756</v>
      </c>
      <c r="F4570" s="3" t="s">
        <v>18757</v>
      </c>
      <c r="G4570" s="3" t="str">
        <f ca="1">IFERROR(__xludf.DUMMYFUNCTION("googletranslate(D4570,""en"",""ja"")"),"寸法;空間次元")</f>
        <v>寸法;空間次元</v>
      </c>
      <c r="H4570" s="3" t="str">
        <f ca="1">IFERROR(__xludf.DUMMYFUNCTION("googletranslate(E4570,""en"",""ja"")"),"長さ、幅、高さ (または厚さ) の 3 つの軸として表現されるエンティティの 3 次元の大きさ。")</f>
        <v>長さ、幅、高さ (または厚さ) の 3 つの軸として表現されるエンティティの 3 次元の大きさ。</v>
      </c>
      <c r="I4570" s="3" t="str">
        <f ca="1">IFERROR(__xludf.DUMMYFUNCTION("googletranslate(F4570,""en"",""ja"")"),"寸法")</f>
        <v>寸法</v>
      </c>
    </row>
    <row r="4571" spans="1:9" ht="30">
      <c r="A4571" s="3" t="s">
        <v>1255</v>
      </c>
      <c r="B4571" s="3" t="s">
        <v>18758</v>
      </c>
      <c r="C4571" s="3" t="s">
        <v>18759</v>
      </c>
      <c r="D4571" s="3" t="s">
        <v>18759</v>
      </c>
      <c r="E4571" s="3" t="s">
        <v>18760</v>
      </c>
      <c r="F4571" s="3" t="s">
        <v>18759</v>
      </c>
      <c r="G4571" s="3" t="str">
        <f ca="1">IFERROR(__xludf.DUMMYFUNCTION("googletranslate(D4571,""en"",""ja"")"),"スペクトル幅")</f>
        <v>スペクトル幅</v>
      </c>
      <c r="H4571" s="3" t="str">
        <f ca="1">IFERROR(__xludf.DUMMYFUNCTION("googletranslate(E4571,""en"",""ja"")"),"最大振幅の半値における波長間隔の幅。")</f>
        <v>最大振幅の半値における波長間隔の幅。</v>
      </c>
      <c r="I4571" s="3" t="str">
        <f ca="1">IFERROR(__xludf.DUMMYFUNCTION("googletranslate(F4571,""en"",""ja"")"),"スペクトル幅")</f>
        <v>スペクトル幅</v>
      </c>
    </row>
    <row r="4572" spans="1:9" ht="45">
      <c r="A4572" s="3" t="s">
        <v>185</v>
      </c>
      <c r="B4572" s="3" t="s">
        <v>18761</v>
      </c>
      <c r="C4572" s="3" t="s">
        <v>18762</v>
      </c>
      <c r="D4572" s="3" t="s">
        <v>18762</v>
      </c>
      <c r="E4572" s="3" t="s">
        <v>18763</v>
      </c>
      <c r="F4572" s="3" t="s">
        <v>18762</v>
      </c>
      <c r="G4572" s="3" t="str">
        <f ca="1">IFERROR(__xludf.DUMMYFUNCTION("googletranslate(D4572,""en"",""ja"")"),"スピード")</f>
        <v>スピード</v>
      </c>
      <c r="H4572" s="3" t="str">
        <f ca="1">IFERROR(__xludf.DUMMYFUNCTION("googletranslate(E4572,""en"",""ja"")"),"移動距離を経過時間で割ったものとして表される、オブジェクトの移動速度のスカラー尺度。")</f>
        <v>移動距離を経過時間で割ったものとして表される、オブジェクトの移動速度のスカラー尺度。</v>
      </c>
      <c r="I4572" s="3" t="str">
        <f ca="1">IFERROR(__xludf.DUMMYFUNCTION("googletranslate(F4572,""en"",""ja"")"),"スピード")</f>
        <v>スピード</v>
      </c>
    </row>
    <row r="4573" spans="1:9" ht="30">
      <c r="A4573" s="3" t="s">
        <v>6</v>
      </c>
      <c r="B4573" s="3" t="s">
        <v>18764</v>
      </c>
      <c r="C4573" s="3" t="s">
        <v>18765</v>
      </c>
      <c r="D4573" s="3" t="s">
        <v>18765</v>
      </c>
      <c r="E4573" s="3" t="s">
        <v>18766</v>
      </c>
      <c r="F4573" s="3" t="s">
        <v>18767</v>
      </c>
      <c r="G4573" s="3" t="str">
        <f ca="1">IFERROR(__xludf.DUMMYFUNCTION("googletranslate(D4573,""en"",""ja"")"),"精子")</f>
        <v>精子</v>
      </c>
      <c r="H4573" s="3" t="str">
        <f ca="1">IFERROR(__xludf.DUMMYFUNCTION("googletranslate(E4573,""en"",""ja"")"),"生物学的標本中に存在する精子細胞の測定。")</f>
        <v>生物学的標本中に存在する精子細胞の測定。</v>
      </c>
      <c r="I4573" s="3" t="str">
        <f ca="1">IFERROR(__xludf.DUMMYFUNCTION("googletranslate(F4573,""en"",""ja"")"),"精子細胞数")</f>
        <v>精子細胞数</v>
      </c>
    </row>
    <row r="4574" spans="1:9" ht="30">
      <c r="A4574" s="3" t="s">
        <v>6</v>
      </c>
      <c r="B4574" s="3" t="s">
        <v>18768</v>
      </c>
      <c r="C4574" s="3" t="s">
        <v>18769</v>
      </c>
      <c r="D4574" s="3" t="s">
        <v>18769</v>
      </c>
      <c r="E4574" s="3" t="s">
        <v>18770</v>
      </c>
      <c r="F4574" s="3" t="s">
        <v>18771</v>
      </c>
      <c r="G4574" s="3" t="str">
        <f ca="1">IFERROR(__xludf.DUMMYFUNCTION("googletranslate(D4574,""en"",""ja"")"),"精子の運動性")</f>
        <v>精子の運動性</v>
      </c>
      <c r="H4574" s="3" t="str">
        <f ca="1">IFERROR(__xludf.DUMMYFUNCTION("googletranslate(E4574,""en"",""ja"")"),"精液標本内で前方に漸進的に移動できる精子の測定値。")</f>
        <v>精液標本内で前方に漸進的に移動できる精子の測定値。</v>
      </c>
      <c r="I4574" s="3" t="str">
        <f ca="1">IFERROR(__xludf.DUMMYFUNCTION("googletranslate(F4574,""en"",""ja"")"),"精子運動性測定")</f>
        <v>精子運動性測定</v>
      </c>
    </row>
    <row r="4575" spans="1:9" ht="30">
      <c r="A4575" s="3" t="s">
        <v>6</v>
      </c>
      <c r="B4575" s="3" t="s">
        <v>18772</v>
      </c>
      <c r="C4575" s="3" t="s">
        <v>18773</v>
      </c>
      <c r="D4575" s="3" t="s">
        <v>18773</v>
      </c>
      <c r="E4575" s="3" t="s">
        <v>18774</v>
      </c>
      <c r="F4575" s="3" t="s">
        <v>18775</v>
      </c>
      <c r="G4575" s="3" t="str">
        <f ca="1">IFERROR(__xludf.DUMMYFUNCTION("googletranslate(D4575,""en"",""ja"")"),"精子、進行性")</f>
        <v>精子、進行性</v>
      </c>
      <c r="H4575" s="3" t="str">
        <f ca="1">IFERROR(__xludf.DUMMYFUNCTION("googletranslate(E4575,""en"",""ja"")"),"生物学的標本中の進行性精子（前方向に運動性）の測定。")</f>
        <v>生物学的標本中の進行性精子（前方向に運動性）の測定。</v>
      </c>
      <c r="I4575" s="3" t="str">
        <f ca="1">IFERROR(__xludf.DUMMYFUNCTION("googletranslate(F4575,""en"",""ja"")"),"プログレッシブ精子測定")</f>
        <v>プログレッシブ精子測定</v>
      </c>
    </row>
    <row r="4576" spans="1:9">
      <c r="A4576" s="3" t="s">
        <v>6</v>
      </c>
      <c r="B4576" s="3" t="s">
        <v>18776</v>
      </c>
      <c r="C4576" s="3" t="s">
        <v>18777</v>
      </c>
      <c r="D4576" s="3" t="s">
        <v>18777</v>
      </c>
      <c r="E4576" s="3" t="s">
        <v>18778</v>
      </c>
      <c r="F4576" s="3" t="s">
        <v>18777</v>
      </c>
      <c r="G4576" s="3" t="str">
        <f ca="1">IFERROR(__xludf.DUMMYFUNCTION("googletranslate(D4576,""en"",""ja"")"),"比重")</f>
        <v>比重</v>
      </c>
      <c r="H4576" s="3" t="str">
        <f ca="1">IFERROR(__xludf.DUMMYFUNCTION("googletranslate(E4576,""en"",""ja"")"),"水の密度に対する流体の密度の比。")</f>
        <v>水の密度に対する流体の密度の比。</v>
      </c>
      <c r="I4576" s="3" t="str">
        <f ca="1">IFERROR(__xludf.DUMMYFUNCTION("googletranslate(F4576,""en"",""ja"")"),"比重")</f>
        <v>比重</v>
      </c>
    </row>
    <row r="4577" spans="1:9" ht="30">
      <c r="A4577" s="3" t="s">
        <v>6</v>
      </c>
      <c r="B4577" s="3" t="s">
        <v>18779</v>
      </c>
      <c r="C4577" s="3" t="s">
        <v>18780</v>
      </c>
      <c r="D4577" s="3" t="s">
        <v>18780</v>
      </c>
      <c r="E4577" s="3" t="s">
        <v>18781</v>
      </c>
      <c r="F4577" s="3" t="s">
        <v>18782</v>
      </c>
      <c r="G4577" s="3" t="str">
        <f ca="1">IFERROR(__xludf.DUMMYFUNCTION("googletranslate(D4577,""en"",""ja"")"),"球状赤血球")</f>
        <v>球状赤血球</v>
      </c>
      <c r="H4577" s="3" t="str">
        <f ca="1">IFERROR(__xludf.DUMMYFUNCTION("googletranslate(E4577,""en"",""ja"")"),"生物学的標本中の球状赤血球 (小さな球形の赤血球) の測定。")</f>
        <v>生物学的標本中の球状赤血球 (小さな球形の赤血球) の測定。</v>
      </c>
      <c r="I4577" s="3" t="str">
        <f ca="1">IFERROR(__xludf.DUMMYFUNCTION("googletranslate(F4577,""en"",""ja"")"),"球状赤血球数")</f>
        <v>球状赤血球数</v>
      </c>
    </row>
    <row r="4578" spans="1:9" ht="75">
      <c r="A4578" s="3" t="s">
        <v>6</v>
      </c>
      <c r="B4578" s="3" t="s">
        <v>18783</v>
      </c>
      <c r="C4578" s="3" t="s">
        <v>18784</v>
      </c>
      <c r="D4578" s="3" t="s">
        <v>18785</v>
      </c>
      <c r="E4578" s="3" t="s">
        <v>18786</v>
      </c>
      <c r="F4578" s="3" t="s">
        <v>18787</v>
      </c>
      <c r="G4578" s="3" t="str">
        <f ca="1">IFERROR(__xludf.DUMMYFUNCTION("googletranslate(D4578,""en"",""ja"")"),"膵臓分泌トリプシン阻害剤; PSTI;セリンペプチダーゼ阻害剤カザール タイプ 1。スピンク3;タティ;腫瘍関連トリプシン阻害剤")</f>
        <v>膵臓分泌トリプシン阻害剤; PSTI;セリンペプチダーゼ阻害剤カザール タイプ 1。スピンク3;タティ;腫瘍関連トリプシン阻害剤</v>
      </c>
      <c r="H4578" s="3" t="str">
        <f ca="1">IFERROR(__xludf.DUMMYFUNCTION("googletranslate(E4578,""en"",""ja"")"),"生物学的検体中のセリンペプチダーゼ阻害剤カザール 1 型の測定。")</f>
        <v>生物学的検体中のセリンペプチダーゼ阻害剤カザール 1 型の測定。</v>
      </c>
      <c r="I4578" s="3" t="str">
        <f ca="1">IFERROR(__xludf.DUMMYFUNCTION("googletranslate(F4578,""en"",""ja"")"),"セリンペプチダーゼ阻害剤カザール 1 型の測定")</f>
        <v>セリンペプチダーゼ阻害剤カザール 1 型の測定</v>
      </c>
    </row>
    <row r="4579" spans="1:9" ht="45">
      <c r="A4579" s="3" t="s">
        <v>67</v>
      </c>
      <c r="B4579" s="3" t="s">
        <v>18788</v>
      </c>
      <c r="C4579" s="3" t="s">
        <v>18789</v>
      </c>
      <c r="D4579" s="3" t="s">
        <v>18790</v>
      </c>
      <c r="E4579" s="3" t="s">
        <v>18791</v>
      </c>
      <c r="F4579" s="3" t="s">
        <v>18792</v>
      </c>
      <c r="G4579" s="3" t="str">
        <f ca="1">IFERROR(__xludf.DUMMYFUNCTION("googletranslate(D4579,""en"",""ja"")"),"スピロヘータ目。スピロヘータ菌")</f>
        <v>スピロヘータ目。スピロヘータ菌</v>
      </c>
      <c r="H4579" s="3" t="str">
        <f ca="1">IFERROR(__xludf.DUMMYFUNCTION("googletranslate(E4579,""en"",""ja"")"),"生物学的標本において、種レベルには割り当てられていないが、スピロヘータ目レベルに割り当てられている生物の測定値。")</f>
        <v>生物学的標本において、種レベルには割り当てられていないが、スピロヘータ目レベルに割り当てられている生物の測定値。</v>
      </c>
      <c r="I4579" s="3" t="str">
        <f ca="1">IFERROR(__xludf.DUMMYFUNCTION("googletranslate(F4579,""en"",""ja"")"),"スピロヘータ類の測定")</f>
        <v>スピロヘータ類の測定</v>
      </c>
    </row>
    <row r="4580" spans="1:9" ht="30">
      <c r="A4580" s="3" t="s">
        <v>6</v>
      </c>
      <c r="B4580" s="3" t="s">
        <v>18793</v>
      </c>
      <c r="C4580" s="3" t="s">
        <v>18794</v>
      </c>
      <c r="D4580" s="3" t="s">
        <v>18794</v>
      </c>
      <c r="E4580" s="3" t="s">
        <v>18795</v>
      </c>
      <c r="F4580" s="3" t="s">
        <v>18796</v>
      </c>
      <c r="G4580" s="3" t="str">
        <f ca="1">IFERROR(__xludf.DUMMYFUNCTION("googletranslate(D4580,""en"",""ja"")"),"II型分泌型ホスホリパーゼA2")</f>
        <v>II型分泌型ホスホリパーゼA2</v>
      </c>
      <c r="H4580" s="3" t="str">
        <f ca="1">IFERROR(__xludf.DUMMYFUNCTION("googletranslate(E4580,""en"",""ja"")"),"生体試料中の II 型分泌型ホスホリパーゼ A2 の測定。")</f>
        <v>生体試料中の II 型分泌型ホスホリパーゼ A2 の測定。</v>
      </c>
      <c r="I4580" s="3" t="str">
        <f ca="1">IFERROR(__xludf.DUMMYFUNCTION("googletranslate(F4580,""en"",""ja"")"),"II型分泌型ホスホリパーゼA2の測定")</f>
        <v>II型分泌型ホスホリパーゼA2の測定</v>
      </c>
    </row>
    <row r="4581" spans="1:9" ht="30">
      <c r="A4581" s="3" t="s">
        <v>5519</v>
      </c>
      <c r="B4581" s="3" t="s">
        <v>18797</v>
      </c>
      <c r="C4581" s="3" t="s">
        <v>18798</v>
      </c>
      <c r="D4581" s="3" t="s">
        <v>18798</v>
      </c>
      <c r="E4581" s="3" t="s">
        <v>18799</v>
      </c>
      <c r="F4581" s="3" t="s">
        <v>18798</v>
      </c>
      <c r="G4581" s="3" t="str">
        <f ca="1">IFERROR(__xludf.DUMMYFUNCTION("googletranslate(D4581,""en"",""ja"")"),"脾腫インジケーター")</f>
        <v>脾腫インジケーター</v>
      </c>
      <c r="H4581" s="3" t="str">
        <f ca="1">IFERROR(__xludf.DUMMYFUNCTION("googletranslate(E4581,""en"",""ja"")"),"脾腫（脾臓の肥大）が存在するかどうかの指標。")</f>
        <v>脾腫（脾臓の肥大）が存在するかどうかの指標。</v>
      </c>
      <c r="I4581" s="3" t="str">
        <f ca="1">IFERROR(__xludf.DUMMYFUNCTION("googletranslate(F4581,""en"",""ja"")"),"脾腫インジケーター")</f>
        <v>脾腫インジケーター</v>
      </c>
    </row>
    <row r="4582" spans="1:9" ht="60">
      <c r="A4582" s="3" t="s">
        <v>51</v>
      </c>
      <c r="B4582" s="3" t="s">
        <v>18800</v>
      </c>
      <c r="C4582" s="3" t="s">
        <v>18801</v>
      </c>
      <c r="D4582" s="3" t="s">
        <v>18802</v>
      </c>
      <c r="E4582" s="3" t="s">
        <v>18803</v>
      </c>
      <c r="F4582" s="3" t="s">
        <v>18804</v>
      </c>
      <c r="G4582" s="3" t="str">
        <f ca="1">IFERROR(__xludf.DUMMYFUNCTION("googletranslate(D4582,""en"",""ja"")"),"S-フェニルメルカプツール酸; S-フェニルメルカプチュレート; S-フェニルメルカプツール酸; S-PMA")</f>
        <v>S-フェニルメルカプツール酸; S-フェニルメルカプチュレート; S-フェニルメルカプツール酸; S-PMA</v>
      </c>
      <c r="H4582" s="3" t="str">
        <f ca="1">IFERROR(__xludf.DUMMYFUNCTION("googletranslate(E4582,""en"",""ja"")"),"試料中の S-フェニルメルカプツール酸の測定。")</f>
        <v>試料中の S-フェニルメルカプツール酸の測定。</v>
      </c>
      <c r="I4582" s="3" t="str">
        <f ca="1">IFERROR(__xludf.DUMMYFUNCTION("googletranslate(F4582,""en"",""ja"")"),"S-フェニルメルカプツール酸の測定")</f>
        <v>S-フェニルメルカプツール酸の測定</v>
      </c>
    </row>
    <row r="4583" spans="1:9" ht="30">
      <c r="A4583" s="3" t="s">
        <v>6</v>
      </c>
      <c r="B4583" s="3" t="s">
        <v>18805</v>
      </c>
      <c r="C4583" s="3" t="s">
        <v>18806</v>
      </c>
      <c r="D4583" s="3" t="s">
        <v>18806</v>
      </c>
      <c r="E4583" s="3" t="s">
        <v>18807</v>
      </c>
      <c r="F4583" s="3" t="s">
        <v>18808</v>
      </c>
      <c r="G4583" s="3" t="str">
        <f ca="1">IFERROR(__xludf.DUMMYFUNCTION("googletranslate(D4583,""en"",""ja"")"),"精子の凝集")</f>
        <v>精子の凝集</v>
      </c>
      <c r="H4583" s="3" t="str">
        <f ca="1">IFERROR(__xludf.DUMMYFUNCTION("googletranslate(E4583,""en"",""ja"")"),"生物学的標本における運動性精子の凝集の測定。")</f>
        <v>生物学的標本における運動性精子の凝集の測定。</v>
      </c>
      <c r="I4583" s="3" t="str">
        <f ca="1">IFERROR(__xludf.DUMMYFUNCTION("googletranslate(F4583,""en"",""ja"")"),"精子凝集測定")</f>
        <v>精子凝集測定</v>
      </c>
    </row>
    <row r="4584" spans="1:9" ht="30">
      <c r="A4584" s="3" t="s">
        <v>6</v>
      </c>
      <c r="B4584" s="3" t="s">
        <v>18809</v>
      </c>
      <c r="C4584" s="3" t="s">
        <v>18810</v>
      </c>
      <c r="D4584" s="3" t="s">
        <v>18810</v>
      </c>
      <c r="E4584" s="3" t="s">
        <v>18811</v>
      </c>
      <c r="F4584" s="3" t="s">
        <v>18812</v>
      </c>
      <c r="G4584" s="3" t="str">
        <f ca="1">IFERROR(__xludf.DUMMYFUNCTION("googletranslate(D4584,""en"",""ja"")"),"精子の凝集")</f>
        <v>精子の凝集</v>
      </c>
      <c r="H4584" s="3" t="str">
        <f ca="1">IFERROR(__xludf.DUMMYFUNCTION("googletranslate(E4584,""en"",""ja"")"),"生物学的標本における不動精子の凝集の測定。")</f>
        <v>生物学的標本における不動精子の凝集の測定。</v>
      </c>
      <c r="I4584" s="3" t="str">
        <f ca="1">IFERROR(__xludf.DUMMYFUNCTION("googletranslate(F4584,""en"",""ja"")"),"精子凝集測定")</f>
        <v>精子凝集測定</v>
      </c>
    </row>
    <row r="4585" spans="1:9" ht="30">
      <c r="A4585" s="3" t="s">
        <v>6</v>
      </c>
      <c r="B4585" s="3" t="s">
        <v>18813</v>
      </c>
      <c r="C4585" s="3" t="s">
        <v>18814</v>
      </c>
      <c r="D4585" s="3" t="s">
        <v>18814</v>
      </c>
      <c r="E4585" s="3" t="s">
        <v>18815</v>
      </c>
      <c r="F4585" s="3" t="s">
        <v>18816</v>
      </c>
      <c r="G4585" s="3" t="str">
        <f ca="1">IFERROR(__xludf.DUMMYFUNCTION("googletranslate(D4585,""en"",""ja"")"),"運動精子/総精子")</f>
        <v>運動精子/総精子</v>
      </c>
      <c r="H4585" s="3" t="str">
        <f ca="1">IFERROR(__xludf.DUMMYFUNCTION("googletranslate(E4585,""en"",""ja"")"),"生物学的標本中の総精子に対する運動精子の相対的な測定値 (比率またはパーセンテージ)。")</f>
        <v>生物学的標本中の総精子に対する運動精子の相対的な測定値 (比率またはパーセンテージ)。</v>
      </c>
      <c r="I4585" s="3" t="str">
        <f ca="1">IFERROR(__xludf.DUMMYFUNCTION("googletranslate(F4585,""en"",""ja"")"),"運動精子と総精子の比率の測定")</f>
        <v>運動精子と総精子の比率の測定</v>
      </c>
    </row>
    <row r="4586" spans="1:9" ht="45">
      <c r="A4586" s="3" t="s">
        <v>6</v>
      </c>
      <c r="B4586" s="3" t="s">
        <v>18817</v>
      </c>
      <c r="C4586" s="3" t="s">
        <v>18818</v>
      </c>
      <c r="D4586" s="3" t="s">
        <v>18818</v>
      </c>
      <c r="E4586" s="3" t="s">
        <v>18819</v>
      </c>
      <c r="F4586" s="3" t="s">
        <v>18820</v>
      </c>
      <c r="G4586" s="3" t="str">
        <f ca="1">IFERROR(__xludf.DUMMYFUNCTION("googletranslate(D4586,""en"",""ja"")"),"精子、進行性/精子")</f>
        <v>精子、進行性/精子</v>
      </c>
      <c r="H4586" s="3" t="str">
        <f ca="1">IFERROR(__xludf.DUMMYFUNCTION("googletranslate(E4586,""en"",""ja"")"),"生物学的標本中の総精子に対する進行精子の相対的な測定値 (比率またはパーセンテージ)。")</f>
        <v>生物学的標本中の総精子に対する進行精子の相対的な測定値 (比率またはパーセンテージ)。</v>
      </c>
      <c r="I4586" s="3" t="str">
        <f ca="1">IFERROR(__xludf.DUMMYFUNCTION("googletranslate(F4586,""en"",""ja"")"),"累進的精子対総精子比測定")</f>
        <v>累進的精子対総精子比測定</v>
      </c>
    </row>
    <row r="4587" spans="1:9" ht="30">
      <c r="A4587" s="3" t="s">
        <v>67</v>
      </c>
      <c r="B4587" s="3" t="s">
        <v>18821</v>
      </c>
      <c r="C4587" s="3" t="s">
        <v>18822</v>
      </c>
      <c r="D4587" s="3" t="s">
        <v>18822</v>
      </c>
      <c r="E4587" s="3" t="s">
        <v>18823</v>
      </c>
      <c r="F4587" s="3" t="s">
        <v>18824</v>
      </c>
      <c r="G4587" s="3" t="str">
        <f ca="1">IFERROR(__xludf.DUMMYFUNCTION("googletranslate(D4587,""en"",""ja"")"),"肺炎球菌")</f>
        <v>肺炎球菌</v>
      </c>
      <c r="H4587" s="3" t="str">
        <f ca="1">IFERROR(__xludf.DUMMYFUNCTION("googletranslate(E4587,""en"",""ja"")"),"生物学的検体中の肺炎球菌の測定。")</f>
        <v>生物学的検体中の肺炎球菌の測定。</v>
      </c>
      <c r="I4587" s="3" t="str">
        <f ca="1">IFERROR(__xludf.DUMMYFUNCTION("googletranslate(F4587,""en"",""ja"")"),"肺炎球菌測定")</f>
        <v>肺炎球菌測定</v>
      </c>
    </row>
    <row r="4588" spans="1:9" ht="30">
      <c r="A4588" s="3" t="s">
        <v>67</v>
      </c>
      <c r="B4588" s="3" t="s">
        <v>18825</v>
      </c>
      <c r="C4588" s="3" t="s">
        <v>18826</v>
      </c>
      <c r="D4588" s="3" t="s">
        <v>18826</v>
      </c>
      <c r="E4588" s="3" t="s">
        <v>18827</v>
      </c>
      <c r="F4588" s="3" t="s">
        <v>18828</v>
      </c>
      <c r="G4588" s="3" t="str">
        <f ca="1">IFERROR(__xludf.DUMMYFUNCTION("googletranslate(D4588,""en"",""ja"")"),"肺炎球菌抗原")</f>
        <v>肺炎球菌抗原</v>
      </c>
      <c r="H4588" s="3" t="str">
        <f ca="1">IFERROR(__xludf.DUMMYFUNCTION("googletranslate(E4588,""en"",""ja"")"),"生物学的検体中の肺炎球菌抗原の測定。")</f>
        <v>生物学的検体中の肺炎球菌抗原の測定。</v>
      </c>
      <c r="I4588" s="3" t="str">
        <f ca="1">IFERROR(__xludf.DUMMYFUNCTION("googletranslate(F4588,""en"",""ja"")"),"肺炎球菌抗原測定")</f>
        <v>肺炎球菌抗原測定</v>
      </c>
    </row>
    <row r="4589" spans="1:9" ht="30">
      <c r="A4589" s="3" t="s">
        <v>67</v>
      </c>
      <c r="B4589" s="3" t="s">
        <v>18829</v>
      </c>
      <c r="C4589" s="3" t="s">
        <v>18830</v>
      </c>
      <c r="D4589" s="3" t="s">
        <v>18830</v>
      </c>
      <c r="E4589" s="3" t="s">
        <v>18831</v>
      </c>
      <c r="F4589" s="3" t="s">
        <v>18832</v>
      </c>
      <c r="G4589" s="3" t="str">
        <f ca="1">IFERROR(__xludf.DUMMYFUNCTION("googletranslate(D4589,""en"",""ja"")"),"肺炎球菌のDNA")</f>
        <v>肺炎球菌のDNA</v>
      </c>
      <c r="H4589" s="3" t="str">
        <f ca="1">IFERROR(__xludf.DUMMYFUNCTION("googletranslate(E4589,""en"",""ja"")"),"生物学的検体中の肺炎球菌 DNA の測定。")</f>
        <v>生物学的検体中の肺炎球菌 DNA の測定。</v>
      </c>
      <c r="I4589" s="3" t="str">
        <f ca="1">IFERROR(__xludf.DUMMYFUNCTION("googletranslate(F4589,""en"",""ja"")"),"肺炎球菌DNA測定")</f>
        <v>肺炎球菌DNA測定</v>
      </c>
    </row>
    <row r="4590" spans="1:9" ht="30">
      <c r="A4590" s="3" t="s">
        <v>1664</v>
      </c>
      <c r="B4590" s="3" t="s">
        <v>18833</v>
      </c>
      <c r="C4590" s="3" t="s">
        <v>18834</v>
      </c>
      <c r="D4590" s="3" t="s">
        <v>18834</v>
      </c>
      <c r="E4590" s="3" t="s">
        <v>18835</v>
      </c>
      <c r="F4590" s="3" t="s">
        <v>18836</v>
      </c>
      <c r="G4590" s="3" t="str">
        <f ca="1">IFERROR(__xludf.DUMMYFUNCTION("googletranslate(D4590,""en"",""ja"")"),"上室性不整脈")</f>
        <v>上室性不整脈</v>
      </c>
      <c r="H4590" s="3" t="str">
        <f ca="1">IFERROR(__xludf.DUMMYFUNCTION("googletranslate(E4590,""en"",""ja"")"),"頻脈を除く上室性不整脈の心電図検査。")</f>
        <v>頻脈を除く上室性不整脈の心電図検査。</v>
      </c>
      <c r="I4590" s="3" t="str">
        <f ca="1">IFERROR(__xludf.DUMMYFUNCTION("googletranslate(F4590,""en"",""ja"")"),"上室性不整脈の ECG 評価")</f>
        <v>上室性不整脈の ECG 評価</v>
      </c>
    </row>
    <row r="4591" spans="1:9" ht="30">
      <c r="A4591" s="3" t="s">
        <v>985</v>
      </c>
      <c r="B4591" s="3" t="s">
        <v>18833</v>
      </c>
      <c r="C4591" s="3" t="s">
        <v>18834</v>
      </c>
      <c r="D4591" s="3" t="s">
        <v>18834</v>
      </c>
      <c r="E4591" s="3" t="s">
        <v>18835</v>
      </c>
      <c r="F4591" s="3" t="s">
        <v>18836</v>
      </c>
      <c r="G4591" s="3" t="str">
        <f ca="1">IFERROR(__xludf.DUMMYFUNCTION("googletranslate(D4591,""en"",""ja"")"),"上室性不整脈")</f>
        <v>上室性不整脈</v>
      </c>
      <c r="H4591" s="3" t="str">
        <f ca="1">IFERROR(__xludf.DUMMYFUNCTION("googletranslate(E4591,""en"",""ja"")"),"頻脈を除く上室性不整脈の心電図検査。")</f>
        <v>頻脈を除く上室性不整脈の心電図検査。</v>
      </c>
      <c r="I4591" s="3" t="str">
        <f ca="1">IFERROR(__xludf.DUMMYFUNCTION("googletranslate(F4591,""en"",""ja"")"),"上室性不整脈の ECG 評価")</f>
        <v>上室性不整脈の ECG 評価</v>
      </c>
    </row>
    <row r="4592" spans="1:9" ht="30">
      <c r="A4592" s="3" t="s">
        <v>985</v>
      </c>
      <c r="B4592" s="3" t="s">
        <v>18837</v>
      </c>
      <c r="C4592" s="3" t="s">
        <v>18838</v>
      </c>
      <c r="D4592" s="3" t="s">
        <v>18838</v>
      </c>
      <c r="E4592" s="3" t="s">
        <v>18839</v>
      </c>
      <c r="F4592" s="3" t="s">
        <v>18840</v>
      </c>
      <c r="G4592" s="3" t="str">
        <f ca="1">IFERROR(__xludf.DUMMYFUNCTION("googletranslate(D4592,""en"",""ja"")"),"上室性頻脈性不整脈")</f>
        <v>上室性頻脈性不整脈</v>
      </c>
      <c r="H4592" s="3" t="str">
        <f ca="1">IFERROR(__xludf.DUMMYFUNCTION("googletranslate(E4592,""en"",""ja"")"),"上室性頻脈性不整脈の心電図評価。")</f>
        <v>上室性頻脈性不整脈の心電図評価。</v>
      </c>
      <c r="I4592" s="3" t="str">
        <f ca="1">IFERROR(__xludf.DUMMYFUNCTION("googletranslate(F4592,""en"",""ja"")"),"上室性頻脈性不整脈の ECG 評価")</f>
        <v>上室性頻脈性不整脈の ECG 評価</v>
      </c>
    </row>
    <row r="4593" spans="1:9" ht="30">
      <c r="A4593" s="3" t="s">
        <v>1664</v>
      </c>
      <c r="B4593" s="3" t="s">
        <v>18837</v>
      </c>
      <c r="C4593" s="3" t="s">
        <v>18838</v>
      </c>
      <c r="D4593" s="3" t="s">
        <v>18838</v>
      </c>
      <c r="E4593" s="3" t="s">
        <v>18839</v>
      </c>
      <c r="F4593" s="3" t="s">
        <v>18840</v>
      </c>
      <c r="G4593" s="3" t="str">
        <f ca="1">IFERROR(__xludf.DUMMYFUNCTION("googletranslate(D4593,""en"",""ja"")"),"上室性頻脈性不整脈")</f>
        <v>上室性頻脈性不整脈</v>
      </c>
      <c r="H4593" s="3" t="str">
        <f ca="1">IFERROR(__xludf.DUMMYFUNCTION("googletranslate(E4593,""en"",""ja"")"),"上室性頻脈性不整脈の心電図評価。")</f>
        <v>上室性頻脈性不整脈の心電図評価。</v>
      </c>
      <c r="I4593" s="3" t="str">
        <f ca="1">IFERROR(__xludf.DUMMYFUNCTION("googletranslate(F4593,""en"",""ja"")"),"上室性頻脈性不整脈の ECG 評価")</f>
        <v>上室性頻脈性不整脈の ECG 評価</v>
      </c>
    </row>
    <row r="4594" spans="1:9" ht="45">
      <c r="A4594" s="3" t="s">
        <v>1255</v>
      </c>
      <c r="B4594" s="3" t="s">
        <v>18841</v>
      </c>
      <c r="C4594" s="3" t="s">
        <v>18842</v>
      </c>
      <c r="D4594" s="3" t="s">
        <v>18843</v>
      </c>
      <c r="E4594" s="3" t="s">
        <v>18844</v>
      </c>
      <c r="F4594" s="3" t="s">
        <v>18842</v>
      </c>
      <c r="G4594" s="3" t="str">
        <f ca="1">IFERROR(__xludf.DUMMYFUNCTION("googletranslate(D4594,""en"",""ja"")"),"STEAMパルスシーケンスの混合時間。刺激エコー取得モード パルスシーケンス混合時間")</f>
        <v>STEAMパルスシーケンスの混合時間。刺激エコー取得モード パルスシーケンス混合時間</v>
      </c>
      <c r="H4594" s="3" t="str">
        <f ca="1">IFERROR(__xludf.DUMMYFUNCTION("googletranslate(E4594,""en"",""ja"")"),"刺激エコー取得モード (STEAM) パルス シーケンスの 2 番目と 3 番目のパルスの間で経過した時間。")</f>
        <v>刺激エコー取得モード (STEAM) パルス シーケンスの 2 番目と 3 番目のパルスの間で経過した時間。</v>
      </c>
      <c r="I4594" s="3" t="str">
        <f ca="1">IFERROR(__xludf.DUMMYFUNCTION("googletranslate(F4594,""en"",""ja"")"),"STEAMパルスシーケンス混合時間")</f>
        <v>STEAMパルスシーケンス混合時間</v>
      </c>
    </row>
    <row r="4595" spans="1:9">
      <c r="A4595" s="3" t="s">
        <v>6</v>
      </c>
      <c r="B4595" s="3" t="s">
        <v>18845</v>
      </c>
      <c r="C4595" s="3" t="s">
        <v>18846</v>
      </c>
      <c r="D4595" s="3" t="s">
        <v>18846</v>
      </c>
      <c r="E4595" s="3" t="s">
        <v>18847</v>
      </c>
      <c r="F4595" s="3" t="s">
        <v>18848</v>
      </c>
      <c r="G4595" s="3" t="str">
        <f ca="1">IFERROR(__xludf.DUMMYFUNCTION("googletranslate(D4595,""en"",""ja"")"),"試験片重量")</f>
        <v>試験片重量</v>
      </c>
      <c r="H4595" s="3" t="str">
        <f ca="1">IFERROR(__xludf.DUMMYFUNCTION("googletranslate(E4595,""en"",""ja"")"),"生物標本の重量の測定。")</f>
        <v>生物標本の重量の測定。</v>
      </c>
      <c r="I4595" s="3" t="str">
        <f ca="1">IFERROR(__xludf.DUMMYFUNCTION("googletranslate(F4595,""en"",""ja"")"),"試験片重量測定")</f>
        <v>試験片重量測定</v>
      </c>
    </row>
    <row r="4596" spans="1:9">
      <c r="A4596" s="3" t="s">
        <v>33</v>
      </c>
      <c r="B4596" s="3" t="s">
        <v>18845</v>
      </c>
      <c r="C4596" s="3" t="s">
        <v>18846</v>
      </c>
      <c r="D4596" s="3" t="s">
        <v>18846</v>
      </c>
      <c r="E4596" s="3" t="s">
        <v>18847</v>
      </c>
      <c r="F4596" s="3" t="s">
        <v>18848</v>
      </c>
      <c r="G4596" s="3" t="str">
        <f ca="1">IFERROR(__xludf.DUMMYFUNCTION("googletranslate(D4596,""en"",""ja"")"),"試験片重量")</f>
        <v>試験片重量</v>
      </c>
      <c r="H4596" s="3" t="str">
        <f ca="1">IFERROR(__xludf.DUMMYFUNCTION("googletranslate(E4596,""en"",""ja"")"),"生物標本の重量の測定。")</f>
        <v>生物標本の重量の測定。</v>
      </c>
      <c r="I4596" s="3" t="str">
        <f ca="1">IFERROR(__xludf.DUMMYFUNCTION("googletranslate(F4596,""en"",""ja"")"),"試験片重量測定")</f>
        <v>試験片重量測定</v>
      </c>
    </row>
    <row r="4597" spans="1:9" ht="30">
      <c r="A4597" s="3" t="s">
        <v>67</v>
      </c>
      <c r="B4597" s="3" t="s">
        <v>18849</v>
      </c>
      <c r="C4597" s="3" t="s">
        <v>18850</v>
      </c>
      <c r="D4597" s="3" t="s">
        <v>18850</v>
      </c>
      <c r="E4597" s="3" t="s">
        <v>18851</v>
      </c>
      <c r="F4597" s="3" t="s">
        <v>18852</v>
      </c>
      <c r="G4597" s="3" t="str">
        <f ca="1">IFERROR(__xludf.DUMMYFUNCTION("googletranslate(D4597,""en"",""ja"")"),"化膿レンサ球菌")</f>
        <v>化膿レンサ球菌</v>
      </c>
      <c r="H4597" s="3" t="str">
        <f ca="1">IFERROR(__xludf.DUMMYFUNCTION("googletranslate(E4597,""en"",""ja"")"),"生物学的標本中の化膿連鎖球菌の測定。")</f>
        <v>生物学的標本中の化膿連鎖球菌の測定。</v>
      </c>
      <c r="I4597" s="3" t="str">
        <f ca="1">IFERROR(__xludf.DUMMYFUNCTION("googletranslate(F4597,""en"",""ja"")"),"化膿レンサ球菌の測定")</f>
        <v>化膿レンサ球菌の測定</v>
      </c>
    </row>
    <row r="4598" spans="1:9" ht="30">
      <c r="A4598" s="3" t="s">
        <v>67</v>
      </c>
      <c r="B4598" s="3" t="s">
        <v>18853</v>
      </c>
      <c r="C4598" s="3" t="s">
        <v>18854</v>
      </c>
      <c r="D4598" s="3" t="s">
        <v>18854</v>
      </c>
      <c r="E4598" s="3" t="s">
        <v>18855</v>
      </c>
      <c r="F4598" s="3" t="s">
        <v>18856</v>
      </c>
      <c r="G4598" s="3" t="str">
        <f ca="1">IFERROR(__xludf.DUMMYFUNCTION("googletranslate(D4598,""en"",""ja"")"),"化膿レンサ球菌抗原")</f>
        <v>化膿レンサ球菌抗原</v>
      </c>
      <c r="H4598" s="3" t="str">
        <f ca="1">IFERROR(__xludf.DUMMYFUNCTION("googletranslate(E4598,""en"",""ja"")"),"生物学的検体中の化膿連鎖球菌抗原の測定。")</f>
        <v>生物学的検体中の化膿連鎖球菌抗原の測定。</v>
      </c>
      <c r="I4598" s="3" t="str">
        <f ca="1">IFERROR(__xludf.DUMMYFUNCTION("googletranslate(F4598,""en"",""ja"")"),"化膿レンサ球菌抗原測定")</f>
        <v>化膿レンサ球菌抗原測定</v>
      </c>
    </row>
    <row r="4599" spans="1:9" ht="30">
      <c r="A4599" s="3" t="s">
        <v>67</v>
      </c>
      <c r="B4599" s="3" t="s">
        <v>18857</v>
      </c>
      <c r="C4599" s="3" t="s">
        <v>18858</v>
      </c>
      <c r="D4599" s="3" t="s">
        <v>18858</v>
      </c>
      <c r="E4599" s="3" t="s">
        <v>18859</v>
      </c>
      <c r="F4599" s="3" t="s">
        <v>18860</v>
      </c>
      <c r="G4599" s="3" t="str">
        <f ca="1">IFERROR(__xludf.DUMMYFUNCTION("googletranslate(D4599,""en"",""ja"")"),"化膿レンサ球菌のDNA")</f>
        <v>化膿レンサ球菌のDNA</v>
      </c>
      <c r="H4599" s="3" t="str">
        <f ca="1">IFERROR(__xludf.DUMMYFUNCTION("googletranslate(E4599,""en"",""ja"")"),"生物学的標本中の化膿連鎖球菌 DNA の測定。")</f>
        <v>生物学的標本中の化膿連鎖球菌 DNA の測定。</v>
      </c>
      <c r="I4599" s="3" t="str">
        <f ca="1">IFERROR(__xludf.DUMMYFUNCTION("googletranslate(F4599,""en"",""ja"")"),"化膿レンサ球菌のDNA測定")</f>
        <v>化膿レンサ球菌のDNA測定</v>
      </c>
    </row>
    <row r="4600" spans="1:9" ht="45">
      <c r="A4600" s="3" t="s">
        <v>67</v>
      </c>
      <c r="B4600" s="3" t="s">
        <v>18861</v>
      </c>
      <c r="C4600" s="3" t="s">
        <v>18862</v>
      </c>
      <c r="D4600" s="3" t="s">
        <v>18863</v>
      </c>
      <c r="E4600" s="3" t="s">
        <v>18864</v>
      </c>
      <c r="F4600" s="3" t="s">
        <v>18865</v>
      </c>
      <c r="G4600" s="3" t="str">
        <f ca="1">IFERROR(__xludf.DUMMYFUNCTION("googletranslate(D4600,""en"",""ja"")"),"SARS-CoV-2 RdRp 遺伝子; SARS-CoV-2 RdRp RNA; SARS-CoV-2 RNA依存性RNAポリメラーゼRNA")</f>
        <v>SARS-CoV-2 RdRp 遺伝子; SARS-CoV-2 RdRp RNA; SARS-CoV-2 RNA依存性RNAポリメラーゼRNA</v>
      </c>
      <c r="H4600" s="3" t="str">
        <f ca="1">IFERROR(__xludf.DUMMYFUNCTION("googletranslate(E4600,""en"",""ja"")"),"生物学的検体中の SARS-CoV-2 RdRp RNA の測定。")</f>
        <v>生物学的検体中の SARS-CoV-2 RdRp RNA の測定。</v>
      </c>
      <c r="I4600" s="3" t="str">
        <f ca="1">IFERROR(__xludf.DUMMYFUNCTION("googletranslate(F4600,""en"",""ja"")"),"SARS-CoV-2 RdRp RNA の測定")</f>
        <v>SARS-CoV-2 RdRp RNA の測定</v>
      </c>
    </row>
    <row r="4601" spans="1:9" ht="45">
      <c r="A4601" s="3" t="s">
        <v>490</v>
      </c>
      <c r="B4601" s="3" t="s">
        <v>18866</v>
      </c>
      <c r="C4601" s="3" t="s">
        <v>18867</v>
      </c>
      <c r="D4601" s="3" t="s">
        <v>18867</v>
      </c>
      <c r="E4601" s="3" t="s">
        <v>18868</v>
      </c>
      <c r="F4601" s="3" t="s">
        <v>18867</v>
      </c>
      <c r="G4601" s="3" t="str">
        <f ca="1">IFERROR(__xludf.DUMMYFUNCTION("googletranslate(D4601,""en"",""ja"")"),"比気道抵抗")</f>
        <v>比気道抵抗</v>
      </c>
      <c r="H4601" s="3" t="str">
        <f ca="1">IFERROR(__xludf.DUMMYFUNCTION("googletranslate(E4601,""en"",""ja"")"),"肺容積に関係なく気道の挙動を説明するために使用される測定値。これは、気道抵抗（生）と機能的残気量（FRC）を乗じて計算されます。")</f>
        <v>肺容積に関係なく気道の挙動を説明するために使用される測定値。これは、気道抵抗（生）と機能的残気量（FRC）を乗じて計算されます。</v>
      </c>
      <c r="I4601" s="3" t="str">
        <f ca="1">IFERROR(__xludf.DUMMYFUNCTION("googletranslate(F4601,""en"",""ja"")"),"比気道抵抗")</f>
        <v>比気道抵抗</v>
      </c>
    </row>
    <row r="4602" spans="1:9" ht="60">
      <c r="A4602" s="3" t="s">
        <v>490</v>
      </c>
      <c r="B4602" s="3" t="s">
        <v>18869</v>
      </c>
      <c r="C4602" s="3" t="s">
        <v>18870</v>
      </c>
      <c r="D4602" s="3" t="s">
        <v>18871</v>
      </c>
      <c r="E4602" s="3" t="s">
        <v>18872</v>
      </c>
      <c r="F4602" s="3" t="s">
        <v>18873</v>
      </c>
      <c r="G4602" s="3" t="str">
        <f ca="1">IFERROR(__xludf.DUMMYFUNCTION("googletranslate(D4602,""en"",""ja"")"),"予測された Sp 気道抵抗のパーセント。予測比気道抵抗のパーセント")</f>
        <v>予測された Sp 気道抵抗のパーセント。予測比気道抵抗のパーセント</v>
      </c>
      <c r="H4602" s="3" t="str">
        <f ca="1">IFERROR(__xludf.DUMMYFUNCTION("googletranslate(E4602,""en"",""ja"")"),"肺容積に関係なく気道の挙動を説明するために使用される測定値。これは、予測正常値の割合として、気道抵抗（Raw）に機能的残気量（FRC）を掛けたものとして計算されます。")</f>
        <v>肺容積に関係なく気道の挙動を説明するために使用される測定値。これは、予測正常値の割合として、気道抵抗（Raw）に機能的残気量（FRC）を掛けたものとして計算されます。</v>
      </c>
      <c r="I4602" s="3" t="str">
        <f ca="1">IFERROR(__xludf.DUMMYFUNCTION("googletranslate(F4602,""en"",""ja"")"),"予測比気道抵抗のパーセント")</f>
        <v>予測比気道抵抗のパーセント</v>
      </c>
    </row>
    <row r="4603" spans="1:9" ht="60">
      <c r="A4603" s="3" t="s">
        <v>2904</v>
      </c>
      <c r="B4603" s="3" t="s">
        <v>18874</v>
      </c>
      <c r="C4603" s="3" t="s">
        <v>18875</v>
      </c>
      <c r="D4603" s="3" t="s">
        <v>18875</v>
      </c>
      <c r="E4603" s="3" t="s">
        <v>18876</v>
      </c>
      <c r="F4603" s="3" t="s">
        <v>18875</v>
      </c>
      <c r="G4603" s="3" t="str">
        <f ca="1">IFERROR(__xludf.DUMMYFUNCTION("googletranslate(D4603,""en"",""ja"")"),"サージカルメッシュオープンエリア")</f>
        <v>サージカルメッシュオープンエリア</v>
      </c>
      <c r="H4603" s="3" t="str">
        <f ca="1">IFERROR(__xludf.DUMMYFUNCTION("googletranslate(E4603,""en"",""ja"")"),"外科手術中に臓器や組織を物理的に支持するために使用される、無機材料または生物学的材料の緩く織られたシート内のオープンスペースの物理的寸法の定量的または定性的測定。")</f>
        <v>外科手術中に臓器や組織を物理的に支持するために使用される、無機材料または生物学的材料の緩く織られたシート内のオープンスペースの物理的寸法の定量的または定性的測定。</v>
      </c>
      <c r="I4603" s="3" t="str">
        <f ca="1">IFERROR(__xludf.DUMMYFUNCTION("googletranslate(F4603,""en"",""ja"")"),"サージカルメッシュオープンエリア")</f>
        <v>サージカルメッシュオープンエリア</v>
      </c>
    </row>
    <row r="4604" spans="1:9" ht="30">
      <c r="A4604" s="3" t="s">
        <v>142</v>
      </c>
      <c r="B4604" s="3" t="s">
        <v>18877</v>
      </c>
      <c r="C4604" s="3" t="s">
        <v>18878</v>
      </c>
      <c r="D4604" s="3" t="s">
        <v>18878</v>
      </c>
      <c r="E4604" s="3" t="s">
        <v>18879</v>
      </c>
      <c r="F4604" s="3" t="s">
        <v>18880</v>
      </c>
      <c r="G4604" s="3" t="str">
        <f ca="1">IFERROR(__xludf.DUMMYFUNCTION("googletranslate(D4604,""en"",""ja"")"),"外科的滅菌インジケーター")</f>
        <v>外科的滅菌インジケーター</v>
      </c>
      <c r="H4604" s="3" t="str">
        <f ca="1">IFERROR(__xludf.DUMMYFUNCTION("googletranslate(E4604,""en"",""ja"")"),"個人が外科的に不妊手術されているかどうかに関する指標。")</f>
        <v>個人が外科的に不妊手術されているかどうかに関する指標。</v>
      </c>
      <c r="I4604" s="3" t="str">
        <f ca="1">IFERROR(__xludf.DUMMYFUNCTION("googletranslate(F4604,""en"",""ja"")"),"個別の外科的無菌インジケーター")</f>
        <v>個別の外科的無菌インジケーター</v>
      </c>
    </row>
    <row r="4605" spans="1:9" ht="60">
      <c r="A4605" s="3" t="s">
        <v>6</v>
      </c>
      <c r="B4605" s="3" t="s">
        <v>18881</v>
      </c>
      <c r="C4605" s="3" t="s">
        <v>18882</v>
      </c>
      <c r="D4605" s="3" t="s">
        <v>18883</v>
      </c>
      <c r="E4605" s="3" t="s">
        <v>18884</v>
      </c>
      <c r="F4605" s="3" t="s">
        <v>18885</v>
      </c>
      <c r="G4605" s="3" t="str">
        <f ca="1">IFERROR(__xludf.DUMMYFUNCTION("googletranslate(D4605,""en"",""ja"")"),"OL-64;セルピンA12;セルピンファミリーAメンバー12;バスピン。内臓脂肪組織由来セルピン")</f>
        <v>OL-64;セルピンA12;セルピンファミリーAメンバー12;バスピン。内臓脂肪組織由来セルピン</v>
      </c>
      <c r="H4605" s="3" t="str">
        <f ca="1">IFERROR(__xludf.DUMMYFUNCTION("googletranslate(E4605,""en"",""ja"")"),"生物学的標本中のセルピン A12 の測定。")</f>
        <v>生物学的標本中のセルピン A12 の測定。</v>
      </c>
      <c r="I4605" s="3" t="str">
        <f ca="1">IFERROR(__xludf.DUMMYFUNCTION("googletranslate(F4605,""en"",""ja"")"),"セルピンA12の測定")</f>
        <v>セルピンA12の測定</v>
      </c>
    </row>
    <row r="4606" spans="1:9" ht="60">
      <c r="A4606" s="3" t="s">
        <v>6</v>
      </c>
      <c r="B4606" s="3" t="s">
        <v>18886</v>
      </c>
      <c r="C4606" s="3" t="s">
        <v>18887</v>
      </c>
      <c r="D4606" s="3" t="s">
        <v>18888</v>
      </c>
      <c r="E4606" s="3" t="s">
        <v>18889</v>
      </c>
      <c r="F4606" s="3" t="s">
        <v>18890</v>
      </c>
      <c r="G4606" s="3" t="str">
        <f ca="1">IFERROR(__xludf.DUMMYFUNCTION("googletranslate(D4606,""en"",""ja"")"),"CBG;コルチコステロイド結合グロブリン;コルチコステロイド結合グロブリン。セルピンA6;トランスコルチン")</f>
        <v>CBG;コルチコステロイド結合グロブリン;コルチコステロイド結合グロブリン。セルピンA6;トランスコルチン</v>
      </c>
      <c r="H4606" s="3" t="str">
        <f ca="1">IFERROR(__xludf.DUMMYFUNCTION("googletranslate(E4606,""en"",""ja"")"),"生物学的標本中のセルピン A6 の測定。")</f>
        <v>生物学的標本中のセルピン A6 の測定。</v>
      </c>
      <c r="I4606" s="3" t="str">
        <f ca="1">IFERROR(__xludf.DUMMYFUNCTION("googletranslate(F4606,""en"",""ja"")"),"セルピンA6の測定")</f>
        <v>セルピンA6の測定</v>
      </c>
    </row>
    <row r="4607" spans="1:9" ht="45">
      <c r="A4607" s="3" t="s">
        <v>6</v>
      </c>
      <c r="B4607" s="3" t="s">
        <v>18891</v>
      </c>
      <c r="C4607" s="3" t="s">
        <v>18892</v>
      </c>
      <c r="D4607" s="3" t="s">
        <v>18893</v>
      </c>
      <c r="E4607" s="3" t="s">
        <v>18894</v>
      </c>
      <c r="F4607" s="3" t="s">
        <v>18895</v>
      </c>
      <c r="G4607" s="3" t="str">
        <f ca="1">IFERROR(__xludf.DUMMYFUNCTION("googletranslate(D4607,""en"",""ja"")"),"マスピン。ペプチダーゼ阻害剤 5; PI-5; PI5;セルピン B5;セルピンファミリーBメンバー5")</f>
        <v>マスピン。ペプチダーゼ阻害剤 5; PI-5; PI5;セルピン B5;セルピンファミリーBメンバー5</v>
      </c>
      <c r="H4607" s="3" t="str">
        <f ca="1">IFERROR(__xludf.DUMMYFUNCTION("googletranslate(E4607,""en"",""ja"")"),"生物学的標本中のセルピンファミリー B メンバー 5 の測定。")</f>
        <v>生物学的標本中のセルピンファミリー B メンバー 5 の測定。</v>
      </c>
      <c r="I4607" s="3" t="str">
        <f ca="1">IFERROR(__xludf.DUMMYFUNCTION("googletranslate(F4607,""en"",""ja"")"),"セルピンファミリー B メンバー 5 の測定")</f>
        <v>セルピンファミリー B メンバー 5 の測定</v>
      </c>
    </row>
    <row r="4608" spans="1:9" ht="45">
      <c r="A4608" s="3" t="s">
        <v>6</v>
      </c>
      <c r="B4608" s="3" t="s">
        <v>18896</v>
      </c>
      <c r="C4608" s="3" t="s">
        <v>18897</v>
      </c>
      <c r="D4608" s="3" t="s">
        <v>18898</v>
      </c>
      <c r="E4608" s="3" t="s">
        <v>18899</v>
      </c>
      <c r="F4608" s="3" t="s">
        <v>18900</v>
      </c>
      <c r="G4608" s="3" t="str">
        <f ca="1">IFERROR(__xludf.DUMMYFUNCTION("googletranslate(D4608,""en"",""ja"")"),"PEDF;色素上皮由来因子;セルピン F1;セルピンファミリーFメンバー1")</f>
        <v>PEDF;色素上皮由来因子;セルピン F1;セルピンファミリーFメンバー1</v>
      </c>
      <c r="H4608" s="3" t="str">
        <f ca="1">IFERROR(__xludf.DUMMYFUNCTION("googletranslate(E4608,""en"",""ja"")"),"生物学的標本中のセルピンファミリー F メンバー 1 の測定。")</f>
        <v>生物学的標本中のセルピンファミリー F メンバー 1 の測定。</v>
      </c>
      <c r="I4608" s="3" t="str">
        <f ca="1">IFERROR(__xludf.DUMMYFUNCTION("googletranslate(F4608,""en"",""ja"")"),"セルピンファミリー F メンバー 1 の測定")</f>
        <v>セルピンファミリー F メンバー 1 の測定</v>
      </c>
    </row>
    <row r="4609" spans="1:9" ht="30">
      <c r="A4609" s="3" t="s">
        <v>6</v>
      </c>
      <c r="B4609" s="3" t="s">
        <v>18901</v>
      </c>
      <c r="C4609" s="3" t="s">
        <v>18902</v>
      </c>
      <c r="D4609" s="3" t="s">
        <v>18902</v>
      </c>
      <c r="E4609" s="3" t="s">
        <v>18903</v>
      </c>
      <c r="F4609" s="3" t="s">
        <v>18904</v>
      </c>
      <c r="G4609" s="3" t="str">
        <f ca="1">IFERROR(__xludf.DUMMYFUNCTION("googletranslate(D4609,""en"",""ja"")"),"セロトニン")</f>
        <v>セロトニン</v>
      </c>
      <c r="H4609" s="3" t="str">
        <f ca="1">IFERROR(__xludf.DUMMYFUNCTION("googletranslate(E4609,""en"",""ja"")"),"生物学的標本中のセロトニン ホルモンの測定。")</f>
        <v>生物学的標本中のセロトニン ホルモンの測定。</v>
      </c>
      <c r="I4609" s="3" t="str">
        <f ca="1">IFERROR(__xludf.DUMMYFUNCTION("googletranslate(F4609,""en"",""ja"")"),"セロトニン測定")</f>
        <v>セロトニン測定</v>
      </c>
    </row>
    <row r="4610" spans="1:9" ht="30">
      <c r="A4610" s="3" t="s">
        <v>67</v>
      </c>
      <c r="B4610" s="3" t="s">
        <v>18905</v>
      </c>
      <c r="C4610" s="3" t="s">
        <v>18906</v>
      </c>
      <c r="D4610" s="3" t="s">
        <v>18906</v>
      </c>
      <c r="E4610" s="3" t="s">
        <v>18907</v>
      </c>
      <c r="F4610" s="3" t="s">
        <v>18908</v>
      </c>
      <c r="G4610" s="3" t="str">
        <f ca="1">IFERROR(__xludf.DUMMYFUNCTION("googletranslate(D4610,""en"",""ja"")"),"腐生ブドウ球菌")</f>
        <v>腐生ブドウ球菌</v>
      </c>
      <c r="H4610" s="3" t="str">
        <f ca="1">IFERROR(__xludf.DUMMYFUNCTION("googletranslate(E4610,""en"",""ja"")"),"生物学的標本中のブドウ球菌の測定。")</f>
        <v>生物学的標本中のブドウ球菌の測定。</v>
      </c>
      <c r="I4610" s="3" t="str">
        <f ca="1">IFERROR(__xludf.DUMMYFUNCTION("googletranslate(F4610,""en"",""ja"")"),"腐性ブドウ球菌の測定")</f>
        <v>腐性ブドウ球菌の測定</v>
      </c>
    </row>
    <row r="4611" spans="1:9" ht="30">
      <c r="A4611" s="3" t="s">
        <v>185</v>
      </c>
      <c r="B4611" s="3" t="s">
        <v>18909</v>
      </c>
      <c r="C4611" s="3" t="s">
        <v>18910</v>
      </c>
      <c r="D4611" s="3" t="s">
        <v>18910</v>
      </c>
      <c r="E4611" s="3" t="s">
        <v>18911</v>
      </c>
      <c r="F4611" s="3" t="s">
        <v>18912</v>
      </c>
      <c r="G4611" s="3" t="str">
        <f ca="1">IFERROR(__xludf.DUMMYFUNCTION("googletranslate(D4611,""en"",""ja"")"),"中止につながる兆候/症状")</f>
        <v>中止につながる兆候/症状</v>
      </c>
      <c r="H4611" s="3" t="str">
        <f ca="1">IFERROR(__xludf.DUMMYFUNCTION("googletranslate(E4611,""en"",""ja"")"),"治療または介入の中止をもたらす兆候および/または症状。")</f>
        <v>治療または介入の中止をもたらす兆候および/または症状。</v>
      </c>
      <c r="I4611" s="3" t="str">
        <f ca="1">IFERROR(__xludf.DUMMYFUNCTION("googletranslate(F4611,""en"",""ja"")"),"中止につながる兆候または症状")</f>
        <v>中止につながる兆候または症状</v>
      </c>
    </row>
    <row r="4612" spans="1:9" ht="45">
      <c r="A4612" s="3" t="s">
        <v>503</v>
      </c>
      <c r="B4612" s="3" t="s">
        <v>18913</v>
      </c>
      <c r="C4612" s="3" t="s">
        <v>18914</v>
      </c>
      <c r="D4612" s="3" t="s">
        <v>18915</v>
      </c>
      <c r="E4612" s="3" t="s">
        <v>18916</v>
      </c>
      <c r="F4612" s="3" t="s">
        <v>18917</v>
      </c>
      <c r="G4612" s="3" t="str">
        <f ca="1">IFERROR(__xludf.DUMMYFUNCTION("googletranslate(D4612,""en"",""ja"")"),"州固有の健康保険プログラム名。州固有の健康保険プログラム名")</f>
        <v>州固有の健康保険プログラム名。州固有の健康保険プログラム名</v>
      </c>
      <c r="H4612" s="3" t="str">
        <f ca="1">IFERROR(__xludf.DUMMYFUNCTION("googletranslate(E4612,""en"",""ja"")"),"米国の州固有の健康保険プログラムの名前。")</f>
        <v>米国の州固有の健康保険プログラムの名前。</v>
      </c>
      <c r="I4612" s="3" t="str">
        <f ca="1">IFERROR(__xludf.DUMMYFUNCTION("googletranslate(F4612,""en"",""ja"")"),"州固有の健康保険プログラム名")</f>
        <v>州固有の健康保険プログラム名</v>
      </c>
    </row>
    <row r="4613" spans="1:9" ht="30">
      <c r="A4613" s="3" t="s">
        <v>503</v>
      </c>
      <c r="B4613" s="3" t="s">
        <v>18918</v>
      </c>
      <c r="C4613" s="3" t="s">
        <v>18919</v>
      </c>
      <c r="D4613" s="3" t="s">
        <v>18919</v>
      </c>
      <c r="E4613" s="3" t="s">
        <v>18920</v>
      </c>
      <c r="F4613" s="3" t="s">
        <v>18919</v>
      </c>
      <c r="G4613" s="3" t="str">
        <f ca="1">IFERROR(__xludf.DUMMYFUNCTION("googletranslate(D4613,""en"",""ja"")"),"州固有のメディケイド プログラム名")</f>
        <v>州固有のメディケイド プログラム名</v>
      </c>
      <c r="H4613" s="3" t="str">
        <f ca="1">IFERROR(__xludf.DUMMYFUNCTION("googletranslate(E4613,""en"",""ja"")"),"米国の州固有のメディケイド プログラムの名前。")</f>
        <v>米国の州固有のメディケイド プログラムの名前。</v>
      </c>
      <c r="I4613" s="3" t="str">
        <f ca="1">IFERROR(__xludf.DUMMYFUNCTION("googletranslate(F4613,""en"",""ja"")"),"州固有のメディケイド プログラム名")</f>
        <v>州固有のメディケイド プログラム名</v>
      </c>
    </row>
    <row r="4614" spans="1:9" ht="30">
      <c r="A4614" s="3" t="s">
        <v>503</v>
      </c>
      <c r="B4614" s="3" t="s">
        <v>18921</v>
      </c>
      <c r="C4614" s="3" t="s">
        <v>18922</v>
      </c>
      <c r="D4614" s="3" t="s">
        <v>18922</v>
      </c>
      <c r="E4614" s="3" t="s">
        <v>18923</v>
      </c>
      <c r="F4614" s="3" t="s">
        <v>18922</v>
      </c>
      <c r="G4614" s="3" t="str">
        <f ca="1">IFERROR(__xludf.DUMMYFUNCTION("googletranslate(D4614,""en"",""ja"")"),"州固有のメディケア プログラム名")</f>
        <v>州固有のメディケア プログラム名</v>
      </c>
      <c r="H4614" s="3" t="str">
        <f ca="1">IFERROR(__xludf.DUMMYFUNCTION("googletranslate(E4614,""en"",""ja"")"),"米国の州固有のメディケア プログラムの名前。")</f>
        <v>米国の州固有のメディケア プログラムの名前。</v>
      </c>
      <c r="I4614" s="3" t="str">
        <f ca="1">IFERROR(__xludf.DUMMYFUNCTION("googletranslate(F4614,""en"",""ja"")"),"州固有のメディケア プログラム名")</f>
        <v>州固有のメディケア プログラム名</v>
      </c>
    </row>
    <row r="4615" spans="1:9" ht="30">
      <c r="A4615" s="3" t="s">
        <v>118</v>
      </c>
      <c r="B4615" s="3" t="s">
        <v>18924</v>
      </c>
      <c r="C4615" s="3" t="s">
        <v>18925</v>
      </c>
      <c r="D4615" s="3" t="s">
        <v>18925</v>
      </c>
      <c r="E4615" s="3" t="s">
        <v>18926</v>
      </c>
      <c r="F4615" s="3" t="s">
        <v>18925</v>
      </c>
      <c r="G4615" s="3" t="str">
        <f ca="1">IFERROR(__xludf.DUMMYFUNCTION("googletranslate(D4615,""en"",""ja"")"),"肩甲下の皮下脂肪の厚さ")</f>
        <v>肩甲下の皮下脂肪の厚さ</v>
      </c>
      <c r="H4615" s="3" t="str">
        <f ca="1">IFERROR(__xludf.DUMMYFUNCTION("googletranslate(E4615,""en"",""ja"")"),"肩甲骨の下または下側にあるひとつまみの皮膚の厚さの測定値。 (NCI)")</f>
        <v>肩甲骨の下または下側にあるひとつまみの皮膚の厚さの測定値。 (NCI)</v>
      </c>
      <c r="I4615" s="3" t="str">
        <f ca="1">IFERROR(__xludf.DUMMYFUNCTION("googletranslate(F4615,""en"",""ja"")"),"肩甲下の皮下脂肪の厚さ")</f>
        <v>肩甲下の皮下脂肪の厚さ</v>
      </c>
    </row>
    <row r="4616" spans="1:9" ht="30">
      <c r="A4616" s="3" t="s">
        <v>6</v>
      </c>
      <c r="B4616" s="3" t="s">
        <v>18927</v>
      </c>
      <c r="C4616" s="3" t="s">
        <v>18928</v>
      </c>
      <c r="D4616" s="3" t="s">
        <v>18929</v>
      </c>
      <c r="E4616" s="3" t="s">
        <v>18930</v>
      </c>
      <c r="F4616" s="3" t="s">
        <v>18931</v>
      </c>
      <c r="G4616" s="3" t="str">
        <f ca="1">IFERROR(__xludf.DUMMYFUNCTION("googletranslate(D4616,""en"",""ja"")"),"ソマトスタチン受容体タイプ 2; SRIF-1")</f>
        <v>ソマトスタチン受容体タイプ 2; SRIF-1</v>
      </c>
      <c r="H4616" s="3" t="str">
        <f ca="1">IFERROR(__xludf.DUMMYFUNCTION("googletranslate(E4616,""en"",""ja"")"),"生体試料中のソマトスタチン受容体タイプ 2 の測定。")</f>
        <v>生体試料中のソマトスタチン受容体タイプ 2 の測定。</v>
      </c>
      <c r="I4616" s="3" t="str">
        <f ca="1">IFERROR(__xludf.DUMMYFUNCTION("googletranslate(F4616,""en"",""ja"")"),"ソマトスタチン受容体タイプ 2 の測定")</f>
        <v>ソマトスタチン受容体タイプ 2 の測定</v>
      </c>
    </row>
    <row r="4617" spans="1:9" ht="75">
      <c r="A4617" s="3" t="s">
        <v>81</v>
      </c>
      <c r="B4617" s="3" t="s">
        <v>18932</v>
      </c>
      <c r="C4617" s="3" t="s">
        <v>18933</v>
      </c>
      <c r="D4617" s="3" t="s">
        <v>18934</v>
      </c>
      <c r="E4617" s="3" t="s">
        <v>18935</v>
      </c>
      <c r="F4617" s="3" t="s">
        <v>18936</v>
      </c>
      <c r="G4617" s="3" t="str">
        <f ca="1">IFERROR(__xludf.DUMMYFUNCTION("googletranslate(D4617,""en"",""ja"")"),"スタンフォード AoD 分類;スタンフォード大動脈解離分類")</f>
        <v>スタンフォード AoD 分類;スタンフォード大動脈解離分類</v>
      </c>
      <c r="H4617" s="3" t="str">
        <f ca="1">IFERROR(__xludf.DUMMYFUNCTION("googletranslate(E4617,""en"",""ja"")"),"スタンフォード分類システムによって定義される大動脈解離のタイプ (Daily PO、Trueblood HW、Stinson EB、Wuerflein RD、Shumway NE. Management of acute aortic dissections. Ann Thorac Surg. 1970 Sep;10(3):237-47)。")</f>
        <v>スタンフォード分類システムによって定義される大動脈解離のタイプ (Daily PO、Trueblood HW、Stinson EB、Wuerflein RD、Shumway NE. Management of acute aortic dissections. Ann Thorac Surg. 1970 Sep;10(3):237-47)。</v>
      </c>
      <c r="I4617" s="3" t="str">
        <f ca="1">IFERROR(__xludf.DUMMYFUNCTION("googletranslate(F4617,""en"",""ja"")"),"スタンフォード大動脈解離分類")</f>
        <v>スタンフォード大動脈解離分類</v>
      </c>
    </row>
    <row r="4618" spans="1:9" ht="30">
      <c r="A4618" s="3" t="s">
        <v>67</v>
      </c>
      <c r="B4618" s="3" t="s">
        <v>18937</v>
      </c>
      <c r="C4618" s="3" t="s">
        <v>18938</v>
      </c>
      <c r="D4618" s="3" t="s">
        <v>18938</v>
      </c>
      <c r="E4618" s="3" t="s">
        <v>18939</v>
      </c>
      <c r="F4618" s="3" t="s">
        <v>18940</v>
      </c>
      <c r="G4618" s="3" t="str">
        <f ca="1">IFERROR(__xludf.DUMMYFUNCTION("googletranslate(D4618,""en"",""ja"")"),"ブドウ球菌、コアグラーゼ陰性")</f>
        <v>ブドウ球菌、コアグラーゼ陰性</v>
      </c>
      <c r="H4618" s="3" t="str">
        <f ca="1">IFERROR(__xludf.DUMMYFUNCTION("googletranslate(E4618,""en"",""ja"")"),"生物学的標本中のコアグラーゼ陰性ブドウ球菌種の測定。")</f>
        <v>生物学的標本中のコアグラーゼ陰性ブドウ球菌種の測定。</v>
      </c>
      <c r="I4618" s="3" t="str">
        <f ca="1">IFERROR(__xludf.DUMMYFUNCTION("googletranslate(F4618,""en"",""ja"")"),"コアグラーゼ陰性ブドウ球菌の測定")</f>
        <v>コアグラーゼ陰性ブドウ球菌の測定</v>
      </c>
    </row>
    <row r="4619" spans="1:9" ht="30">
      <c r="A4619" s="3" t="s">
        <v>67</v>
      </c>
      <c r="B4619" s="3" t="s">
        <v>18941</v>
      </c>
      <c r="C4619" s="3" t="s">
        <v>18942</v>
      </c>
      <c r="D4619" s="3" t="s">
        <v>18942</v>
      </c>
      <c r="E4619" s="3" t="s">
        <v>18943</v>
      </c>
      <c r="F4619" s="3" t="s">
        <v>18944</v>
      </c>
      <c r="G4619" s="3" t="str">
        <f ca="1">IFERROR(__xludf.DUMMYFUNCTION("googletranslate(D4619,""en"",""ja"")"),"ブドウ球菌、コアグラーゼ陽性")</f>
        <v>ブドウ球菌、コアグラーゼ陽性</v>
      </c>
      <c r="H4619" s="3" t="str">
        <f ca="1">IFERROR(__xludf.DUMMYFUNCTION("googletranslate(E4619,""en"",""ja"")"),"生物学的標本中のコアグラーゼ陽性ブドウ球菌種の測定。")</f>
        <v>生物学的標本中のコアグラーゼ陽性ブドウ球菌種の測定。</v>
      </c>
      <c r="I4619" s="3" t="str">
        <f ca="1">IFERROR(__xludf.DUMMYFUNCTION("googletranslate(F4619,""en"",""ja"")"),"コアグラーゼ陽性ブドウ球菌の測定")</f>
        <v>コアグラーゼ陽性ブドウ球菌の測定</v>
      </c>
    </row>
    <row r="4620" spans="1:9" ht="30">
      <c r="A4620" s="3" t="s">
        <v>6</v>
      </c>
      <c r="B4620" s="3" t="s">
        <v>18945</v>
      </c>
      <c r="C4620" s="3" t="s">
        <v>18945</v>
      </c>
      <c r="D4620" s="3" t="s">
        <v>18946</v>
      </c>
      <c r="E4620" s="3" t="s">
        <v>18947</v>
      </c>
      <c r="F4620" s="3" t="s">
        <v>18948</v>
      </c>
      <c r="G4620" s="3" t="str">
        <f ca="1">IFERROR(__xludf.DUMMYFUNCTION("googletranslate(D4620,""en"",""ja"")"),"シグナルトランスデューサーおよび転写活性化因子 3; STAT3")</f>
        <v>シグナルトランスデューサーおよび転写活性化因子 3; STAT3</v>
      </c>
      <c r="H4620" s="3" t="str">
        <f ca="1">IFERROR(__xludf.DUMMYFUNCTION("googletranslate(E4620,""en"",""ja"")"),"生物学的標本における STAT3 (シグナルトランスデューサーおよび転写活性化因子 3) の測定。")</f>
        <v>生物学的標本における STAT3 (シグナルトランスデューサーおよび転写活性化因子 3) の測定。</v>
      </c>
      <c r="I4620" s="3" t="str">
        <f ca="1">IFERROR(__xludf.DUMMYFUNCTION("googletranslate(F4620,""en"",""ja"")"),"STAT3測定")</f>
        <v>STAT3測定</v>
      </c>
    </row>
    <row r="4621" spans="1:9" ht="45">
      <c r="A4621" s="3" t="s">
        <v>6</v>
      </c>
      <c r="B4621" s="3" t="s">
        <v>18949</v>
      </c>
      <c r="C4621" s="3" t="s">
        <v>18950</v>
      </c>
      <c r="D4621" s="3" t="s">
        <v>18951</v>
      </c>
      <c r="E4621" s="3" t="s">
        <v>18952</v>
      </c>
      <c r="F4621" s="3" t="s">
        <v>18953</v>
      </c>
      <c r="G4621" s="3" t="str">
        <f ca="1">IFERROR(__xludf.DUMMYFUNCTION("googletranslate(D4621,""en"",""ja"")"),"リン酸化されたSTAT3。 pSTAT3")</f>
        <v>リン酸化されたSTAT3。 pSTAT3</v>
      </c>
      <c r="H4621" s="3" t="str">
        <f ca="1">IFERROR(__xludf.DUMMYFUNCTION("googletranslate(E4621,""en"",""ja"")"),"生体標本中のリン酸化 STAT3 (シグナルトランスデューサーおよび転写活性化因子 3) の測定。")</f>
        <v>生体標本中のリン酸化 STAT3 (シグナルトランスデューサーおよび転写活性化因子 3) の測定。</v>
      </c>
      <c r="I4621" s="3" t="str">
        <f ca="1">IFERROR(__xludf.DUMMYFUNCTION("googletranslate(F4621,""en"",""ja"")"),"リン酸化STAT3測定")</f>
        <v>リン酸化STAT3測定</v>
      </c>
    </row>
    <row r="4622" spans="1:9" ht="30">
      <c r="A4622" s="3" t="s">
        <v>6</v>
      </c>
      <c r="B4622" s="3" t="s">
        <v>18954</v>
      </c>
      <c r="C4622" s="3" t="s">
        <v>18955</v>
      </c>
      <c r="D4622" s="3" t="s">
        <v>18956</v>
      </c>
      <c r="E4622" s="3" t="s">
        <v>18957</v>
      </c>
      <c r="F4622" s="3" t="s">
        <v>18958</v>
      </c>
      <c r="G4622" s="3" t="str">
        <f ca="1">IFERROR(__xludf.DUMMYFUNCTION("googletranslate(D4622,""en"",""ja"")"),"リン酸化されたSTAT3/STAT3; pSTAT3/STAT3")</f>
        <v>リン酸化されたSTAT3/STAT3; pSTAT3/STAT3</v>
      </c>
      <c r="H4622" s="3" t="str">
        <f ca="1">IFERROR(__xludf.DUMMYFUNCTION("googletranslate(E4622,""en"",""ja"")"),"生物学的検体中の総 STAT3 に対するリン酸化 STAT3 の相対測定値 (比率またはパーセンテージ)。")</f>
        <v>生物学的検体中の総 STAT3 に対するリン酸化 STAT3 の相対測定値 (比率またはパーセンテージ)。</v>
      </c>
      <c r="I4622" s="3" t="str">
        <f ca="1">IFERROR(__xludf.DUMMYFUNCTION("googletranslate(F4622,""en"",""ja"")"),"リン酸化STAT3対STAT3比の測定")</f>
        <v>リン酸化STAT3対STAT3比の測定</v>
      </c>
    </row>
    <row r="4623" spans="1:9" ht="60">
      <c r="A4623" s="3" t="s">
        <v>6</v>
      </c>
      <c r="B4623" s="3" t="s">
        <v>18959</v>
      </c>
      <c r="C4623" s="3" t="s">
        <v>18960</v>
      </c>
      <c r="D4623" s="3" t="s">
        <v>18960</v>
      </c>
      <c r="E4623" s="3" t="s">
        <v>18961</v>
      </c>
      <c r="F4623" s="3" t="s">
        <v>18962</v>
      </c>
      <c r="G4623" s="3" t="str">
        <f ca="1">IFERROR(__xludf.DUMMYFUNCTION("googletranslate(D4623,""en"",""ja"")"),"標準ベース超過")</f>
        <v>標準ベース超過</v>
      </c>
      <c r="H4623" s="3" t="str">
        <f ca="1">IFERROR(__xludf.DUMMYFUNCTION("googletranslate(E4623,""en"",""ja"")"),"細胞外液の代用として使用される、5g/dL のヘモグロビンを含む血液を標準条件下で正常な pH に戻すのに必要な酸の量を計算して測定したもの。")</f>
        <v>細胞外液の代用として使用される、5g/dL のヘモグロビンを含む血液を標準条件下で正常な pH に戻すのに必要な酸の量を計算して測定したもの。</v>
      </c>
      <c r="I4623" s="3" t="str">
        <f ca="1">IFERROR(__xludf.DUMMYFUNCTION("googletranslate(F4623,""en"",""ja"")"),"標準ベース過剰測定")</f>
        <v>標準ベース過剰測定</v>
      </c>
    </row>
    <row r="4624" spans="1:9" ht="45">
      <c r="A4624" s="3" t="s">
        <v>185</v>
      </c>
      <c r="B4624" s="3" t="s">
        <v>18963</v>
      </c>
      <c r="C4624" s="3" t="s">
        <v>18964</v>
      </c>
      <c r="D4624" s="3" t="s">
        <v>18964</v>
      </c>
      <c r="E4624" s="3" t="s">
        <v>18965</v>
      </c>
      <c r="F4624" s="3" t="s">
        <v>18966</v>
      </c>
      <c r="G4624" s="3" t="str">
        <f ca="1">IFERROR(__xludf.DUMMYFUNCTION("googletranslate(D4624,""en"",""ja"")"),"ステント血栓症、冠状動脈、ARC タイミング")</f>
        <v>ステント血栓症、冠状動脈、ARC タイミング</v>
      </c>
      <c r="H4624" s="3" t="str">
        <f ca="1">IFERROR(__xludf.DUMMYFUNCTION("googletranslate(E4624,""en"",""ja"")"),"Academic Research Consortium (ARC) によって記述された分類スキームに従った、冠状動脈ステント血栓症の発生タイミングの分類。")</f>
        <v>Academic Research Consortium (ARC) によって記述された分類スキームに従った、冠状動脈ステント血栓症の発生タイミングの分類。</v>
      </c>
      <c r="I4624" s="3" t="str">
        <f ca="1">IFERROR(__xludf.DUMMYFUNCTION("googletranslate(F4624,""en"",""ja"")"),"学術研究評議会冠動脈ステント血栓症のタイミング")</f>
        <v>学術研究評議会冠動脈ステント血栓症のタイミング</v>
      </c>
    </row>
    <row r="4625" spans="1:9" ht="75">
      <c r="A4625" s="3" t="s">
        <v>985</v>
      </c>
      <c r="B4625" s="3" t="s">
        <v>18967</v>
      </c>
      <c r="C4625" s="3" t="s">
        <v>18968</v>
      </c>
      <c r="D4625" s="3" t="s">
        <v>18968</v>
      </c>
      <c r="E4625" s="3" t="s">
        <v>18969</v>
      </c>
      <c r="F4625" s="3" t="s">
        <v>18970</v>
      </c>
      <c r="G4625" s="3" t="str">
        <f ca="1">IFERROR(__xludf.DUMMYFUNCTION("googletranslate(D4625,""en"",""ja"")"),"ST セグメントの窪み、集合体")</f>
        <v>ST セグメントの窪み、集合体</v>
      </c>
      <c r="H4625" s="3" t="str">
        <f ca="1">IFERROR(__xludf.DUMMYFUNCTION("googletranslate(E4625,""en"",""ja"")"),"単一の ECG 内の複数の拍動からの ST セグメント低下の測定に基づく、ST セグメント低下の集計値。集計方法はさまざまですが、通常は平均などの中心傾向の尺度です。")</f>
        <v>単一の ECG 内の複数の拍動からの ST セグメント低下の測定に基づく、ST セグメント低下の集計値。集計方法はさまざまですが、通常は平均などの中心傾向の尺度です。</v>
      </c>
      <c r="I4625" s="3" t="str">
        <f ca="1">IFERROR(__xludf.DUMMYFUNCTION("googletranslate(F4625,""en"",""ja"")"),"STセグメントディプレッション集計")</f>
        <v>STセグメントディプレッション集計</v>
      </c>
    </row>
    <row r="4626" spans="1:9" ht="30">
      <c r="A4626" s="3" t="s">
        <v>503</v>
      </c>
      <c r="B4626" s="3" t="s">
        <v>18971</v>
      </c>
      <c r="C4626" s="3" t="s">
        <v>18972</v>
      </c>
      <c r="D4626" s="3" t="s">
        <v>18972</v>
      </c>
      <c r="E4626" s="3" t="s">
        <v>18973</v>
      </c>
      <c r="F4626" s="3" t="s">
        <v>18972</v>
      </c>
      <c r="G4626" s="3" t="str">
        <f ca="1">IFERROR(__xludf.DUMMYFUNCTION("googletranslate(D4626,""en"",""ja"")"),"学生指標")</f>
        <v>学生指標</v>
      </c>
      <c r="H4626" s="3" t="str">
        <f ca="1">IFERROR(__xludf.DUMMYFUNCTION("googletranslate(E4626,""en"",""ja"")"),"対象者また​​は関係者が学校に在籍しているかどうかに関する指標。")</f>
        <v>対象者また​​は関係者が学校に在籍しているかどうかに関する指標。</v>
      </c>
      <c r="I4626" s="3" t="str">
        <f ca="1">IFERROR(__xludf.DUMMYFUNCTION("googletranslate(F4626,""en"",""ja"")"),"学生指標")</f>
        <v>学生指標</v>
      </c>
    </row>
    <row r="4627" spans="1:9" ht="60">
      <c r="A4627" s="3" t="s">
        <v>985</v>
      </c>
      <c r="B4627" s="3" t="s">
        <v>18974</v>
      </c>
      <c r="C4627" s="3" t="s">
        <v>18975</v>
      </c>
      <c r="D4627" s="3" t="s">
        <v>18975</v>
      </c>
      <c r="E4627" s="3" t="s">
        <v>18976</v>
      </c>
      <c r="F4627" s="3" t="s">
        <v>18977</v>
      </c>
      <c r="G4627" s="3" t="str">
        <f ca="1">IFERROR(__xludf.DUMMYFUNCTION("googletranslate(D4627,""en"",""ja"")"),"概要 (最大) ST 低下")</f>
        <v>概要 (最大) ST 低下</v>
      </c>
      <c r="H4627" s="3" t="str">
        <f ca="1">IFERROR(__xludf.DUMMYFUNCTION("googletranslate(E4627,""en"",""ja"")"),"ST セグメントの最大窪み (ベースラインからの負の偏差、通常は mm で測定)。ST セグメントの窪みの一連の測定値から得られます。これは通常ミリボルトで表されます。")</f>
        <v>ST セグメントの最大窪み (ベースラインからの負の偏差、通常は mm で測定)。ST セグメントの窪みの一連の測定値から得られます。これは通常ミリボルトで表されます。</v>
      </c>
      <c r="I4627" s="3" t="str">
        <f ca="1">IFERROR(__xludf.DUMMYFUNCTION("googletranslate(F4627,""en"",""ja"")"),"ECG所見による最大STセグメント低下")</f>
        <v>ECG所見による最大STセグメント低下</v>
      </c>
    </row>
    <row r="4628" spans="1:9" ht="60">
      <c r="A4628" s="3" t="s">
        <v>985</v>
      </c>
      <c r="B4628" s="3" t="s">
        <v>18978</v>
      </c>
      <c r="C4628" s="3" t="s">
        <v>18979</v>
      </c>
      <c r="D4628" s="3" t="s">
        <v>18979</v>
      </c>
      <c r="E4628" s="3" t="s">
        <v>18980</v>
      </c>
      <c r="F4628" s="3" t="s">
        <v>18981</v>
      </c>
      <c r="G4628" s="3" t="str">
        <f ca="1">IFERROR(__xludf.DUMMYFUNCTION("googletranslate(D4628,""en"",""ja"")"),"概要 (分) ST 低下")</f>
        <v>概要 (分) ST 低下</v>
      </c>
      <c r="H4628" s="3" t="str">
        <f ca="1">IFERROR(__xludf.DUMMYFUNCTION("googletranslate(E4628,""en"",""ja"")"),"ST セグメントの最小窪み (ベースラインからの負の偏向、通常 mm で測定)。ST セグメントの窪みの一連の測定値から取得されます。これは通常ミリボルトで表されます。")</f>
        <v>ST セグメントの最小窪み (ベースラインからの負の偏向、通常 mm で測定)。ST セグメントの窪みの一連の測定値から取得されます。これは通常ミリボルトで表されます。</v>
      </c>
      <c r="I4628" s="3" t="str">
        <f ca="1">IFERROR(__xludf.DUMMYFUNCTION("googletranslate(F4628,""en"",""ja"")"),"ECG所見による最小STセグメント低下")</f>
        <v>ECG所見による最小STセグメント低下</v>
      </c>
    </row>
    <row r="4629" spans="1:9" ht="75">
      <c r="A4629" s="3" t="s">
        <v>985</v>
      </c>
      <c r="B4629" s="3" t="s">
        <v>18982</v>
      </c>
      <c r="C4629" s="3" t="s">
        <v>18983</v>
      </c>
      <c r="D4629" s="3" t="s">
        <v>18983</v>
      </c>
      <c r="E4629" s="3" t="s">
        <v>18984</v>
      </c>
      <c r="F4629" s="3" t="s">
        <v>18985</v>
      </c>
      <c r="G4629" s="3" t="str">
        <f ca="1">IFERROR(__xludf.DUMMYFUNCTION("googletranslate(D4629,""en"",""ja"")"),"ST セグメントの低下、シングルビート")</f>
        <v>ST セグメントの低下、シングルビート</v>
      </c>
      <c r="H4629" s="3" t="str">
        <f ca="1">IFERROR(__xludf.DUMMYFUNCTION("googletranslate(E4629,""en"",""ja"")"),"1つまたは複数のリードを使用して、単一拍動のベースラインからSTセグメントまで測定される、等電ベースラインより下のSTセグメントの低下の平均振幅（通常はmmで測定）の心電図測定。記録に基づいて")</f>
        <v>1つまたは複数のリードを使用して、単一拍動のベースラインからSTセグメントまで測定される、等電ベースラインより下のSTセグメントの低下の平均振幅（通常はmmで測定）の心電図測定。記録に基づいて</v>
      </c>
      <c r="I4629" s="3" t="str">
        <f ca="1">IFERROR(__xludf.DUMMYFUNCTION("googletranslate(F4629,""en"",""ja"")"),"ST セグメント ディプレッション シングル ビート")</f>
        <v>ST セグメント ディプレッション シングル ビート</v>
      </c>
    </row>
    <row r="4630" spans="1:9" ht="75">
      <c r="A4630" s="3" t="s">
        <v>985</v>
      </c>
      <c r="B4630" s="3" t="s">
        <v>18986</v>
      </c>
      <c r="C4630" s="3" t="s">
        <v>18987</v>
      </c>
      <c r="D4630" s="3" t="s">
        <v>18987</v>
      </c>
      <c r="E4630" s="3" t="s">
        <v>18988</v>
      </c>
      <c r="F4630" s="3" t="s">
        <v>18989</v>
      </c>
      <c r="G4630" s="3" t="str">
        <f ca="1">IFERROR(__xludf.DUMMYFUNCTION("googletranslate(D4630,""en"",""ja"")"),"ST セグメント偏差、集計")</f>
        <v>ST セグメント偏差、集計</v>
      </c>
      <c r="H4630" s="3" t="str">
        <f ca="1">IFERROR(__xludf.DUMMYFUNCTION("googletranslate(E4630,""en"",""ja"")"),"単一の ECG 内の複数の拍動からの ST セグメント偏差の測定に基づく、ST セグメント偏差の合計値。集計方法はさまざまですが、通常は平均などの中心傾向の尺度です。")</f>
        <v>単一の ECG 内の複数の拍動からの ST セグメント偏差の測定に基づく、ST セグメント偏差の合計値。集計方法はさまざまですが、通常は平均などの中心傾向の尺度です。</v>
      </c>
      <c r="I4630" s="3" t="str">
        <f ca="1">IFERROR(__xludf.DUMMYFUNCTION("googletranslate(F4630,""en"",""ja"")"),"STセグメント偏差の集計")</f>
        <v>STセグメント偏差の集計</v>
      </c>
    </row>
    <row r="4631" spans="1:9" ht="60">
      <c r="A4631" s="3" t="s">
        <v>985</v>
      </c>
      <c r="B4631" s="3" t="s">
        <v>18990</v>
      </c>
      <c r="C4631" s="3" t="s">
        <v>18991</v>
      </c>
      <c r="D4631" s="3" t="s">
        <v>18991</v>
      </c>
      <c r="E4631" s="3" t="s">
        <v>18992</v>
      </c>
      <c r="F4631" s="3" t="s">
        <v>18993</v>
      </c>
      <c r="G4631" s="3" t="str">
        <f ca="1">IFERROR(__xludf.DUMMYFUNCTION("googletranslate(D4631,""en"",""ja"")"),"概要 (最大) ST 偏差")</f>
        <v>概要 (最大) ST 偏差</v>
      </c>
      <c r="H4631" s="3" t="str">
        <f ca="1">IFERROR(__xludf.DUMMYFUNCTION("googletranslate(E4631,""en"",""ja"")"),"ST セグメントの最大偏差 (ベースラインからの距離、正または負、通常は mm で測定)。ST セグメントの偏差の一連の測定値から取得されます。これは通常ミリボルトで表されます。")</f>
        <v>ST セグメントの最大偏差 (ベースラインからの距離、正または負、通常は mm で測定)。ST セグメントの偏差の一連の測定値から取得されます。これは通常ミリボルトで表されます。</v>
      </c>
      <c r="I4631" s="3" t="str">
        <f ca="1">IFERROR(__xludf.DUMMYFUNCTION("googletranslate(F4631,""en"",""ja"")"),"最大ST偏差")</f>
        <v>最大ST偏差</v>
      </c>
    </row>
    <row r="4632" spans="1:9" ht="60">
      <c r="A4632" s="3" t="s">
        <v>985</v>
      </c>
      <c r="B4632" s="3" t="s">
        <v>18994</v>
      </c>
      <c r="C4632" s="3" t="s">
        <v>18995</v>
      </c>
      <c r="D4632" s="3" t="s">
        <v>18995</v>
      </c>
      <c r="E4632" s="3" t="s">
        <v>18996</v>
      </c>
      <c r="F4632" s="3" t="s">
        <v>18997</v>
      </c>
      <c r="G4632" s="3" t="str">
        <f ca="1">IFERROR(__xludf.DUMMYFUNCTION("googletranslate(D4632,""en"",""ja"")"),"概要 (最小) ST 偏差")</f>
        <v>概要 (最小) ST 偏差</v>
      </c>
      <c r="H4632" s="3" t="str">
        <f ca="1">IFERROR(__xludf.DUMMYFUNCTION("googletranslate(E4632,""en"",""ja"")"),"ST セグメントの最小偏差 (ベースラインからの距離、正または負、通常は mm で測定)。ST セグメントの偏差の一連の測定値から取得されます。これは通常ミリボルトで表されます。")</f>
        <v>ST セグメントの最小偏差 (ベースラインからの距離、正または負、通常は mm で測定)。ST セグメントの偏差の一連の測定値から取得されます。これは通常ミリボルトで表されます。</v>
      </c>
      <c r="I4632" s="3" t="str">
        <f ca="1">IFERROR(__xludf.DUMMYFUNCTION("googletranslate(F4632,""en"",""ja"")"),"最小ST偏差")</f>
        <v>最小ST偏差</v>
      </c>
    </row>
    <row r="4633" spans="1:9" ht="75">
      <c r="A4633" s="3" t="s">
        <v>985</v>
      </c>
      <c r="B4633" s="3" t="s">
        <v>18998</v>
      </c>
      <c r="C4633" s="3" t="s">
        <v>18999</v>
      </c>
      <c r="D4633" s="3" t="s">
        <v>18999</v>
      </c>
      <c r="E4633" s="3" t="s">
        <v>19000</v>
      </c>
      <c r="F4633" s="3" t="s">
        <v>19001</v>
      </c>
      <c r="G4633" s="3" t="str">
        <f ca="1">IFERROR(__xludf.DUMMYFUNCTION("googletranslate(D4633,""en"",""ja"")"),"STセグメント偏差、シングルビート")</f>
        <v>STセグメント偏差、シングルビート</v>
      </c>
      <c r="H4633" s="3" t="str">
        <f ca="1">IFERROR(__xludf.DUMMYFUNCTION("googletranslate(E4633,""en"",""ja"")"),"1つまたは複数のリードを使用して、単一拍動のベースラインからSTセグメントまで測定された等電ベースラインを上回るまたは下のSTセグメント偏差の平均振幅（通常はmmで測定）の心電図測定。に基づいて、")</f>
        <v>1つまたは複数のリードを使用して、単一拍動のベースラインからSTセグメントまで測定された等電ベースラインを上回るまたは下のSTセグメント偏差の平均振幅（通常はmmで測定）の心電図測定。に基づいて、</v>
      </c>
      <c r="I4633" s="3" t="str">
        <f ca="1">IFERROR(__xludf.DUMMYFUNCTION("googletranslate(F4633,""en"",""ja"")"),"STセグメント偏差シングルビート")</f>
        <v>STセグメント偏差シングルビート</v>
      </c>
    </row>
    <row r="4634" spans="1:9" ht="75">
      <c r="A4634" s="3" t="s">
        <v>985</v>
      </c>
      <c r="B4634" s="3" t="s">
        <v>19002</v>
      </c>
      <c r="C4634" s="3" t="s">
        <v>19003</v>
      </c>
      <c r="D4634" s="3" t="s">
        <v>19003</v>
      </c>
      <c r="E4634" s="3" t="s">
        <v>19004</v>
      </c>
      <c r="F4634" s="3" t="s">
        <v>19005</v>
      </c>
      <c r="G4634" s="3" t="str">
        <f ca="1">IFERROR(__xludf.DUMMYFUNCTION("googletranslate(D4634,""en"",""ja"")"),"ST セグメント標高、集計")</f>
        <v>ST セグメント標高、集計</v>
      </c>
      <c r="H4634" s="3" t="str">
        <f ca="1">IFERROR(__xludf.DUMMYFUNCTION("googletranslate(E4634,""en"",""ja"")"),"単一 ECG 内の複数の拍動からの ST セグメント上昇の測定に基づく、ST セグメント上昇の集計値。集計方法はさまざまですが、通常は平均などの中心傾向の尺度です。")</f>
        <v>単一 ECG 内の複数の拍動からの ST セグメント上昇の測定に基づく、ST セグメント上昇の集計値。集計方法はさまざまですが、通常は平均などの中心傾向の尺度です。</v>
      </c>
      <c r="I4634" s="3" t="str">
        <f ca="1">IFERROR(__xludf.DUMMYFUNCTION("googletranslate(F4634,""en"",""ja"")"),"ST セグメント標高集計")</f>
        <v>ST セグメント標高集計</v>
      </c>
    </row>
    <row r="4635" spans="1:9" ht="60">
      <c r="A4635" s="3" t="s">
        <v>985</v>
      </c>
      <c r="B4635" s="3" t="s">
        <v>19006</v>
      </c>
      <c r="C4635" s="3" t="s">
        <v>19007</v>
      </c>
      <c r="D4635" s="3" t="s">
        <v>19007</v>
      </c>
      <c r="E4635" s="3" t="s">
        <v>19008</v>
      </c>
      <c r="F4635" s="3" t="s">
        <v>19009</v>
      </c>
      <c r="G4635" s="3" t="str">
        <f ca="1">IFERROR(__xludf.DUMMYFUNCTION("googletranslate(D4635,""en"",""ja"")"),"概要 (最大) ST 上昇")</f>
        <v>概要 (最大) ST 上昇</v>
      </c>
      <c r="H4635" s="3" t="str">
        <f ca="1">IFERROR(__xludf.DUMMYFUNCTION("googletranslate(E4635,""en"",""ja"")"),"ST セグメントの最大高度 (ベースラインからの正の偏向、通常は mm で測定)。ST セグメントの高度の一連の測定値から取得されます。これは通常ミリボルトで報告されます。")</f>
        <v>ST セグメントの最大高度 (ベースラインからの正の偏向、通常は mm で測定)。ST セグメントの高度の一連の測定値から取得されます。これは通常ミリボルトで報告されます。</v>
      </c>
      <c r="I4635" s="3" t="str">
        <f ca="1">IFERROR(__xludf.DUMMYFUNCTION("googletranslate(F4635,""en"",""ja"")"),"ST セグメントの最大標高")</f>
        <v>ST セグメントの最大標高</v>
      </c>
    </row>
    <row r="4636" spans="1:9" ht="60">
      <c r="A4636" s="3" t="s">
        <v>985</v>
      </c>
      <c r="B4636" s="3" t="s">
        <v>19010</v>
      </c>
      <c r="C4636" s="3" t="s">
        <v>19011</v>
      </c>
      <c r="D4636" s="3" t="s">
        <v>19011</v>
      </c>
      <c r="E4636" s="3" t="s">
        <v>19012</v>
      </c>
      <c r="F4636" s="3" t="s">
        <v>19013</v>
      </c>
      <c r="G4636" s="3" t="str">
        <f ca="1">IFERROR(__xludf.DUMMYFUNCTION("googletranslate(D4636,""en"",""ja"")"),"概要 (最小) ST 上昇")</f>
        <v>概要 (最小) ST 上昇</v>
      </c>
      <c r="H4636" s="3" t="str">
        <f ca="1">IFERROR(__xludf.DUMMYFUNCTION("googletranslate(E4636,""en"",""ja"")"),"ST セグメントの最小高度 (ベースラインからの正の偏向、通常は mm で測定)。ST セグメントの高度の一連の測定値から取得されます。これは通常ミリボルトで報告されます。")</f>
        <v>ST セグメントの最小高度 (ベースラインからの正の偏向、通常は mm で測定)。ST セグメントの高度の一連の測定値から取得されます。これは通常ミリボルトで報告されます。</v>
      </c>
      <c r="I4636" s="3" t="str">
        <f ca="1">IFERROR(__xludf.DUMMYFUNCTION("googletranslate(F4636,""en"",""ja"")"),"最小 ST セグメント高度")</f>
        <v>最小 ST セグメント高度</v>
      </c>
    </row>
    <row r="4637" spans="1:9" ht="45">
      <c r="A4637" s="3" t="s">
        <v>67</v>
      </c>
      <c r="B4637" s="3" t="s">
        <v>19014</v>
      </c>
      <c r="C4637" s="3" t="s">
        <v>19015</v>
      </c>
      <c r="D4637" s="3" t="s">
        <v>19015</v>
      </c>
      <c r="E4637" s="3" t="s">
        <v>19016</v>
      </c>
      <c r="F4637" s="3" t="s">
        <v>19017</v>
      </c>
      <c r="G4637" s="3" t="str">
        <f ca="1">IFERROR(__xludf.DUMMYFUNCTION("googletranslate(D4637,""en"",""ja"")"),"ステノトロフォモナス・マルトフィリア")</f>
        <v>ステノトロフォモナス・マルトフィリア</v>
      </c>
      <c r="H4637" s="3" t="str">
        <f ca="1">IFERROR(__xludf.DUMMYFUNCTION("googletranslate(E4637,""en"",""ja"")"),"生物学的標本中の Stenotrophomonas maltophilia 種に割り当てられる生物の測定値。")</f>
        <v>生物学的標本中の Stenotrophomonas maltophilia 種に割り当てられる生物の測定値。</v>
      </c>
      <c r="I4637" s="3" t="str">
        <f ca="1">IFERROR(__xludf.DUMMYFUNCTION("googletranslate(F4637,""en"",""ja"")"),"ステノトロフォモナス・マルトフィリアの測定")</f>
        <v>ステノトロフォモナス・マルトフィリアの測定</v>
      </c>
    </row>
    <row r="4638" spans="1:9" ht="45">
      <c r="A4638" s="3" t="s">
        <v>159</v>
      </c>
      <c r="B4638" s="3" t="s">
        <v>19018</v>
      </c>
      <c r="C4638" s="3" t="s">
        <v>19019</v>
      </c>
      <c r="D4638" s="3" t="s">
        <v>19019</v>
      </c>
      <c r="E4638" s="3" t="s">
        <v>19020</v>
      </c>
      <c r="F4638" s="3" t="s">
        <v>19021</v>
      </c>
      <c r="G4638" s="3" t="str">
        <f ca="1">IFERROR(__xludf.DUMMYFUNCTION("googletranslate(D4638,""en"",""ja"")"),"ステッピング反射")</f>
        <v>ステッピング反射</v>
      </c>
      <c r="H4638" s="3" t="str">
        <f ca="1">IFERROR(__xludf.DUMMYFUNCTION("googletranslate(E4638,""en"",""ja"")"),"新生児が支えられて立った姿勢で足を地面に置いたときに、素早く足を踏み出す、不随意で原始的な反応。")</f>
        <v>新生児が支えられて立った姿勢で足を地面に置いたときに、素早く足を踏み出す、不随意で原始的な反応。</v>
      </c>
      <c r="I4638" s="3" t="str">
        <f ca="1">IFERROR(__xludf.DUMMYFUNCTION("googletranslate(F4638,""en"",""ja"")"),"ステップ反射")</f>
        <v>ステップ反射</v>
      </c>
    </row>
    <row r="4639" spans="1:9">
      <c r="A4639" s="3" t="s">
        <v>185</v>
      </c>
      <c r="B4639" s="3" t="s">
        <v>19022</v>
      </c>
      <c r="C4639" s="3" t="s">
        <v>19023</v>
      </c>
      <c r="D4639" s="3" t="s">
        <v>19023</v>
      </c>
      <c r="E4639" s="3" t="s">
        <v>19024</v>
      </c>
      <c r="F4639" s="3" t="s">
        <v>19023</v>
      </c>
      <c r="G4639" s="3" t="str">
        <f ca="1">IFERROR(__xludf.DUMMYFUNCTION("googletranslate(D4639,""en"",""ja"")"),"歩数")</f>
        <v>歩数</v>
      </c>
      <c r="H4639" s="3" t="str">
        <f ca="1">IFERROR(__xludf.DUMMYFUNCTION("googletranslate(E4639,""en"",""ja"")"),"個人が歩いた足跡の数。")</f>
        <v>個人が歩いた足跡の数。</v>
      </c>
      <c r="I4639" s="3" t="str">
        <f ca="1">IFERROR(__xludf.DUMMYFUNCTION("googletranslate(F4639,""en"",""ja"")"),"歩数")</f>
        <v>歩数</v>
      </c>
    </row>
    <row r="4640" spans="1:9" ht="75">
      <c r="A4640" s="3" t="s">
        <v>985</v>
      </c>
      <c r="B4640" s="3" t="s">
        <v>19025</v>
      </c>
      <c r="C4640" s="3" t="s">
        <v>19026</v>
      </c>
      <c r="D4640" s="3" t="s">
        <v>19026</v>
      </c>
      <c r="E4640" s="3" t="s">
        <v>19027</v>
      </c>
      <c r="F4640" s="3" t="s">
        <v>19028</v>
      </c>
      <c r="G4640" s="3" t="str">
        <f ca="1">IFERROR(__xludf.DUMMYFUNCTION("googletranslate(D4640,""en"",""ja"")"),"ST セグメント標高、シングルビート")</f>
        <v>ST セグメント標高、シングルビート</v>
      </c>
      <c r="H4640" s="3" t="str">
        <f ca="1">IFERROR(__xludf.DUMMYFUNCTION("googletranslate(E4640,""en"",""ja"")"),"1 つ以上のリードを使用して、単一拍動のベースラインから ST セグメントまで測定された等電ベースラインを超える ST セグメント上昇の平均振幅 (通常は mV で測定) の心電図測定。録音に基づいて")</f>
        <v>1 つ以上のリードを使用して、単一拍動のベースラインから ST セグメントまで測定された等電ベースラインを超える ST セグメント上昇の平均振幅 (通常は mV で測定) の心電図測定。録音に基づいて</v>
      </c>
      <c r="I4640" s="3" t="str">
        <f ca="1">IFERROR(__xludf.DUMMYFUNCTION("googletranslate(F4640,""en"",""ja"")"),"ST セグメント標高シングルビート")</f>
        <v>ST セグメント標高シングルビート</v>
      </c>
    </row>
    <row r="4641" spans="1:9" ht="30">
      <c r="A4641" s="3" t="s">
        <v>1255</v>
      </c>
      <c r="B4641" s="3" t="s">
        <v>19029</v>
      </c>
      <c r="C4641" s="3" t="s">
        <v>19030</v>
      </c>
      <c r="D4641" s="3" t="s">
        <v>19030</v>
      </c>
      <c r="E4641" s="3" t="s">
        <v>19031</v>
      </c>
      <c r="F4641" s="3" t="s">
        <v>19032</v>
      </c>
      <c r="G4641" s="3" t="str">
        <f ca="1">IFERROR(__xludf.DUMMYFUNCTION("googletranslate(D4641,""en"",""ja"")"),"スライスの厚さ")</f>
        <v>スライスの厚さ</v>
      </c>
      <c r="H4641" s="3" t="str">
        <f ca="1">IFERROR(__xludf.DUMMYFUNCTION("googletranslate(E4641,""en"",""ja"")"),"結像面の 2 つの表面間の寸法。 (NCI)")</f>
        <v>結像面の 2 つの表面間の寸法。 (NCI)</v>
      </c>
      <c r="I4641" s="3" t="str">
        <f ca="1">IFERROR(__xludf.DUMMYFUNCTION("googletranslate(F4641,""en"",""ja"")"),"画像スライスの厚さ")</f>
        <v>画像スライスの厚さ</v>
      </c>
    </row>
    <row r="4642" spans="1:9" ht="30">
      <c r="A4642" s="3" t="s">
        <v>142</v>
      </c>
      <c r="B4642" s="3" t="s">
        <v>19033</v>
      </c>
      <c r="C4642" s="3" t="s">
        <v>19034</v>
      </c>
      <c r="D4642" s="3" t="s">
        <v>19034</v>
      </c>
      <c r="E4642" s="3" t="s">
        <v>19035</v>
      </c>
      <c r="F4642" s="3" t="s">
        <v>19034</v>
      </c>
      <c r="G4642" s="3" t="str">
        <f ca="1">IFERROR(__xludf.DUMMYFUNCTION("googletranslate(D4642,""en"",""ja"")"),"死産インジケーター")</f>
        <v>死産インジケーター</v>
      </c>
      <c r="H4642" s="3" t="str">
        <f ca="1">IFERROR(__xludf.DUMMYFUNCTION("googletranslate(E4642,""en"",""ja"")"),"妊娠が死産につながったかどうかを示す指標。")</f>
        <v>妊娠が死産につながったかどうかを示す指標。</v>
      </c>
      <c r="I4642" s="3" t="str">
        <f ca="1">IFERROR(__xludf.DUMMYFUNCTION("googletranslate(F4642,""en"",""ja"")"),"死産インジケーター")</f>
        <v>死産インジケーター</v>
      </c>
    </row>
    <row r="4643" spans="1:9" ht="30">
      <c r="A4643" s="3" t="s">
        <v>1255</v>
      </c>
      <c r="B4643" s="3" t="s">
        <v>19036</v>
      </c>
      <c r="C4643" s="3" t="s">
        <v>19037</v>
      </c>
      <c r="D4643" s="3" t="s">
        <v>19037</v>
      </c>
      <c r="E4643" s="3" t="s">
        <v>19038</v>
      </c>
      <c r="F4643" s="3" t="s">
        <v>19039</v>
      </c>
      <c r="G4643" s="3" t="str">
        <f ca="1">IFERROR(__xludf.DUMMYFUNCTION("googletranslate(D4643,""en"",""ja"")"),"刺激パラメータ")</f>
        <v>刺激パラメータ</v>
      </c>
      <c r="H4643" s="3" t="str">
        <f ca="1">IFERROR(__xludf.DUMMYFUNCTION("googletranslate(E4643,""en"",""ja"")"),"身体または器官の電気刺激中に被験者に使用される電極のタイプ (単極または双極)。")</f>
        <v>身体または器官の電気刺激中に被験者に使用される電極のタイプ (単極または双極)。</v>
      </c>
      <c r="I4643" s="3" t="str">
        <f ca="1">IFERROR(__xludf.DUMMYFUNCTION("googletranslate(F4643,""en"",""ja"")"),"電気刺激電極タイプ")</f>
        <v>電気刺激電極タイプ</v>
      </c>
    </row>
    <row r="4644" spans="1:9" ht="30">
      <c r="A4644" s="3" t="s">
        <v>6</v>
      </c>
      <c r="B4644" s="3" t="s">
        <v>19040</v>
      </c>
      <c r="C4644" s="3" t="s">
        <v>19041</v>
      </c>
      <c r="D4644" s="3" t="s">
        <v>19041</v>
      </c>
      <c r="E4644" s="3" t="s">
        <v>19042</v>
      </c>
      <c r="F4644" s="3" t="s">
        <v>19043</v>
      </c>
      <c r="G4644" s="3" t="str">
        <f ca="1">IFERROR(__xludf.DUMMYFUNCTION("googletranslate(D4644,""en"",""ja"")"),"好塩基性点描")</f>
        <v>好塩基性点描</v>
      </c>
      <c r="H4644" s="3" t="str">
        <f ca="1">IFERROR(__xludf.DUMMYFUNCTION("googletranslate(E4644,""en"",""ja"")"),"生物学的標本の好塩基性点状の測定。")</f>
        <v>生物学的標本の好塩基性点状の測定。</v>
      </c>
      <c r="I4644" s="3" t="str">
        <f ca="1">IFERROR(__xludf.DUMMYFUNCTION("googletranslate(F4644,""en"",""ja"")"),"好塩基性点状測定")</f>
        <v>好塩基性点状測定</v>
      </c>
    </row>
    <row r="4645" spans="1:9" ht="45">
      <c r="A4645" s="3" t="s">
        <v>103</v>
      </c>
      <c r="B4645" s="3" t="s">
        <v>19044</v>
      </c>
      <c r="C4645" s="3" t="s">
        <v>19045</v>
      </c>
      <c r="D4645" s="3" t="s">
        <v>19045</v>
      </c>
      <c r="E4645" s="3" t="s">
        <v>19046</v>
      </c>
      <c r="F4645" s="3" t="s">
        <v>19047</v>
      </c>
      <c r="G4645" s="3" t="str">
        <f ca="1">IFERROR(__xludf.DUMMYFUNCTION("googletranslate(D4645,""en"",""ja"")"),"刺激指数")</f>
        <v>刺激指数</v>
      </c>
      <c r="H4645" s="3" t="str">
        <f ca="1">IFERROR(__xludf.DUMMYFUNCTION("googletranslate(E4645,""en"",""ja"")"),"刺激されていない対照と比較した、刺激剤の存在下での細胞の特性または応答の相対的な測定値 (比率またはパーセンテージ)。")</f>
        <v>刺激されていない対照と比較した、刺激剤の存在下での細胞の特性または応答の相対的な測定値 (比率またはパーセンテージ)。</v>
      </c>
      <c r="I4645" s="3" t="str">
        <f ca="1">IFERROR(__xludf.DUMMYFUNCTION("googletranslate(F4645,""en"",""ja"")"),"刺激インデックス数")</f>
        <v>刺激インデックス数</v>
      </c>
    </row>
    <row r="4646" spans="1:9" ht="30">
      <c r="A4646" s="3" t="s">
        <v>6</v>
      </c>
      <c r="B4646" s="3" t="s">
        <v>19048</v>
      </c>
      <c r="C4646" s="3" t="s">
        <v>19049</v>
      </c>
      <c r="D4646" s="3" t="s">
        <v>19050</v>
      </c>
      <c r="E4646" s="3" t="s">
        <v>19051</v>
      </c>
      <c r="F4646" s="3" t="s">
        <v>19052</v>
      </c>
      <c r="G4646" s="3" t="str">
        <f ca="1">IFERROR(__xludf.DUMMYFUNCTION("googletranslate(D4646,""en"",""ja"")"),"デアセチルナトロフィン;ステンボロン")</f>
        <v>デアセチルナトロフィン;ステンボロン</v>
      </c>
      <c r="H4646" s="3" t="str">
        <f ca="1">IFERROR(__xludf.DUMMYFUNCTION("googletranslate(E4646,""en"",""ja"")"),"生物学的標本中のステンボロンの測定。")</f>
        <v>生物学的標本中のステンボロンの測定。</v>
      </c>
      <c r="I4646" s="3" t="str">
        <f ca="1">IFERROR(__xludf.DUMMYFUNCTION("googletranslate(F4646,""en"",""ja"")"),"ステンボロン測定")</f>
        <v>ステンボロン測定</v>
      </c>
    </row>
    <row r="4647" spans="1:9">
      <c r="A4647" s="3" t="s">
        <v>6</v>
      </c>
      <c r="B4647" s="3" t="s">
        <v>19053</v>
      </c>
      <c r="C4647" s="3" t="s">
        <v>19054</v>
      </c>
      <c r="D4647" s="3" t="s">
        <v>19054</v>
      </c>
      <c r="E4647" s="3" t="s">
        <v>19055</v>
      </c>
      <c r="F4647" s="3" t="s">
        <v>19056</v>
      </c>
      <c r="G4647" s="3" t="str">
        <f ca="1">IFERROR(__xludf.DUMMYFUNCTION("googletranslate(D4647,""en"",""ja"")"),"スタノゾロール")</f>
        <v>スタノゾロール</v>
      </c>
      <c r="H4647" s="3" t="str">
        <f ca="1">IFERROR(__xludf.DUMMYFUNCTION("googletranslate(E4647,""en"",""ja"")"),"生物学的標本中のスタノゾロールの測定。")</f>
        <v>生物学的標本中のスタノゾロールの測定。</v>
      </c>
      <c r="I4647" s="3" t="str">
        <f ca="1">IFERROR(__xludf.DUMMYFUNCTION("googletranslate(F4647,""en"",""ja"")"),"スタノゾロールの測定")</f>
        <v>スタノゾロールの測定</v>
      </c>
    </row>
    <row r="4648" spans="1:9" ht="45">
      <c r="A4648" s="3" t="s">
        <v>6</v>
      </c>
      <c r="B4648" s="3" t="s">
        <v>19057</v>
      </c>
      <c r="C4648" s="3" t="s">
        <v>19058</v>
      </c>
      <c r="D4648" s="3" t="s">
        <v>19058</v>
      </c>
      <c r="E4648" s="3" t="s">
        <v>19059</v>
      </c>
      <c r="F4648" s="3" t="s">
        <v>19060</v>
      </c>
      <c r="G4648" s="3" t="str">
        <f ca="1">IFERROR(__xludf.DUMMYFUNCTION("googletranslate(D4648,""en"",""ja"")"),"口内細胞")</f>
        <v>口内細胞</v>
      </c>
      <c r="H4648" s="3" t="str">
        <f ca="1">IFERROR(__xludf.DUMMYFUNCTION("googletranslate(E4648,""en"",""ja"")"),"生物学的標本中の口細胞（細胞の口のように見える、中央の蒼白な楕円形または長方形の領域を持つ赤血球）の測定。")</f>
        <v>生物学的標本中の口細胞（細胞の口のように見える、中央の蒼白な楕円形または長方形の領域を持つ赤血球）の測定。</v>
      </c>
      <c r="I4648" s="3" t="str">
        <f ca="1">IFERROR(__xludf.DUMMYFUNCTION("googletranslate(F4648,""en"",""ja"")"),"口球数")</f>
        <v>口球数</v>
      </c>
    </row>
    <row r="4649" spans="1:9">
      <c r="A4649" s="3" t="s">
        <v>185</v>
      </c>
      <c r="B4649" s="3" t="s">
        <v>19061</v>
      </c>
      <c r="C4649" s="3" t="s">
        <v>19062</v>
      </c>
      <c r="D4649" s="3" t="s">
        <v>19062</v>
      </c>
      <c r="E4649" s="3" t="s">
        <v>19063</v>
      </c>
      <c r="F4649" s="3" t="s">
        <v>19062</v>
      </c>
      <c r="G4649" s="3" t="str">
        <f ca="1">IFERROR(__xludf.DUMMYFUNCTION("googletranslate(D4649,""en"",""ja"")"),"狭窄部の数")</f>
        <v>狭窄部の数</v>
      </c>
      <c r="H4649" s="3" t="str">
        <f ca="1">IFERROR(__xludf.DUMMYFUNCTION("googletranslate(E4649,""en"",""ja"")"),"観察された解剖学的狭窄の数。")</f>
        <v>観察された解剖学的狭窄の数。</v>
      </c>
      <c r="I4649" s="3" t="str">
        <f ca="1">IFERROR(__xludf.DUMMYFUNCTION("googletranslate(F4649,""en"",""ja"")"),"狭窄部の数")</f>
        <v>狭窄部の数</v>
      </c>
    </row>
    <row r="4650" spans="1:9" ht="45">
      <c r="A4650" s="3" t="s">
        <v>67</v>
      </c>
      <c r="B4650" s="3" t="s">
        <v>19064</v>
      </c>
      <c r="C4650" s="3" t="s">
        <v>19065</v>
      </c>
      <c r="D4650" s="3" t="s">
        <v>19065</v>
      </c>
      <c r="E4650" s="3" t="s">
        <v>19066</v>
      </c>
      <c r="F4650" s="3" t="s">
        <v>19067</v>
      </c>
      <c r="G4650" s="3" t="str">
        <f ca="1">IFERROR(__xludf.DUMMYFUNCTION("googletranslate(D4650,""en"",""ja"")"),"連鎖球菌")</f>
        <v>連鎖球菌</v>
      </c>
      <c r="H4650" s="3" t="str">
        <f ca="1">IFERROR(__xludf.DUMMYFUNCTION("googletranslate(E4650,""en"",""ja"")"),"生物学的標本において、種レベルには割り当てられていないが、連鎖球菌属レベルに割り当てられている生物の測定値。")</f>
        <v>生物学的標本において、種レベルには割り当てられていないが、連鎖球菌属レベルに割り当てられている生物の測定値。</v>
      </c>
      <c r="I4650" s="3" t="str">
        <f ca="1">IFERROR(__xludf.DUMMYFUNCTION("googletranslate(F4650,""en"",""ja"")"),"レンサ球菌の測定")</f>
        <v>レンサ球菌の測定</v>
      </c>
    </row>
    <row r="4651" spans="1:9">
      <c r="A4651" s="3" t="s">
        <v>185</v>
      </c>
      <c r="B4651" s="3" t="s">
        <v>19068</v>
      </c>
      <c r="C4651" s="3" t="s">
        <v>19069</v>
      </c>
      <c r="D4651" s="3" t="s">
        <v>19069</v>
      </c>
      <c r="E4651" s="3" t="s">
        <v>19070</v>
      </c>
      <c r="F4651" s="3" t="s">
        <v>19069</v>
      </c>
      <c r="G4651" s="3" t="str">
        <f ca="1">IFERROR(__xludf.DUMMYFUNCTION("googletranslate(D4651,""en"",""ja"")"),"ストロークの種類")</f>
        <v>ストロークの種類</v>
      </c>
      <c r="H4651" s="3" t="str">
        <f ca="1">IFERROR(__xludf.DUMMYFUNCTION("googletranslate(E4651,""en"",""ja"")"),"脳卒中の種類の分類。")</f>
        <v>脳卒中の種類の分類。</v>
      </c>
      <c r="I4651" s="3" t="str">
        <f ca="1">IFERROR(__xludf.DUMMYFUNCTION("googletranslate(F4651,""en"",""ja"")"),"ストロークの種類")</f>
        <v>ストロークの種類</v>
      </c>
    </row>
    <row r="4652" spans="1:9" ht="45">
      <c r="A4652" s="3" t="s">
        <v>81</v>
      </c>
      <c r="B4652" s="3" t="s">
        <v>19071</v>
      </c>
      <c r="C4652" s="3" t="s">
        <v>19072</v>
      </c>
      <c r="D4652" s="3" t="s">
        <v>19072</v>
      </c>
      <c r="E4652" s="3" t="s">
        <v>19073</v>
      </c>
      <c r="F4652" s="3" t="s">
        <v>19072</v>
      </c>
      <c r="G4652" s="3" t="str">
        <f ca="1">IFERROR(__xludf.DUMMYFUNCTION("googletranslate(D4652,""en"",""ja"")"),"ストローク量")</f>
        <v>ストローク量</v>
      </c>
      <c r="H4652" s="3" t="str">
        <f ca="1">IFERROR(__xludf.DUMMYFUNCTION("googletranslate(E4652,""en"",""ja"")"),"最大拡張点と最大収縮点の間の血液量の差。これは拡張末期容積から収縮末期容積を引いたものです。")</f>
        <v>最大拡張点と最大収縮点の間の血液量の差。これは拡張末期容積から収縮末期容積を引いたものです。</v>
      </c>
      <c r="I4652" s="3" t="str">
        <f ca="1">IFERROR(__xludf.DUMMYFUNCTION("googletranslate(F4652,""en"",""ja"")"),"ストローク量")</f>
        <v>ストローク量</v>
      </c>
    </row>
    <row r="4653" spans="1:9" ht="30">
      <c r="A4653" s="3" t="s">
        <v>6</v>
      </c>
      <c r="B4653" s="3" t="s">
        <v>19074</v>
      </c>
      <c r="C4653" s="3" t="s">
        <v>19075</v>
      </c>
      <c r="D4653" s="3" t="s">
        <v>19076</v>
      </c>
      <c r="E4653" s="3" t="s">
        <v>19077</v>
      </c>
      <c r="F4653" s="3" t="s">
        <v>19078</v>
      </c>
      <c r="G4653" s="3" t="str">
        <f ca="1">IFERROR(__xludf.DUMMYFUNCTION("googletranslate(D4653,""en"",""ja"")"),"骨格トロポニン I; sTnl")</f>
        <v>骨格トロポニン I; sTnl</v>
      </c>
      <c r="H4653" s="3" t="str">
        <f ca="1">IFERROR(__xludf.DUMMYFUNCTION("googletranslate(E4653,""en"",""ja"")"),"生物学的標本中の総骨格トロポニン I の測定。")</f>
        <v>生物学的標本中の総骨格トロポニン I の測定。</v>
      </c>
      <c r="I4653" s="3" t="str">
        <f ca="1">IFERROR(__xludf.DUMMYFUNCTION("googletranslate(F4653,""en"",""ja"")"),"骨格トロポニン I の測定")</f>
        <v>骨格トロポニン I の測定</v>
      </c>
    </row>
    <row r="4654" spans="1:9" ht="30">
      <c r="A4654" s="3" t="s">
        <v>6</v>
      </c>
      <c r="B4654" s="3" t="s">
        <v>19079</v>
      </c>
      <c r="C4654" s="3" t="s">
        <v>19080</v>
      </c>
      <c r="D4654" s="3" t="s">
        <v>19081</v>
      </c>
      <c r="E4654" s="3" t="s">
        <v>19082</v>
      </c>
      <c r="F4654" s="3" t="s">
        <v>19083</v>
      </c>
      <c r="G4654" s="3" t="str">
        <f ca="1">IFERROR(__xludf.DUMMYFUNCTION("googletranslate(D4654,""en"",""ja"")"),"ステロイドスルファターゼ;ステリルスルファターゼ")</f>
        <v>ステロイドスルファターゼ;ステリルスルファターゼ</v>
      </c>
      <c r="H4654" s="3" t="str">
        <f ca="1">IFERROR(__xludf.DUMMYFUNCTION("googletranslate(E4654,""en"",""ja"")"),"生物学的標本中のステロイドスルファターゼの測定。")</f>
        <v>生物学的標本中のステロイドスルファターゼの測定。</v>
      </c>
      <c r="I4654" s="3" t="str">
        <f ca="1">IFERROR(__xludf.DUMMYFUNCTION("googletranslate(F4654,""en"",""ja"")"),"ステロイドスルファターゼの測定")</f>
        <v>ステロイドスルファターゼの測定</v>
      </c>
    </row>
    <row r="4655" spans="1:9" ht="75">
      <c r="A4655" s="3" t="s">
        <v>985</v>
      </c>
      <c r="B4655" s="3" t="s">
        <v>19084</v>
      </c>
      <c r="C4655" s="3" t="s">
        <v>19085</v>
      </c>
      <c r="D4655" s="3" t="s">
        <v>19085</v>
      </c>
      <c r="E4655" s="3" t="s">
        <v>19086</v>
      </c>
      <c r="F4655" s="3" t="s">
        <v>19087</v>
      </c>
      <c r="G4655" s="3" t="str">
        <f ca="1">IFERROR(__xludf.DUMMYFUNCTION("googletranslate(D4655,""en"",""ja"")"),"ST セグメント期間、合計")</f>
        <v>ST セグメント期間、合計</v>
      </c>
      <c r="H4655" s="3" t="str">
        <f ca="1">IFERROR(__xludf.DUMMYFUNCTION("googletranslate(E4655,""en"",""ja"")"),"単一の ECG 内の複数の拍動からの ST セグメント持続時間間隔の測定に基づく、ST セグメント持続時間の集計値。集計方法はさまざまですが、通常は平均などの中心傾向の尺度です。")</f>
        <v>単一の ECG 内の複数の拍動からの ST セグメント持続時間間隔の測定に基づく、ST セグメント持続時間の集計値。集計方法はさまざまですが、通常は平均などの中心傾向の尺度です。</v>
      </c>
      <c r="I4655" s="3" t="str">
        <f ca="1">IFERROR(__xludf.DUMMYFUNCTION("googletranslate(F4655,""en"",""ja"")"),"ST セグメント期間の集計")</f>
        <v>ST セグメント期間の集計</v>
      </c>
    </row>
    <row r="4656" spans="1:9" ht="45">
      <c r="A4656" s="3" t="s">
        <v>985</v>
      </c>
      <c r="B4656" s="3" t="s">
        <v>19088</v>
      </c>
      <c r="C4656" s="3" t="s">
        <v>19089</v>
      </c>
      <c r="D4656" s="3" t="s">
        <v>19089</v>
      </c>
      <c r="E4656" s="3" t="s">
        <v>19090</v>
      </c>
      <c r="F4656" s="3" t="s">
        <v>19091</v>
      </c>
      <c r="G4656" s="3" t="str">
        <f ca="1">IFERROR(__xludf.DUMMYFUNCTION("googletranslate(D4656,""en"",""ja"")"),"ST セグメント期間、シングルビート")</f>
        <v>ST セグメント期間、シングルビート</v>
      </c>
      <c r="H4656" s="3" t="str">
        <f ca="1">IFERROR(__xludf.DUMMYFUNCTION("googletranslate(E4656,""en"",""ja"")"),"1 つ以上の誘導を使用して、単一拍動の J 点から T 波の開始まで測定される心電図間隔。")</f>
        <v>1 つ以上の誘導を使用して、単一拍動の J 点から T 波の開始まで測定される心電図間隔。</v>
      </c>
      <c r="I4656" s="3" t="str">
        <f ca="1">IFERROR(__xludf.DUMMYFUNCTION("googletranslate(F4656,""en"",""ja"")"),"ST セグメントの長さ 1 拍")</f>
        <v>ST セグメントの長さ 1 拍</v>
      </c>
    </row>
    <row r="4657" spans="1:9" ht="30">
      <c r="A4657" s="3" t="s">
        <v>985</v>
      </c>
      <c r="B4657" s="3" t="s">
        <v>19092</v>
      </c>
      <c r="C4657" s="3" t="s">
        <v>19093</v>
      </c>
      <c r="D4657" s="3" t="s">
        <v>19093</v>
      </c>
      <c r="E4657" s="3" t="s">
        <v>19094</v>
      </c>
      <c r="F4657" s="3" t="s">
        <v>19095</v>
      </c>
      <c r="G4657" s="3" t="str">
        <f ca="1">IFERROR(__xludf.DUMMYFUNCTION("googletranslate(D4657,""en"",""ja"")"),"STセグメント、T波、U波")</f>
        <v>STセグメント、T波、U波</v>
      </c>
      <c r="H4657" s="3" t="str">
        <f ca="1">IFERROR(__xludf.DUMMYFUNCTION("googletranslate(E4657,""en"",""ja"")"),"ST セグメント、T 波、U 波の特性を心電図で評価します。")</f>
        <v>ST セグメント、T 波、U 波の特性を心電図で評価します。</v>
      </c>
      <c r="I4657" s="3" t="str">
        <f ca="1">IFERROR(__xludf.DUMMYFUNCTION("googletranslate(F4657,""en"",""ja"")"),"ST セグメント、T 波、および U 波 ECG 評価")</f>
        <v>ST セグメント、T 波、および U 波 ECG 評価</v>
      </c>
    </row>
    <row r="4658" spans="1:9" ht="30">
      <c r="A4658" s="3" t="s">
        <v>1664</v>
      </c>
      <c r="B4658" s="3" t="s">
        <v>19092</v>
      </c>
      <c r="C4658" s="3" t="s">
        <v>19093</v>
      </c>
      <c r="D4658" s="3" t="s">
        <v>19093</v>
      </c>
      <c r="E4658" s="3" t="s">
        <v>19094</v>
      </c>
      <c r="F4658" s="3" t="s">
        <v>19095</v>
      </c>
      <c r="G4658" s="3" t="str">
        <f ca="1">IFERROR(__xludf.DUMMYFUNCTION("googletranslate(D4658,""en"",""ja"")"),"STセグメント、T波、U波")</f>
        <v>STセグメント、T波、U波</v>
      </c>
      <c r="H4658" s="3" t="str">
        <f ca="1">IFERROR(__xludf.DUMMYFUNCTION("googletranslate(E4658,""en"",""ja"")"),"ST セグメント、T 波、U 波の特性を心電図で評価します。")</f>
        <v>ST セグメント、T 波、U 波の特性を心電図で評価します。</v>
      </c>
      <c r="I4658" s="3" t="str">
        <f ca="1">IFERROR(__xludf.DUMMYFUNCTION("googletranslate(F4658,""en"",""ja"")"),"ST セグメント、T 波、および U 波 ECG 評価")</f>
        <v>ST セグメント、T 波、および U 波 ECG 評価</v>
      </c>
    </row>
    <row r="4659" spans="1:9" ht="45">
      <c r="A4659" s="3" t="s">
        <v>51</v>
      </c>
      <c r="B4659" s="3" t="s">
        <v>19096</v>
      </c>
      <c r="C4659" s="3" t="s">
        <v>19097</v>
      </c>
      <c r="D4659" s="3" t="s">
        <v>19098</v>
      </c>
      <c r="E4659" s="3" t="s">
        <v>19099</v>
      </c>
      <c r="F4659" s="3" t="s">
        <v>19100</v>
      </c>
      <c r="G4659" s="3" t="str">
        <f ca="1">IFERROR(__xludf.DUMMYFUNCTION("googletranslate(D4659,""en"",""ja"")"),"シンナメン;エテニルベンゼン;フェニルエチレン;スチレン;ビニルベンゼン")</f>
        <v>シンナメン;エテニルベンゼン;フェニルエチレン;スチレン;ビニルベンゼン</v>
      </c>
      <c r="H4659" s="3" t="str">
        <f ca="1">IFERROR(__xludf.DUMMYFUNCTION("googletranslate(E4659,""en"",""ja"")"),"試験片中のスチレンの測定。")</f>
        <v>試験片中のスチレンの測定。</v>
      </c>
      <c r="I4659" s="3" t="str">
        <f ca="1">IFERROR(__xludf.DUMMYFUNCTION("googletranslate(F4659,""en"",""ja"")"),"スチレン測定")</f>
        <v>スチレン測定</v>
      </c>
    </row>
    <row r="4660" spans="1:9" ht="30">
      <c r="A4660" s="3" t="s">
        <v>1557</v>
      </c>
      <c r="B4660" s="3" t="s">
        <v>19101</v>
      </c>
      <c r="C4660" s="3" t="s">
        <v>19102</v>
      </c>
      <c r="D4660" s="3" t="s">
        <v>19102</v>
      </c>
      <c r="E4660" s="3" t="s">
        <v>19103</v>
      </c>
      <c r="F4660" s="3" t="s">
        <v>19104</v>
      </c>
      <c r="G4660" s="3" t="str">
        <f ca="1">IFERROR(__xludf.DUMMYFUNCTION("googletranslate(D4660,""en"",""ja"")"),"視力表の影響を受ける 実際の距離")</f>
        <v>視力表の影響を受ける 実際の距離</v>
      </c>
      <c r="H4660" s="3" t="str">
        <f ca="1">IFERROR(__xludf.DUMMYFUNCTION("googletranslate(E4660,""en"",""ja"")"),"目の評価中の被験者と視力検査表の間の実際の距離。")</f>
        <v>目の評価中の被験者と視力検査表の間の実際の距離。</v>
      </c>
      <c r="I4660" s="3" t="str">
        <f ca="1">IFERROR(__xludf.DUMMYFUNCTION("googletranslate(F4660,""en"",""ja"")"),"実際の被験者と視力検査表の距離")</f>
        <v>実際の被験者と視力検査表の距離</v>
      </c>
    </row>
    <row r="4661" spans="1:9" ht="30">
      <c r="A4661" s="3" t="s">
        <v>1557</v>
      </c>
      <c r="B4661" s="3" t="s">
        <v>19105</v>
      </c>
      <c r="C4661" s="3" t="s">
        <v>19106</v>
      </c>
      <c r="D4661" s="3" t="s">
        <v>19106</v>
      </c>
      <c r="E4661" s="3" t="s">
        <v>19107</v>
      </c>
      <c r="F4661" s="3" t="s">
        <v>19108</v>
      </c>
      <c r="G4661" s="3" t="str">
        <f ca="1">IFERROR(__xludf.DUMMYFUNCTION("googletranslate(D4661,""en"",""ja"")"),"視力検査表の対象となる予定距離")</f>
        <v>視力検査表の対象となる予定距離</v>
      </c>
      <c r="H4661" s="3" t="str">
        <f ca="1">IFERROR(__xludf.DUMMYFUNCTION("googletranslate(E4661,""en"",""ja"")"),"目の評価中に被験者と視力検査表の間で計画される距離。")</f>
        <v>目の評価中に被験者と視力検査表の間で計画される距離。</v>
      </c>
      <c r="I4661" s="3" t="str">
        <f ca="1">IFERROR(__xludf.DUMMYFUNCTION("googletranslate(F4661,""en"",""ja"")"),"視力検査表の対象となる予定の距離")</f>
        <v>視力検査表の対象となる予定の距離</v>
      </c>
    </row>
    <row r="4662" spans="1:9" ht="30">
      <c r="A4662" s="3" t="s">
        <v>159</v>
      </c>
      <c r="B4662" s="3" t="s">
        <v>19109</v>
      </c>
      <c r="C4662" s="3" t="s">
        <v>19110</v>
      </c>
      <c r="D4662" s="3" t="s">
        <v>19110</v>
      </c>
      <c r="E4662" s="3" t="s">
        <v>19111</v>
      </c>
      <c r="F4662" s="3" t="s">
        <v>19110</v>
      </c>
      <c r="G4662" s="3" t="str">
        <f ca="1">IFERROR(__xludf.DUMMYFUNCTION("googletranslate(D4662,""en"",""ja"")"),"吸引反射")</f>
        <v>吸引反射</v>
      </c>
      <c r="H4662" s="3" t="str">
        <f ca="1">IFERROR(__xludf.DUMMYFUNCTION("googletranslate(E4662,""en"",""ja"")"),"乳児の唇に乳首を当てたときの新生児の不随意の原始的な反応。")</f>
        <v>乳児の唇に乳首を当てたときの新生児の不随意の原始的な反応。</v>
      </c>
      <c r="I4662" s="3" t="str">
        <f ca="1">IFERROR(__xludf.DUMMYFUNCTION("googletranslate(F4662,""en"",""ja"")"),"吸引反射")</f>
        <v>吸引反射</v>
      </c>
    </row>
    <row r="4663" spans="1:9">
      <c r="A4663" s="3" t="s">
        <v>6</v>
      </c>
      <c r="B4663" s="3" t="s">
        <v>19112</v>
      </c>
      <c r="C4663" s="3" t="s">
        <v>19113</v>
      </c>
      <c r="D4663" s="3" t="s">
        <v>19113</v>
      </c>
      <c r="E4663" s="3" t="s">
        <v>19114</v>
      </c>
      <c r="F4663" s="3" t="s">
        <v>19115</v>
      </c>
      <c r="G4663" s="3" t="str">
        <f ca="1">IFERROR(__xludf.DUMMYFUNCTION("googletranslate(D4663,""en"",""ja"")"),"スフェンタニル")</f>
        <v>スフェンタニル</v>
      </c>
      <c r="H4663" s="3" t="str">
        <f ca="1">IFERROR(__xludf.DUMMYFUNCTION("googletranslate(E4663,""en"",""ja"")"),"生物学的標本中のサフェンタニルの測定。")</f>
        <v>生物学的標本中のサフェンタニルの測定。</v>
      </c>
      <c r="I4663" s="3" t="str">
        <f ca="1">IFERROR(__xludf.DUMMYFUNCTION("googletranslate(F4663,""en"",""ja"")"),"スフェンタニルの測定")</f>
        <v>スフェンタニルの測定</v>
      </c>
    </row>
    <row r="4664" spans="1:9">
      <c r="A4664" s="3" t="s">
        <v>6</v>
      </c>
      <c r="B4664" s="3" t="s">
        <v>19116</v>
      </c>
      <c r="C4664" s="3" t="s">
        <v>19117</v>
      </c>
      <c r="D4664" s="3" t="s">
        <v>19118</v>
      </c>
      <c r="E4664" s="3" t="s">
        <v>19119</v>
      </c>
      <c r="F4664" s="3" t="s">
        <v>19120</v>
      </c>
      <c r="G4664" s="3" t="str">
        <f ca="1">IFERROR(__xludf.DUMMYFUNCTION("googletranslate(D4664,""en"",""ja"")"),"硫酸塩;硫酸塩")</f>
        <v>硫酸塩;硫酸塩</v>
      </c>
      <c r="H4664" s="3" t="str">
        <f ca="1">IFERROR(__xludf.DUMMYFUNCTION("googletranslate(E4664,""en"",""ja"")"),"生物学的標本中の硫酸塩の測定。")</f>
        <v>生物学的標本中の硫酸塩の測定。</v>
      </c>
      <c r="I4664" s="3" t="str">
        <f ca="1">IFERROR(__xludf.DUMMYFUNCTION("googletranslate(F4664,""en"",""ja"")"),"硫酸塩の測定")</f>
        <v>硫酸塩の測定</v>
      </c>
    </row>
    <row r="4665" spans="1:9" ht="60">
      <c r="A4665" s="3" t="s">
        <v>210</v>
      </c>
      <c r="B4665" s="3" t="s">
        <v>19121</v>
      </c>
      <c r="C4665" s="3" t="s">
        <v>19122</v>
      </c>
      <c r="D4665" s="3" t="s">
        <v>19123</v>
      </c>
      <c r="E4665" s="3" t="s">
        <v>19124</v>
      </c>
      <c r="F4665" s="3" t="s">
        <v>19125</v>
      </c>
      <c r="G4665" s="3" t="str">
        <f ca="1">IFERROR(__xludf.DUMMYFUNCTION("googletranslate(D4665,""en"",""ja"")"),"除脂肪体重に対して補正された標準化摂取値の最大値。 SUV の最大値を除脂肪体重に合わせて補正")</f>
        <v>除脂肪体重に対して補正された標準化摂取値の最大値。 SUV の最大値を除脂肪体重に合わせて補正</v>
      </c>
      <c r="H4665" s="3" t="str">
        <f ca="1">IFERROR(__xludf.DUMMYFUNCTION("googletranslate(E4665,""en"",""ja"")"),"定義された領域または対象ボリューム (VOI) 内で、最も強い信号を持つピクセルまたはボクセルの除脂肪体重に対して補正された標準化された摂取値。")</f>
        <v>定義された領域または対象ボリューム (VOI) 内で、最も強い信号を持つピクセルまたはボクセルの除脂肪体重に対して補正された標準化された摂取値。</v>
      </c>
      <c r="I4665" s="3" t="str">
        <f ca="1">IFERROR(__xludf.DUMMYFUNCTION("googletranslate(F4665,""en"",""ja"")"),"除脂肪体重に対して補正された最大標準摂取量値")</f>
        <v>除脂肪体重に対して補正された最大標準摂取量値</v>
      </c>
    </row>
    <row r="4666" spans="1:9" ht="45">
      <c r="A4666" s="3" t="s">
        <v>210</v>
      </c>
      <c r="B4666" s="3" t="s">
        <v>19126</v>
      </c>
      <c r="C4666" s="3" t="s">
        <v>19127</v>
      </c>
      <c r="D4666" s="3" t="s">
        <v>19128</v>
      </c>
      <c r="E4666" s="3" t="s">
        <v>19129</v>
      </c>
      <c r="F4666" s="3" t="s">
        <v>19130</v>
      </c>
      <c r="G4666" s="3" t="str">
        <f ca="1">IFERROR(__xludf.DUMMYFUNCTION("googletranslate(D4666,""en"",""ja"")"),"除脂肪体重に対して補正された標準化摂取値の平均。除脂肪体重を補正した SUV 平均値")</f>
        <v>除脂肪体重に対して補正された標準化摂取値の平均。除脂肪体重を補正した SUV 平均値</v>
      </c>
      <c r="H4666" s="3" t="str">
        <f ca="1">IFERROR(__xludf.DUMMYFUNCTION("googletranslate(E4666,""en"",""ja"")"),"定義された対象領域または対象容積 (VOI) 内の除脂肪体重について補正された、標準化された摂取値のグループの算術平均。")</f>
        <v>定義された対象領域または対象容積 (VOI) 内の除脂肪体重について補正された、標準化された摂取値のグループの算術平均。</v>
      </c>
      <c r="I4666" s="3" t="str">
        <f ca="1">IFERROR(__xludf.DUMMYFUNCTION("googletranslate(F4666,""en"",""ja"")"),"除脂肪体重に対して補正された平均標準化摂取値")</f>
        <v>除脂肪体重に対して補正された平均標準化摂取値</v>
      </c>
    </row>
    <row r="4667" spans="1:9" ht="60">
      <c r="A4667" s="3" t="s">
        <v>210</v>
      </c>
      <c r="B4667" s="3" t="s">
        <v>19131</v>
      </c>
      <c r="C4667" s="3" t="s">
        <v>19132</v>
      </c>
      <c r="D4667" s="3" t="s">
        <v>19133</v>
      </c>
      <c r="E4667" s="3" t="s">
        <v>19134</v>
      </c>
      <c r="F4667" s="3" t="s">
        <v>19135</v>
      </c>
      <c r="G4667" s="3" t="str">
        <f ca="1">IFERROR(__xludf.DUMMYFUNCTION("googletranslate(D4667,""en"",""ja"")"),"除脂肪体重に対して補正された標準化摂取値ピーク。 SUV ピークを除脂肪体重に合わせて補正")</f>
        <v>除脂肪体重に対して補正された標準化摂取値ピーク。 SUV ピークを除脂肪体重に合わせて補正</v>
      </c>
      <c r="H4667" s="3" t="str">
        <f ca="1">IFERROR(__xludf.DUMMYFUNCTION("googletranslate(E4667,""en"",""ja"")"),"定義された対象領域または対象ボリューム (VOI) にわたるすべての SUV 値のヒストグラムによって生成された、除脂肪体重分布に対して補正された標準化摂取値のピーク。")</f>
        <v>定義された対象領域または対象ボリューム (VOI) にわたるすべての SUV 値のヒストグラムによって生成された、除脂肪体重分布に対して補正された標準化摂取値のピーク。</v>
      </c>
      <c r="I4667" s="3" t="str">
        <f ca="1">IFERROR(__xludf.DUMMYFUNCTION("googletranslate(F4667,""en"",""ja"")"),"除脂肪体重に対して補正されたピーク標準化摂取値")</f>
        <v>除脂肪体重に対して補正されたピーク標準化摂取値</v>
      </c>
    </row>
    <row r="4668" spans="1:9">
      <c r="A4668" s="3" t="s">
        <v>210</v>
      </c>
      <c r="B4668" s="3" t="s">
        <v>19136</v>
      </c>
      <c r="C4668" s="3" t="s">
        <v>19137</v>
      </c>
      <c r="D4668" s="3" t="s">
        <v>19137</v>
      </c>
      <c r="E4668" s="3" t="s">
        <v>19138</v>
      </c>
      <c r="F4668" s="3" t="s">
        <v>19139</v>
      </c>
      <c r="G4668" s="3" t="str">
        <f ca="1">IFERROR(__xludf.DUMMYFUNCTION("googletranslate(D4668,""en"",""ja"")"),"直径の合計")</f>
        <v>直径の合計</v>
      </c>
      <c r="H4668" s="3" t="str">
        <f ca="1">IFERROR(__xludf.DUMMYFUNCTION("googletranslate(E4668,""en"",""ja"")"),"集約された直径値の計算。")</f>
        <v>集約された直径値の計算。</v>
      </c>
      <c r="I4668" s="3" t="str">
        <f ca="1">IFERROR(__xludf.DUMMYFUNCTION("googletranslate(F4668,""en"",""ja"")"),"直径の合計")</f>
        <v>直径の合計</v>
      </c>
    </row>
    <row r="4669" spans="1:9">
      <c r="A4669" s="3" t="s">
        <v>210</v>
      </c>
      <c r="B4669" s="3" t="s">
        <v>19140</v>
      </c>
      <c r="C4669" s="3" t="s">
        <v>19141</v>
      </c>
      <c r="D4669" s="3" t="s">
        <v>19141</v>
      </c>
      <c r="E4669" s="3" t="s">
        <v>19142</v>
      </c>
      <c r="F4669" s="3" t="s">
        <v>19143</v>
      </c>
      <c r="G4669" s="3" t="str">
        <f ca="1">IFERROR(__xludf.DUMMYFUNCTION("googletranslate(D4669,""en"",""ja"")"),"最長直径の合計")</f>
        <v>最長直径の合計</v>
      </c>
      <c r="H4669" s="3" t="str">
        <f ca="1">IFERROR(__xludf.DUMMYFUNCTION("googletranslate(E4669,""en"",""ja"")"),"最長直径の合計値の計算。")</f>
        <v>最長直径の合計値の計算。</v>
      </c>
      <c r="I4669" s="3" t="str">
        <f ca="1">IFERROR(__xludf.DUMMYFUNCTION("googletranslate(F4669,""en"",""ja"")"),"最長直径の合計")</f>
        <v>最長直径の合計</v>
      </c>
    </row>
    <row r="4670" spans="1:9">
      <c r="A4670" s="3" t="s">
        <v>210</v>
      </c>
      <c r="B4670" s="3" t="s">
        <v>19144</v>
      </c>
      <c r="C4670" s="3" t="s">
        <v>19145</v>
      </c>
      <c r="D4670" s="3" t="s">
        <v>19145</v>
      </c>
      <c r="E4670" s="3" t="s">
        <v>19146</v>
      </c>
      <c r="F4670" s="3" t="s">
        <v>19147</v>
      </c>
      <c r="G4670" s="3" t="str">
        <f ca="1">IFERROR(__xludf.DUMMYFUNCTION("googletranslate(D4670,""en"",""ja"")"),"最長垂線の合計")</f>
        <v>最長垂線の合計</v>
      </c>
      <c r="H4670" s="3" t="str">
        <f ca="1">IFERROR(__xludf.DUMMYFUNCTION("googletranslate(E4670,""en"",""ja"")"),"集計された最長垂直値の計算。")</f>
        <v>集計された最長垂直値の計算。</v>
      </c>
      <c r="I4670" s="3" t="str">
        <f ca="1">IFERROR(__xludf.DUMMYFUNCTION("googletranslate(F4670,""en"",""ja"")"),"最長垂線の合計")</f>
        <v>最長垂線の合計</v>
      </c>
    </row>
    <row r="4671" spans="1:9" ht="30">
      <c r="A4671" s="3" t="s">
        <v>210</v>
      </c>
      <c r="B4671" s="3" t="s">
        <v>19148</v>
      </c>
      <c r="C4671" s="3" t="s">
        <v>19149</v>
      </c>
      <c r="D4671" s="3" t="s">
        <v>19149</v>
      </c>
      <c r="E4671" s="3" t="s">
        <v>19150</v>
      </c>
      <c r="F4671" s="3" t="s">
        <v>19151</v>
      </c>
      <c r="G4671" s="3" t="str">
        <f ca="1">IFERROR(__xludf.DUMMYFUNCTION("googletranslate(D4671,""en"",""ja"")"),"非リンパ節腫瘍の直径の合計")</f>
        <v>非リンパ節腫瘍の直径の合計</v>
      </c>
      <c r="H4671" s="3" t="str">
        <f ca="1">IFERROR(__xludf.DUMMYFUNCTION("googletranslate(E4671,""en"",""ja"")"),"リンパ節以外の腫瘍の合計直径値の計算。")</f>
        <v>リンパ節以外の腫瘍の合計直径値の計算。</v>
      </c>
      <c r="I4671" s="3" t="str">
        <f ca="1">IFERROR(__xludf.DUMMYFUNCTION("googletranslate(F4671,""en"",""ja"")"),"非リンパ節腫瘍の直径の合計")</f>
        <v>非リンパ節腫瘍の直径の合計</v>
      </c>
    </row>
    <row r="4672" spans="1:9" ht="60">
      <c r="A4672" s="3" t="s">
        <v>210</v>
      </c>
      <c r="B4672" s="3" t="s">
        <v>19152</v>
      </c>
      <c r="C4672" s="3" t="s">
        <v>19153</v>
      </c>
      <c r="D4672" s="3" t="s">
        <v>19154</v>
      </c>
      <c r="E4672" s="3" t="s">
        <v>19155</v>
      </c>
      <c r="F4672" s="3" t="s">
        <v>19156</v>
      </c>
      <c r="G4672" s="3" t="str">
        <f ca="1">IFERROR(__xludf.DUMMYFUNCTION("googletranslate(D4672,""en"",""ja"")"),"SPD;垂直直径の積の和;垂直直径の積の和")</f>
        <v>SPD;垂直直径の積の和;垂直直径の積の和</v>
      </c>
      <c r="H4672" s="3" t="str">
        <f ca="1">IFERROR(__xludf.DUMMYFUNCTION("googletranslate(E4672,""en"",""ja"")"),"垂直直径の積を加算した結果。")</f>
        <v>垂直直径の積を加算した結果。</v>
      </c>
      <c r="I4672" s="3" t="str">
        <f ca="1">IFERROR(__xludf.DUMMYFUNCTION("googletranslate(F4672,""en"",""ja"")"),"垂直直径の積の和")</f>
        <v>垂直直径の積の和</v>
      </c>
    </row>
    <row r="4673" spans="1:10" ht="30">
      <c r="A4673" s="3" t="s">
        <v>210</v>
      </c>
      <c r="B4673" s="3" t="s">
        <v>19157</v>
      </c>
      <c r="C4673" s="3" t="s">
        <v>19158</v>
      </c>
      <c r="D4673" s="3" t="s">
        <v>19158</v>
      </c>
      <c r="E4673" s="3" t="s">
        <v>19159</v>
      </c>
      <c r="F4673" s="3" t="s">
        <v>19160</v>
      </c>
      <c r="G4673" s="3" t="str">
        <f ca="1">IFERROR(__xludf.DUMMYFUNCTION("googletranslate(D4673,""en"",""ja"")"),"有効直径の合計")</f>
        <v>有効直径の合計</v>
      </c>
      <c r="H4673" s="3" t="str">
        <f ca="1">IFERROR(__xludf.DUMMYFUNCTION("googletranslate(E4673,""en"",""ja"")"),"腫瘍塊の生存部分から採取された集合直径値の計算。")</f>
        <v>腫瘍塊の生存部分から採取された集合直径値の計算。</v>
      </c>
      <c r="I4673" s="3" t="str">
        <f ca="1">IFERROR(__xludf.DUMMYFUNCTION("googletranslate(F4673,""en"",""ja"")"),"実行可能な直径の合計")</f>
        <v>実行可能な直径の合計</v>
      </c>
    </row>
    <row r="4674" spans="1:10">
      <c r="A4674" s="3" t="s">
        <v>210</v>
      </c>
      <c r="B4674" s="3" t="s">
        <v>19161</v>
      </c>
      <c r="C4674" s="3" t="s">
        <v>19162</v>
      </c>
      <c r="D4674" s="3" t="s">
        <v>19162</v>
      </c>
      <c r="E4674" s="3" t="s">
        <v>19163</v>
      </c>
      <c r="F4674" s="3" t="s">
        <v>19164</v>
      </c>
      <c r="G4674" s="3" t="str">
        <f ca="1">IFERROR(__xludf.DUMMYFUNCTION("googletranslate(D4674,""en"",""ja"")"),"体積の合計")</f>
        <v>体積の合計</v>
      </c>
      <c r="H4674" s="3" t="str">
        <f ca="1">IFERROR(__xludf.DUMMYFUNCTION("googletranslate(E4674,""en"",""ja"")"),"集計された体積値の計算。")</f>
        <v>集計された体積値の計算。</v>
      </c>
      <c r="I4674" s="3" t="str">
        <f ca="1">IFERROR(__xludf.DUMMYFUNCTION("googletranslate(F4674,""en"",""ja"")"),"体積の合計")</f>
        <v>体積の合計</v>
      </c>
    </row>
    <row r="4675" spans="1:10" ht="30">
      <c r="A4675" s="3" t="s">
        <v>8558</v>
      </c>
      <c r="B4675" s="3" t="s">
        <v>19165</v>
      </c>
      <c r="C4675" s="3" t="s">
        <v>19166</v>
      </c>
      <c r="D4675" s="3" t="s">
        <v>19166</v>
      </c>
      <c r="E4675" s="3" t="s">
        <v>19167</v>
      </c>
      <c r="F4675" s="3" t="s">
        <v>19168</v>
      </c>
      <c r="G4675" s="3" t="str">
        <f ca="1">IFERROR(__xludf.DUMMYFUNCTION("googletranslate(D4675,""en"",""ja"")"),"生存状況")</f>
        <v>生存状況</v>
      </c>
      <c r="H4675" s="3" t="str">
        <f ca="1">IFERROR(__xludf.DUMMYFUNCTION("googletranslate(E4675,""en"",""ja"")"),"生存または死亡の状態または状態。生命状態が不明な場合も含みます。")</f>
        <v>生存または死亡の状態または状態。生命状態が不明な場合も含みます。</v>
      </c>
      <c r="I4675" s="3" t="str">
        <f ca="1">IFERROR(__xludf.DUMMYFUNCTION("googletranslate(F4675,""en"",""ja"")"),"バイタルステータス")</f>
        <v>バイタルステータス</v>
      </c>
    </row>
    <row r="4676" spans="1:10" ht="45">
      <c r="A4676" s="3" t="s">
        <v>6394</v>
      </c>
      <c r="B4676" s="3" t="s">
        <v>19169</v>
      </c>
      <c r="C4676" s="3" t="s">
        <v>19170</v>
      </c>
      <c r="D4676" s="3" t="s">
        <v>19170</v>
      </c>
      <c r="E4676" s="3" t="s">
        <v>19171</v>
      </c>
      <c r="F4676" s="3" t="s">
        <v>19170</v>
      </c>
      <c r="G4676" s="3" t="str">
        <f ca="1">IFERROR(__xludf.DUMMYFUNCTION("googletranslate(D4676,""en"",""ja"")"),"感受性スコア変異インジケーター")</f>
        <v>感受性スコア変異インジケーター</v>
      </c>
      <c r="H4676" s="3" t="str">
        <f ca="1">IFERROR(__xludf.DUMMYFUNCTION("googletranslate(E4676,""en"",""ja"")"),"微生物に感受性を与える可能性のある、スコア付けされた対象の変異が 1 つ以上存在するかどうかを示します。")</f>
        <v>微生物に感受性を与える可能性のある、スコア付けされた対象の変異が 1 つ以上存在するかどうかを示します。</v>
      </c>
      <c r="I4676" s="3" t="str">
        <f ca="1">IFERROR(__xludf.DUMMYFUNCTION("googletranslate(F4676,""en"",""ja"")"),"感受性スコア変異インジケーター")</f>
        <v>感受性スコア変異インジケーター</v>
      </c>
    </row>
    <row r="4677" spans="1:10" ht="45">
      <c r="A4677" s="3" t="s">
        <v>159</v>
      </c>
      <c r="B4677" s="3" t="s">
        <v>19172</v>
      </c>
      <c r="C4677" s="3" t="s">
        <v>19173</v>
      </c>
      <c r="D4677" s="3" t="s">
        <v>19173</v>
      </c>
      <c r="E4677" s="3" t="s">
        <v>19174</v>
      </c>
      <c r="F4677" s="3" t="s">
        <v>19175</v>
      </c>
      <c r="G4677" s="3" t="str">
        <f ca="1">IFERROR(__xludf.DUMMYFUNCTION("googletranslate(D4677,""en"",""ja"")"),"標準摂取値")</f>
        <v>標準摂取値</v>
      </c>
      <c r="H4677" s="3" t="str">
        <f ca="1">IFERROR(__xludf.DUMMYFUNCTION("googletranslate(E4677,""en"",""ja"")"),"ある時点での組織放射能濃度 C(T) と患者の体重 1 キログラムあたりの放射能の注入量との間の比。")</f>
        <v>ある時点での組織放射能濃度 C(T) と患者の体重 1 キログラムあたりの放射能の注入量との間の比。</v>
      </c>
      <c r="I4677" s="3" t="str">
        <f ca="1">IFERROR(__xludf.DUMMYFUNCTION("googletranslate(F4677,""en"",""ja"")"),"標準化された摂取値")</f>
        <v>標準化された摂取値</v>
      </c>
    </row>
    <row r="4678" spans="1:10" ht="45">
      <c r="A4678" s="3" t="s">
        <v>210</v>
      </c>
      <c r="B4678" s="3" t="s">
        <v>19176</v>
      </c>
      <c r="C4678" s="3" t="s">
        <v>19177</v>
      </c>
      <c r="D4678" s="3" t="s">
        <v>19177</v>
      </c>
      <c r="E4678" s="3" t="s">
        <v>19178</v>
      </c>
      <c r="F4678" s="3" t="s">
        <v>19177</v>
      </c>
      <c r="G4678" s="3" t="str">
        <f ca="1">IFERROR(__xludf.DUMMYFUNCTION("googletranslate(D4678,""en"",""ja"")"),"標準化された取り込み値の最大値")</f>
        <v>標準化された取り込み値の最大値</v>
      </c>
      <c r="H4678" s="3" t="str">
        <f ca="1">IFERROR(__xludf.DUMMYFUNCTION("googletranslate(E4678,""en"",""ja"")"),"定義された関心領域またはボリューム (VOI) 内で、最も強い信号を持つピクセルまたはボクセルの標準化された (総体重による) 取り込み値。")</f>
        <v>定義された関心領域またはボリューム (VOI) 内で、最も強い信号を持つピクセルまたはボクセルの標準化された (総体重による) 取り込み値。</v>
      </c>
      <c r="I4678" s="3" t="str">
        <f ca="1">IFERROR(__xludf.DUMMYFUNCTION("googletranslate(F4678,""en"",""ja"")"),"標準化された取り込み値の最大値")</f>
        <v>標準化された取り込み値の最大値</v>
      </c>
    </row>
    <row r="4679" spans="1:10" ht="45">
      <c r="A4679" s="3" t="s">
        <v>210</v>
      </c>
      <c r="B4679" s="3" t="s">
        <v>19179</v>
      </c>
      <c r="C4679" s="3" t="s">
        <v>19180</v>
      </c>
      <c r="D4679" s="3" t="s">
        <v>19181</v>
      </c>
      <c r="E4679" s="3" t="s">
        <v>19182</v>
      </c>
      <c r="F4679" s="3" t="s">
        <v>19180</v>
      </c>
      <c r="G4679" s="3" t="str">
        <f ca="1">IFERROR(__xludf.DUMMYFUNCTION("googletranslate(D4679,""en"",""ja"")"),"平均代謝標準摂取値;標準化された摂取値の平均")</f>
        <v>平均代謝標準摂取値;標準化された摂取値の平均</v>
      </c>
      <c r="H4679" s="3" t="str">
        <f ca="1">IFERROR(__xludf.DUMMYFUNCTION("googletranslate(E4679,""en"",""ja"")"),"定義された対象領域または対象容積 (VOI) 内の標準化された (総体重による) 摂取値のグループの算術平均。")</f>
        <v>定義された対象領域または対象容積 (VOI) 内の標準化された (総体重による) 摂取値のグループの算術平均。</v>
      </c>
      <c r="I4679" s="3" t="str">
        <f ca="1">IFERROR(__xludf.DUMMYFUNCTION("googletranslate(F4679,""en"",""ja"")"),"標準化された摂取値の平均")</f>
        <v>標準化された摂取値の平均</v>
      </c>
    </row>
    <row r="4680" spans="1:10" ht="45">
      <c r="A4680" s="4" t="s">
        <v>210</v>
      </c>
      <c r="B4680" s="4" t="s">
        <v>19183</v>
      </c>
      <c r="C4680" s="4" t="s">
        <v>19184</v>
      </c>
      <c r="D4680" s="4"/>
      <c r="E4680" s="4" t="s">
        <v>19185</v>
      </c>
      <c r="F4680" s="4" t="s">
        <v>19184</v>
      </c>
      <c r="G4680" s="3"/>
      <c r="H4680" s="3" t="str">
        <f ca="1">IFERROR(__xludf.DUMMYFUNCTION("googletranslate(E4680,""en"",""ja"")"),"定義された関心領域またはボリューム (VOI) 内で、信号が最も低いピクセルまたはボクセルの標準化された (総体重による) 取り込み値。")</f>
        <v>定義された関心領域またはボリューム (VOI) 内で、信号が最も低いピクセルまたはボクセルの標準化された (総体重による) 取り込み値。</v>
      </c>
      <c r="I4680" s="3" t="str">
        <f ca="1">IFERROR(__xludf.DUMMYFUNCTION("googletranslate(F4680,""en"",""ja"")"),"標準化された取り込み値の最小値")</f>
        <v>標準化された取り込み値の最小値</v>
      </c>
      <c r="J4680" s="4"/>
    </row>
    <row r="4681" spans="1:10" ht="60">
      <c r="A4681" s="3" t="s">
        <v>210</v>
      </c>
      <c r="B4681" s="3" t="s">
        <v>19186</v>
      </c>
      <c r="C4681" s="3" t="s">
        <v>19187</v>
      </c>
      <c r="D4681" s="3" t="s">
        <v>19187</v>
      </c>
      <c r="E4681" s="3" t="s">
        <v>19188</v>
      </c>
      <c r="F4681" s="3" t="s">
        <v>19187</v>
      </c>
      <c r="G4681" s="3" t="str">
        <f ca="1">IFERROR(__xludf.DUMMYFUNCTION("googletranslate(D4681,""en"",""ja"")"),"標準化された取り込み値のピーク")</f>
        <v>標準化された取り込み値のピーク</v>
      </c>
      <c r="H4681" s="3" t="str">
        <f ca="1">IFERROR(__xludf.DUMMYFUNCTION("googletranslate(E4681,""en"",""ja"")"),"定義された対象領域または対象ボリューム (VOI) にわたる、すべての SUV 値のヒストグラムによって生成された、標準化された (総体重による) 摂取値分布の最大平均 (ピーク)。")</f>
        <v>定義された対象領域または対象ボリューム (VOI) にわたる、すべての SUV 値のヒストグラムによって生成された、標準化された (総体重による) 摂取値分布の最大平均 (ピーク)。</v>
      </c>
      <c r="I4681" s="3" t="str">
        <f ca="1">IFERROR(__xludf.DUMMYFUNCTION("googletranslate(F4681,""en"",""ja"")"),"標準化された取り込み値のピーク")</f>
        <v>標準化された取り込み値のピーク</v>
      </c>
    </row>
    <row r="4682" spans="1:10" ht="45">
      <c r="A4682" s="3" t="s">
        <v>159</v>
      </c>
      <c r="B4682" s="3" t="s">
        <v>19189</v>
      </c>
      <c r="C4682" s="3" t="s">
        <v>19190</v>
      </c>
      <c r="D4682" s="3" t="s">
        <v>19190</v>
      </c>
      <c r="E4682" s="3" t="s">
        <v>19191</v>
      </c>
      <c r="F4682" s="3" t="s">
        <v>19190</v>
      </c>
      <c r="G4682" s="3" t="str">
        <f ca="1">IFERROR(__xludf.DUMMYFUNCTION("googletranslate(D4682,""en"",""ja"")"),"標準摂取値比")</f>
        <v>標準摂取値比</v>
      </c>
      <c r="H4682" s="3" t="str">
        <f ca="1">IFERROR(__xludf.DUMMYFUNCTION("googletranslate(E4682,""en"",""ja"")"),"関心のある解剖学的領域と状況によって定義された参照解剖学的領域における放射性医薬品の取り込みまたは結合の間の比率。")</f>
        <v>関心のある解剖学的領域と状況によって定義された参照解剖学的領域における放射性医薬品の取り込みまたは結合の間の比率。</v>
      </c>
      <c r="I4682" s="3" t="str">
        <f ca="1">IFERROR(__xludf.DUMMYFUNCTION("googletranslate(F4682,""en"",""ja"")"),"標準摂取値比")</f>
        <v>標準摂取値比</v>
      </c>
    </row>
    <row r="4683" spans="1:10" ht="30">
      <c r="A4683" s="3" t="s">
        <v>490</v>
      </c>
      <c r="B4683" s="3" t="s">
        <v>19192</v>
      </c>
      <c r="C4683" s="3" t="s">
        <v>19193</v>
      </c>
      <c r="D4683" s="3" t="s">
        <v>19193</v>
      </c>
      <c r="E4683" s="3" t="s">
        <v>19194</v>
      </c>
      <c r="F4683" s="3" t="s">
        <v>19193</v>
      </c>
      <c r="G4683" s="3" t="str">
        <f ca="1">IFERROR(__xludf.DUMMYFUNCTION("googletranslate(D4683,""en"",""ja"")"),"肺活量が遅い")</f>
        <v>肺活量が遅い</v>
      </c>
      <c r="H4683" s="3" t="str">
        <f ca="1">IFERROR(__xludf.DUMMYFUNCTION("googletranslate(E4683,""en"",""ja"")"),"ゆっくりと最大限に吸い込んだ後に吐き出すことができる空気の最大量。")</f>
        <v>ゆっくりと最大限に吸い込んだ後に吐き出すことができる空気の最大量。</v>
      </c>
      <c r="I4683" s="3" t="str">
        <f ca="1">IFERROR(__xludf.DUMMYFUNCTION("googletranslate(F4683,""en"",""ja"")"),"肺活量が遅い")</f>
        <v>肺活量が遅い</v>
      </c>
    </row>
    <row r="4684" spans="1:10" ht="30">
      <c r="A4684" s="3" t="s">
        <v>6</v>
      </c>
      <c r="B4684" s="3" t="s">
        <v>19195</v>
      </c>
      <c r="C4684" s="3" t="s">
        <v>19196</v>
      </c>
      <c r="D4684" s="3" t="s">
        <v>19196</v>
      </c>
      <c r="E4684" s="3" t="s">
        <v>19197</v>
      </c>
      <c r="F4684" s="3" t="s">
        <v>19198</v>
      </c>
      <c r="G4684" s="3" t="str">
        <f ca="1">IFERROR(__xludf.DUMMYFUNCTION("googletranslate(D4684,""en"",""ja"")"),"可溶性血管細胞接着分子 1")</f>
        <v>可溶性血管細胞接着分子 1</v>
      </c>
      <c r="H4684" s="3" t="str">
        <f ca="1">IFERROR(__xludf.DUMMYFUNCTION("googletranslate(E4684,""en"",""ja"")"),"生体試料中の可溶性血管細胞接着分子 1 の測定。")</f>
        <v>生体試料中の可溶性血管細胞接着分子 1 の測定。</v>
      </c>
      <c r="I4684" s="3" t="str">
        <f ca="1">IFERROR(__xludf.DUMMYFUNCTION("googletranslate(F4684,""en"",""ja"")"),"可溶性血管細胞接着分子 1")</f>
        <v>可溶性血管細胞接着分子 1</v>
      </c>
    </row>
    <row r="4685" spans="1:10" ht="45">
      <c r="A4685" s="3" t="s">
        <v>490</v>
      </c>
      <c r="B4685" s="3" t="s">
        <v>19199</v>
      </c>
      <c r="C4685" s="3" t="s">
        <v>19200</v>
      </c>
      <c r="D4685" s="3" t="s">
        <v>19200</v>
      </c>
      <c r="E4685" s="3" t="s">
        <v>19201</v>
      </c>
      <c r="F4685" s="3" t="s">
        <v>19200</v>
      </c>
      <c r="G4685" s="3" t="str">
        <f ca="1">IFERROR(__xludf.DUMMYFUNCTION("googletranslate(D4685,""en"",""ja"")"),"予測された低速肺活量のパーセント")</f>
        <v>予測された低速肺活量のパーセント</v>
      </c>
      <c r="H4685" s="3" t="str">
        <f ca="1">IFERROR(__xludf.DUMMYFUNCTION("googletranslate(E4685,""en"",""ja"")"),"予測された正常値の割合として、ゆっくりと最大吸入した後に吐き出すことができる空気の最大量。")</f>
        <v>予測された正常値の割合として、ゆっくりと最大吸入した後に吐き出すことができる空気の最大量。</v>
      </c>
      <c r="I4685" s="3" t="str">
        <f ca="1">IFERROR(__xludf.DUMMYFUNCTION("googletranslate(F4685,""en"",""ja"")"),"予測された低速肺活量のパーセント")</f>
        <v>予測された低速肺活量のパーセント</v>
      </c>
    </row>
    <row r="4686" spans="1:10" ht="30">
      <c r="A4686" s="3" t="s">
        <v>81</v>
      </c>
      <c r="B4686" s="3" t="s">
        <v>19202</v>
      </c>
      <c r="C4686" s="3" t="s">
        <v>19203</v>
      </c>
      <c r="D4686" s="3" t="s">
        <v>19204</v>
      </c>
      <c r="E4686" s="3" t="s">
        <v>19205</v>
      </c>
      <c r="F4686" s="3" t="s">
        <v>19203</v>
      </c>
      <c r="G4686" s="3" t="str">
        <f ca="1">IFERROR(__xludf.DUMMYFUNCTION("googletranslate(D4686,""en"",""ja"")"),"全身血管抵抗;総周囲抵抗")</f>
        <v>全身血管抵抗;総周囲抵抗</v>
      </c>
      <c r="H4686" s="3" t="str">
        <f ca="1">IFERROR(__xludf.DUMMYFUNCTION("googletranslate(E4686,""en"",""ja"")"),"全身血管系を通る血流に対する抵抗。")</f>
        <v>全身血管系を通る血流に対する抵抗。</v>
      </c>
      <c r="I4686" s="3" t="str">
        <f ca="1">IFERROR(__xludf.DUMMYFUNCTION("googletranslate(F4686,""en"",""ja"")"),"全身血管抵抗")</f>
        <v>全身血管抵抗</v>
      </c>
    </row>
    <row r="4687" spans="1:10" ht="75">
      <c r="A4687" s="3" t="s">
        <v>985</v>
      </c>
      <c r="B4687" s="3" t="s">
        <v>19206</v>
      </c>
      <c r="C4687" s="3" t="s">
        <v>19207</v>
      </c>
      <c r="D4687" s="3" t="s">
        <v>19207</v>
      </c>
      <c r="E4687" s="3" t="s">
        <v>19208</v>
      </c>
      <c r="F4687" s="3" t="s">
        <v>19209</v>
      </c>
      <c r="G4687" s="3" t="str">
        <f ca="1">IFERROR(__xludf.DUMMYFUNCTION("googletranslate(D4687,""en"",""ja"")"),"S 波振幅、集合体")</f>
        <v>S 波振幅、集合体</v>
      </c>
      <c r="H4687" s="3" t="str">
        <f ca="1">IFERROR(__xludf.DUMMYFUNCTION("googletranslate(E4687,""en"",""ja"")"),"単一の ECG 内の複数の拍動からの S 波振幅の測定に基づく集計 S 波振幅値。集計方法はさまざまですが、通常は平均などの中心傾向の尺度です。")</f>
        <v>単一の ECG 内の複数の拍動からの S 波振幅の測定に基づく集計 S 波振幅値。集計方法はさまざまですが、通常は平均などの中心傾向の尺度です。</v>
      </c>
      <c r="I4687" s="3" t="str">
        <f ca="1">IFERROR(__xludf.DUMMYFUNCTION("googletranslate(F4687,""en"",""ja"")"),"S 波振幅の集計")</f>
        <v>S 波振幅の集計</v>
      </c>
    </row>
    <row r="4688" spans="1:10" ht="75">
      <c r="A4688" s="3" t="s">
        <v>985</v>
      </c>
      <c r="B4688" s="3" t="s">
        <v>19210</v>
      </c>
      <c r="C4688" s="3" t="s">
        <v>19211</v>
      </c>
      <c r="D4688" s="3" t="s">
        <v>19211</v>
      </c>
      <c r="E4688" s="3" t="s">
        <v>19212</v>
      </c>
      <c r="F4688" s="3" t="s">
        <v>19213</v>
      </c>
      <c r="G4688" s="3" t="str">
        <f ca="1">IFERROR(__xludf.DUMMYFUNCTION("googletranslate(D4688,""en"",""ja"")"),"S 波振幅、シングルビート")</f>
        <v>S 波振幅、シングルビート</v>
      </c>
      <c r="H4688" s="3" t="str">
        <f ca="1">IFERROR(__xludf.DUMMYFUNCTION("googletranslate(E4688,""en"",""ja"")"),"1つまたは複数のリードを使用して単一拍動の等電性ベースラインからS波のピークまで測定されるS波の平均振幅（通常はmmで測定）の心電図測定。録音ゲインに基づいて、この測定は")</f>
        <v>1つまたは複数のリードを使用して単一拍動の等電性ベースラインからS波のピークまで測定されるS波の平均振幅（通常はmmで測定）の心電図測定。録音ゲインに基づいて、この測定は</v>
      </c>
      <c r="I4688" s="3" t="str">
        <f ca="1">IFERROR(__xludf.DUMMYFUNCTION("googletranslate(F4688,""en"",""ja"")"),"S 波振幅 シングルビート")</f>
        <v>S 波振幅 シングルビート</v>
      </c>
    </row>
    <row r="4689" spans="1:9" ht="75">
      <c r="A4689" s="3" t="s">
        <v>503</v>
      </c>
      <c r="B4689" s="3" t="s">
        <v>19214</v>
      </c>
      <c r="C4689" s="3" t="s">
        <v>19215</v>
      </c>
      <c r="D4689" s="3" t="s">
        <v>19215</v>
      </c>
      <c r="E4689" s="3" t="s">
        <v>19216</v>
      </c>
      <c r="F4689" s="3" t="s">
        <v>19217</v>
      </c>
      <c r="G4689" s="3" t="str">
        <f ca="1">IFERROR(__xludf.DUMMYFUNCTION("googletranslate(D4689,""en"",""ja"")"),"臨床使用のためのセックス")</f>
        <v>臨床使用のためのセックス</v>
      </c>
      <c r="H4689" s="3" t="str">
        <f ca="1">IFERROR(__xludf.DUMMYFUNCTION("googletranslate(E4689,""en"",""ja"")"),"生殖に関連する物理的特性の集合に基づいた個人の恣意的な分類。一般に女性や男性などのカテゴリーの指定に関連付けられます。この指定は、観測値のいくつかの組み合わせに基づいています。")</f>
        <v>生殖に関連する物理的特性の集合に基づいた個人の恣意的な分類。一般に女性や男性などのカテゴリーの指定に関連付けられます。この指定は、観測値のいくつかの組み合わせに基づいています。</v>
      </c>
      <c r="I4689" s="3" t="str">
        <f ca="1">IFERROR(__xludf.DUMMYFUNCTION("googletranslate(F4689,""en"",""ja"")"),"臨床目的で割り当てられた性別")</f>
        <v>臨床目的で割り当てられた性別</v>
      </c>
    </row>
    <row r="4690" spans="1:9" ht="30">
      <c r="A4690" s="3" t="s">
        <v>142</v>
      </c>
      <c r="B4690" s="3" t="s">
        <v>19218</v>
      </c>
      <c r="C4690" s="3" t="s">
        <v>19219</v>
      </c>
      <c r="D4690" s="3" t="s">
        <v>19220</v>
      </c>
      <c r="E4690" s="3" t="s">
        <v>19221</v>
      </c>
      <c r="F4690" s="3" t="s">
        <v>19219</v>
      </c>
      <c r="G4690" s="3" t="str">
        <f ca="1">IFERROR(__xludf.DUMMYFUNCTION("googletranslate(D4690,""en"",""ja"")"),"女性の性的パートナーの総数")</f>
        <v>女性の性的パートナーの総数</v>
      </c>
      <c r="H4690" s="3" t="str">
        <f ca="1">IFERROR(__xludf.DUMMYFUNCTION("googletranslate(E4690,""en"",""ja"")"),"指定された期間内に性行為を行った女性の数。")</f>
        <v>指定された期間内に性行為を行った女性の数。</v>
      </c>
      <c r="I4690" s="3" t="str">
        <f ca="1">IFERROR(__xludf.DUMMYFUNCTION("googletranslate(F4690,""en"",""ja"")"),"女性の性的パートナーの数")</f>
        <v>女性の性的パートナーの数</v>
      </c>
    </row>
    <row r="4691" spans="1:9" ht="30">
      <c r="A4691" s="3" t="s">
        <v>142</v>
      </c>
      <c r="B4691" s="3" t="s">
        <v>19222</v>
      </c>
      <c r="C4691" s="3" t="s">
        <v>19223</v>
      </c>
      <c r="D4691" s="3" t="s">
        <v>19224</v>
      </c>
      <c r="E4691" s="3" t="s">
        <v>19225</v>
      </c>
      <c r="F4691" s="3" t="s">
        <v>19223</v>
      </c>
      <c r="G4691" s="3" t="str">
        <f ca="1">IFERROR(__xludf.DUMMYFUNCTION("googletranslate(D4691,""en"",""ja"")"),"男性の性的パートナーの総数")</f>
        <v>男性の性的パートナーの総数</v>
      </c>
      <c r="H4691" s="3" t="str">
        <f ca="1">IFERROR(__xludf.DUMMYFUNCTION("googletranslate(E4691,""en"",""ja"")"),"指定された期間内に性行為を行った男性の数。")</f>
        <v>指定された期間内に性行為を行った男性の数。</v>
      </c>
      <c r="I4691" s="3" t="str">
        <f ca="1">IFERROR(__xludf.DUMMYFUNCTION("googletranslate(F4691,""en"",""ja"")"),"男性の性的パートナーの数")</f>
        <v>男性の性的パートナーの数</v>
      </c>
    </row>
    <row r="4692" spans="1:9" ht="30">
      <c r="A4692" s="3" t="s">
        <v>142</v>
      </c>
      <c r="B4692" s="3" t="s">
        <v>19226</v>
      </c>
      <c r="C4692" s="3" t="s">
        <v>19227</v>
      </c>
      <c r="D4692" s="3" t="s">
        <v>19227</v>
      </c>
      <c r="E4692" s="3" t="s">
        <v>19228</v>
      </c>
      <c r="F4692" s="3" t="s">
        <v>19227</v>
      </c>
      <c r="G4692" s="3" t="str">
        <f ca="1">IFERROR(__xludf.DUMMYFUNCTION("googletranslate(D4692,""en"",""ja"")"),"新たな女性の性的パートナーの数")</f>
        <v>新たな女性の性的パートナーの数</v>
      </c>
      <c r="H4692" s="3" t="str">
        <f ca="1">IFERROR(__xludf.DUMMYFUNCTION("googletranslate(E4692,""en"",""ja"")"),"指定された期間内の新しい女性の性的パートナーの数。")</f>
        <v>指定された期間内の新しい女性の性的パートナーの数。</v>
      </c>
      <c r="I4692" s="3" t="str">
        <f ca="1">IFERROR(__xludf.DUMMYFUNCTION("googletranslate(F4692,""en"",""ja"")"),"新たな女性の性的パートナーの数")</f>
        <v>新たな女性の性的パートナーの数</v>
      </c>
    </row>
    <row r="4693" spans="1:9" ht="30">
      <c r="A4693" s="3" t="s">
        <v>142</v>
      </c>
      <c r="B4693" s="3" t="s">
        <v>19229</v>
      </c>
      <c r="C4693" s="3" t="s">
        <v>19230</v>
      </c>
      <c r="D4693" s="3" t="s">
        <v>19230</v>
      </c>
      <c r="E4693" s="3" t="s">
        <v>19231</v>
      </c>
      <c r="F4693" s="3" t="s">
        <v>19230</v>
      </c>
      <c r="G4693" s="3" t="str">
        <f ca="1">IFERROR(__xludf.DUMMYFUNCTION("googletranslate(D4693,""en"",""ja"")"),"新たな男性の性的パートナーの数")</f>
        <v>新たな男性の性的パートナーの数</v>
      </c>
      <c r="H4693" s="3" t="str">
        <f ca="1">IFERROR(__xludf.DUMMYFUNCTION("googletranslate(E4693,""en"",""ja"")"),"指定された期間内の新しい男性の性的パートナーの数。")</f>
        <v>指定された期間内の新しい男性の性的パートナーの数。</v>
      </c>
      <c r="I4693" s="3" t="str">
        <f ca="1">IFERROR(__xludf.DUMMYFUNCTION("googletranslate(F4693,""en"",""ja"")"),"新たな男性の性的パートナーの数")</f>
        <v>新たな男性の性的パートナーの数</v>
      </c>
    </row>
    <row r="4694" spans="1:9" ht="30">
      <c r="A4694" s="3" t="s">
        <v>142</v>
      </c>
      <c r="B4694" s="3" t="s">
        <v>19232</v>
      </c>
      <c r="C4694" s="3" t="s">
        <v>19233</v>
      </c>
      <c r="D4694" s="3" t="s">
        <v>19233</v>
      </c>
      <c r="E4694" s="3" t="s">
        <v>19234</v>
      </c>
      <c r="F4694" s="3" t="s">
        <v>19233</v>
      </c>
      <c r="G4694" s="3" t="str">
        <f ca="1">IFERROR(__xludf.DUMMYFUNCTION("googletranslate(D4694,""en"",""ja"")"),"新しいオーラル セクシャル パートナーの数")</f>
        <v>新しいオーラル セクシャル パートナーの数</v>
      </c>
      <c r="H4694" s="3" t="str">
        <f ca="1">IFERROR(__xludf.DUMMYFUNCTION("googletranslate(E4694,""en"",""ja"")"),"指定された期間内にオーラルセックスを行った新しい個人の数。")</f>
        <v>指定された期間内にオーラルセックスを行った新しい個人の数。</v>
      </c>
      <c r="I4694" s="3" t="str">
        <f ca="1">IFERROR(__xludf.DUMMYFUNCTION("googletranslate(F4694,""en"",""ja"")"),"新しいオーラル セクシャル パートナーの数")</f>
        <v>新しいオーラル セクシャル パートナーの数</v>
      </c>
    </row>
    <row r="4695" spans="1:9" ht="30">
      <c r="A4695" s="3" t="s">
        <v>142</v>
      </c>
      <c r="B4695" s="3" t="s">
        <v>19235</v>
      </c>
      <c r="C4695" s="3" t="s">
        <v>19236</v>
      </c>
      <c r="D4695" s="3" t="s">
        <v>19237</v>
      </c>
      <c r="E4695" s="3" t="s">
        <v>19238</v>
      </c>
      <c r="F4695" s="3" t="s">
        <v>19236</v>
      </c>
      <c r="G4695" s="3" t="str">
        <f ca="1">IFERROR(__xludf.DUMMYFUNCTION("googletranslate(D4695,""en"",""ja"")"),"オーラルセックスパートナーの総数")</f>
        <v>オーラルセックスパートナーの総数</v>
      </c>
      <c r="H4695" s="3" t="str">
        <f ca="1">IFERROR(__xludf.DUMMYFUNCTION("googletranslate(E4695,""en"",""ja"")"),"指定された期間内にオーラル性行為を行った人の数。")</f>
        <v>指定された期間内にオーラル性行為を行った人の数。</v>
      </c>
      <c r="I4695" s="3" t="str">
        <f ca="1">IFERROR(__xludf.DUMMYFUNCTION("googletranslate(F4695,""en"",""ja"")"),"オーラルセックスパートナーの数")</f>
        <v>オーラルセックスパートナーの数</v>
      </c>
    </row>
    <row r="4696" spans="1:9" ht="30">
      <c r="A4696" s="3" t="s">
        <v>185</v>
      </c>
      <c r="B4696" s="3" t="s">
        <v>19239</v>
      </c>
      <c r="C4696" s="3" t="s">
        <v>19240</v>
      </c>
      <c r="D4696" s="3" t="s">
        <v>19240</v>
      </c>
      <c r="E4696" s="3" t="s">
        <v>19241</v>
      </c>
      <c r="F4696" s="3" t="s">
        <v>19240</v>
      </c>
      <c r="G4696" s="3" t="str">
        <f ca="1">IFERROR(__xludf.DUMMYFUNCTION("googletranslate(D4696,""en"",""ja"")"),"症状インジケーター")</f>
        <v>症状インジケーター</v>
      </c>
      <c r="H4696" s="3" t="str">
        <f ca="1">IFERROR(__xludf.DUMMYFUNCTION("googletranslate(E4696,""en"",""ja"")"),"被験者に臨床事象に関連する症状があったかどうかの指標。")</f>
        <v>被験者に臨床事象に関連する症状があったかどうかの指標。</v>
      </c>
      <c r="I4696" s="3" t="str">
        <f ca="1">IFERROR(__xludf.DUMMYFUNCTION("googletranslate(F4696,""en"",""ja"")"),"症状インジケーター")</f>
        <v>症状インジケーター</v>
      </c>
    </row>
    <row r="4697" spans="1:9" ht="30">
      <c r="A4697" s="3" t="s">
        <v>503</v>
      </c>
      <c r="B4697" s="3" t="s">
        <v>19242</v>
      </c>
      <c r="C4697" s="3" t="s">
        <v>19243</v>
      </c>
      <c r="D4697" s="3" t="s">
        <v>19243</v>
      </c>
      <c r="E4697" s="3" t="s">
        <v>19244</v>
      </c>
      <c r="F4697" s="3" t="s">
        <v>19243</v>
      </c>
      <c r="G4697" s="3" t="str">
        <f ca="1">IFERROR(__xludf.DUMMYFUNCTION("googletranslate(D4697,""en"",""ja"")"),"症状")</f>
        <v>症状</v>
      </c>
      <c r="H4697" s="3" t="str">
        <f ca="1">IFERROR(__xludf.DUMMYFUNCTION("googletranslate(E4697,""en"",""ja"")"),"病気を示唆する可能性がある、患者によって報告された身体的または精神的な経験または観察。")</f>
        <v>病気を示唆する可能性がある、患者によって報告された身体的または精神的な経験または観察。</v>
      </c>
      <c r="I4697" s="3" t="str">
        <f ca="1">IFERROR(__xludf.DUMMYFUNCTION("googletranslate(F4697,""en"",""ja"")"),"症状")</f>
        <v>症状</v>
      </c>
    </row>
    <row r="4698" spans="1:9">
      <c r="A4698" s="3" t="s">
        <v>185</v>
      </c>
      <c r="B4698" s="3" t="s">
        <v>19245</v>
      </c>
      <c r="C4698" s="3" t="s">
        <v>19246</v>
      </c>
      <c r="D4698" s="3" t="s">
        <v>19246</v>
      </c>
      <c r="E4698" s="3" t="s">
        <v>19247</v>
      </c>
      <c r="F4698" s="3" t="s">
        <v>19246</v>
      </c>
      <c r="G4698" s="3" t="str">
        <f ca="1">IFERROR(__xludf.DUMMYFUNCTION("googletranslate(D4698,""en"",""ja"")"),"症状の発症日")</f>
        <v>症状の発症日</v>
      </c>
      <c r="H4698" s="3" t="str">
        <f ca="1">IFERROR(__xludf.DUMMYFUNCTION("googletranslate(E4698,""en"",""ja"")"),"臨床事象の症状が発現した日時。")</f>
        <v>臨床事象の症状が発現した日時。</v>
      </c>
      <c r="I4698" s="3" t="str">
        <f ca="1">IFERROR(__xludf.DUMMYFUNCTION("googletranslate(F4698,""en"",""ja"")"),"症状の発症日")</f>
        <v>症状の発症日</v>
      </c>
    </row>
    <row r="4699" spans="1:9" ht="30">
      <c r="A4699" s="3" t="s">
        <v>6</v>
      </c>
      <c r="B4699" s="3" t="s">
        <v>19248</v>
      </c>
      <c r="C4699" s="3" t="s">
        <v>19249</v>
      </c>
      <c r="D4699" s="3" t="s">
        <v>19250</v>
      </c>
      <c r="E4699" s="3" t="s">
        <v>19251</v>
      </c>
      <c r="F4699" s="3" t="s">
        <v>19252</v>
      </c>
      <c r="G4699" s="3" t="str">
        <f ca="1">IFERROR(__xludf.DUMMYFUNCTION("googletranslate(D4699,""en"",""ja"")"),"滑膜細胞。総滑膜細胞数")</f>
        <v>滑膜細胞。総滑膜細胞数</v>
      </c>
      <c r="H4699" s="3" t="str">
        <f ca="1">IFERROR(__xludf.DUMMYFUNCTION("googletranslate(E4699,""en"",""ja"")"),"生物学的標本中の総滑膜細胞の測定。")</f>
        <v>生物学的標本中の総滑膜細胞の測定。</v>
      </c>
      <c r="I4699" s="3" t="str">
        <f ca="1">IFERROR(__xludf.DUMMYFUNCTION("googletranslate(F4699,""en"",""ja"")"),"滑膜細胞の細胞数")</f>
        <v>滑膜細胞の細胞数</v>
      </c>
    </row>
    <row r="4700" spans="1:9" ht="30">
      <c r="A4700" s="3" t="s">
        <v>6</v>
      </c>
      <c r="B4700" s="3" t="s">
        <v>19253</v>
      </c>
      <c r="C4700" s="3" t="s">
        <v>19254</v>
      </c>
      <c r="D4700" s="3" t="s">
        <v>19255</v>
      </c>
      <c r="E4700" s="3" t="s">
        <v>19256</v>
      </c>
      <c r="F4700" s="3" t="s">
        <v>19257</v>
      </c>
      <c r="G4700" s="3" t="str">
        <f ca="1">IFERROR(__xludf.DUMMYFUNCTION("googletranslate(D4700,""en"",""ja"")"),"滑膜細胞/白血球;総滑膜細胞/白血球")</f>
        <v>滑膜細胞/白血球;総滑膜細胞/白血球</v>
      </c>
      <c r="H4700" s="3" t="str">
        <f ca="1">IFERROR(__xludf.DUMMYFUNCTION("googletranslate(E4700,""en"",""ja"")"),"生物学的標本中のすべての白血球に対する滑膜細胞の相対測定値 (比率またはパーセンテージ)。")</f>
        <v>生物学的標本中のすべての白血球に対する滑膜細胞の相対測定値 (比率またはパーセンテージ)。</v>
      </c>
      <c r="I4700" s="3" t="str">
        <f ca="1">IFERROR(__xludf.DUMMYFUNCTION("googletranslate(F4700,""en"",""ja"")"),"滑膜細胞と白血球の比率の測定")</f>
        <v>滑膜細胞と白血球の比率の測定</v>
      </c>
    </row>
    <row r="4701" spans="1:9" ht="30">
      <c r="A4701" s="3" t="s">
        <v>118</v>
      </c>
      <c r="B4701" s="3" t="s">
        <v>19258</v>
      </c>
      <c r="C4701" s="3" t="s">
        <v>19259</v>
      </c>
      <c r="D4701" s="3" t="s">
        <v>19259</v>
      </c>
      <c r="E4701" s="3" t="s">
        <v>19260</v>
      </c>
      <c r="F4701" s="3" t="s">
        <v>19259</v>
      </c>
      <c r="G4701" s="3" t="str">
        <f ca="1">IFERROR(__xludf.DUMMYFUNCTION("googletranslate(D4701,""en"",""ja"")"),"収縮期血圧")</f>
        <v>収縮期血圧</v>
      </c>
      <c r="H4701" s="3" t="str">
        <f ca="1">IFERROR(__xludf.DUMMYFUNCTION("googletranslate(E4701,""en"",""ja"")"),"心周期中の全身動脈循環における最大血圧。")</f>
        <v>心周期中の全身動脈循環における最大血圧。</v>
      </c>
      <c r="I4701" s="3" t="str">
        <f ca="1">IFERROR(__xludf.DUMMYFUNCTION("googletranslate(F4701,""en"",""ja"")"),"収縮期血圧")</f>
        <v>収縮期血圧</v>
      </c>
    </row>
    <row r="4702" spans="1:9" ht="30">
      <c r="A4702" s="3" t="s">
        <v>81</v>
      </c>
      <c r="B4702" s="3" t="s">
        <v>19261</v>
      </c>
      <c r="C4702" s="3" t="s">
        <v>19262</v>
      </c>
      <c r="D4702" s="3" t="s">
        <v>19262</v>
      </c>
      <c r="E4702" s="3" t="s">
        <v>19263</v>
      </c>
      <c r="F4702" s="3" t="s">
        <v>19264</v>
      </c>
      <c r="G4702" s="3" t="str">
        <f ca="1">IFERROR(__xludf.DUMMYFUNCTION("googletranslate(D4702,""en"",""ja"")"),"推定収縮期血圧")</f>
        <v>推定収縮期血圧</v>
      </c>
      <c r="H4702" s="3" t="str">
        <f ca="1">IFERROR(__xludf.DUMMYFUNCTION("googletranslate(E4702,""en"",""ja"")"),"心室収縮期中の特定の心臓血管構造内の圧力の定量的推定値。")</f>
        <v>心室収縮期中の特定の心臓血管構造内の圧力の定量的推定値。</v>
      </c>
      <c r="I4702" s="3" t="str">
        <f ca="1">IFERROR(__xludf.DUMMYFUNCTION("googletranslate(F4702,""en"",""ja"")"),"推定最高血圧")</f>
        <v>推定最高血圧</v>
      </c>
    </row>
    <row r="4703" spans="1:9" ht="45">
      <c r="A4703" s="3" t="s">
        <v>985</v>
      </c>
      <c r="B4703" s="3" t="s">
        <v>19265</v>
      </c>
      <c r="C4703" s="3" t="s">
        <v>19266</v>
      </c>
      <c r="D4703" s="3" t="s">
        <v>19266</v>
      </c>
      <c r="E4703" s="3" t="s">
        <v>19267</v>
      </c>
      <c r="F4703" s="3" t="s">
        <v>19266</v>
      </c>
      <c r="G4703" s="3" t="str">
        <f ca="1">IFERROR(__xludf.DUMMYFUNCTION("googletranslate(D4703,""en"",""ja"")"),"T波軸")</f>
        <v>T波軸</v>
      </c>
      <c r="H4703" s="3" t="str">
        <f ca="1">IFERROR(__xludf.DUMMYFUNCTION("googletranslate(E4703,""en"",""ja"")"),"等電ベースラインからの T 波の最大偏差で評価された心電図ベクトルの数値表現。通常は前額面について報告されます。")</f>
        <v>等電ベースラインからの T 波の最大偏差で評価された心電図ベクトルの数値表現。通常は前額面について報告されます。</v>
      </c>
      <c r="I4703" s="3" t="str">
        <f ca="1">IFERROR(__xludf.DUMMYFUNCTION("googletranslate(F4703,""en"",""ja"")"),"T波軸")</f>
        <v>T波軸</v>
      </c>
    </row>
    <row r="4704" spans="1:9" ht="45">
      <c r="A4704" s="3" t="s">
        <v>81</v>
      </c>
      <c r="B4704" s="3" t="s">
        <v>19268</v>
      </c>
      <c r="C4704" s="3" t="s">
        <v>19269</v>
      </c>
      <c r="D4704" s="3" t="s">
        <v>19270</v>
      </c>
      <c r="E4704" s="3" t="s">
        <v>19271</v>
      </c>
      <c r="F4704" s="3" t="s">
        <v>19269</v>
      </c>
      <c r="G4704" s="3" t="str">
        <f ca="1">IFERROR(__xludf.DUMMYFUNCTION("googletranslate(D4704,""en"",""ja"")"),"縦方向のリラックス時間。スピン格子緩和時間。 T1 リラックスタイム; T1時間")</f>
        <v>縦方向のリラックス時間。スピン格子緩和時間。 T1 リラックスタイム; T1時間</v>
      </c>
      <c r="H4704" s="3" t="str">
        <f ca="1">IFERROR(__xludf.DUMMYFUNCTION("googletranslate(E4704,""en"",""ja"")"),"縦磁化の減衰を表す時定数。")</f>
        <v>縦磁化の減衰を表す時定数。</v>
      </c>
      <c r="I4704" s="3" t="str">
        <f ca="1">IFERROR(__xludf.DUMMYFUNCTION("googletranslate(F4704,""en"",""ja"")"),"縦方向の緩和時間")</f>
        <v>縦方向の緩和時間</v>
      </c>
    </row>
    <row r="4705" spans="1:9" ht="45">
      <c r="A4705" s="3" t="s">
        <v>81</v>
      </c>
      <c r="B4705" s="3" t="s">
        <v>19272</v>
      </c>
      <c r="C4705" s="3" t="s">
        <v>19273</v>
      </c>
      <c r="D4705" s="3" t="s">
        <v>19274</v>
      </c>
      <c r="E4705" s="3" t="s">
        <v>19275</v>
      </c>
      <c r="F4705" s="3" t="s">
        <v>19276</v>
      </c>
      <c r="G4705" s="3" t="str">
        <f ca="1">IFERROR(__xludf.DUMMYFUNCTION("googletranslate(D4705,""en"",""ja"")"),"スピン-スピン緩和。 T2 リラックスタイム; T2 時間。横方向のリラックスタイム")</f>
        <v>スピン-スピン緩和。 T2 リラックスタイム; T2 時間。横方向のリラックスタイム</v>
      </c>
      <c r="H4705" s="3" t="str">
        <f ca="1">IFERROR(__xludf.DUMMYFUNCTION("googletranslate(E4705,""en"",""ja"")"),"横磁化の減衰を表す時定数。")</f>
        <v>横磁化の減衰を表す時定数。</v>
      </c>
      <c r="I4705" s="3" t="str">
        <f ca="1">IFERROR(__xludf.DUMMYFUNCTION("googletranslate(F4705,""en"",""ja"")"),"横スピン緩和時間")</f>
        <v>横スピン緩和時間</v>
      </c>
    </row>
    <row r="4706" spans="1:9" ht="30">
      <c r="A4706" s="3" t="s">
        <v>6</v>
      </c>
      <c r="B4706" s="3" t="s">
        <v>19277</v>
      </c>
      <c r="C4706" s="3" t="s">
        <v>19278</v>
      </c>
      <c r="D4706" s="3" t="s">
        <v>19279</v>
      </c>
      <c r="E4706" s="3" t="s">
        <v>19280</v>
      </c>
      <c r="F4706" s="3" t="s">
        <v>19281</v>
      </c>
      <c r="G4706" s="3" t="str">
        <f ca="1">IFERROR(__xludf.DUMMYFUNCTION("googletranslate(D4706,""en"",""ja"")"),"合計 T3;トリヨードチロニン")</f>
        <v>合計 T3;トリヨードチロニン</v>
      </c>
      <c r="H4706" s="3" t="str">
        <f ca="1">IFERROR(__xludf.DUMMYFUNCTION("googletranslate(E4706,""en"",""ja"")"),"生物学的標本中の総 (遊離および結合) トリヨードチロニンの測定値。")</f>
        <v>生物学的標本中の総 (遊離および結合) トリヨードチロニンの測定値。</v>
      </c>
      <c r="I4706" s="3" t="str">
        <f ca="1">IFERROR(__xludf.DUMMYFUNCTION("googletranslate(F4706,""en"",""ja"")"),"トリヨードチロニンの測定")</f>
        <v>トリヨードチロニンの測定</v>
      </c>
    </row>
    <row r="4707" spans="1:9" ht="30">
      <c r="A4707" s="3" t="s">
        <v>6</v>
      </c>
      <c r="B4707" s="3" t="s">
        <v>19282</v>
      </c>
      <c r="C4707" s="3" t="s">
        <v>19283</v>
      </c>
      <c r="D4707" s="3" t="s">
        <v>19284</v>
      </c>
      <c r="E4707" s="3" t="s">
        <v>19285</v>
      </c>
      <c r="F4707" s="3" t="s">
        <v>19286</v>
      </c>
      <c r="G4707" s="3" t="str">
        <f ca="1">IFERROR(__xludf.DUMMYFUNCTION("googletranslate(D4707,""en"",""ja"")"),"無料の T3;トリヨードチロニン、フリー")</f>
        <v>無料の T3;トリヨードチロニン、フリー</v>
      </c>
      <c r="H4707" s="3" t="str">
        <f ca="1">IFERROR(__xludf.DUMMYFUNCTION("googletranslate(E4707,""en"",""ja"")"),"生物学的標本中の遊離トリヨードチロニンの測定。")</f>
        <v>生物学的標本中の遊離トリヨードチロニンの測定。</v>
      </c>
      <c r="I4707" s="3" t="str">
        <f ca="1">IFERROR(__xludf.DUMMYFUNCTION("googletranslate(F4707,""en"",""ja"")"),"無料のトリヨードチロニン測定")</f>
        <v>無料のトリヨードチロニン測定</v>
      </c>
    </row>
    <row r="4708" spans="1:9" ht="30">
      <c r="A4708" s="3" t="s">
        <v>51</v>
      </c>
      <c r="B4708" s="3" t="s">
        <v>19287</v>
      </c>
      <c r="C4708" s="3" t="s">
        <v>19288</v>
      </c>
      <c r="D4708" s="3" t="s">
        <v>19289</v>
      </c>
      <c r="E4708" s="3" t="s">
        <v>19290</v>
      </c>
      <c r="F4708" s="3" t="s">
        <v>19291</v>
      </c>
      <c r="G4708" s="3" t="str">
        <f ca="1">IFERROR(__xludf.DUMMYFUNCTION("googletranslate(D4708,""en"",""ja"")"),"ヒドロキシコチニン;トランス-3-ヒドロキシコチニン")</f>
        <v>ヒドロキシコチニン;トランス-3-ヒドロキシコチニン</v>
      </c>
      <c r="H4708" s="3" t="str">
        <f ca="1">IFERROR(__xludf.DUMMYFUNCTION("googletranslate(E4708,""en"",""ja"")"),"検体中のトランス-3-ヒドロキシコチニンの測定。")</f>
        <v>検体中のトランス-3-ヒドロキシコチニンの測定。</v>
      </c>
      <c r="I4708" s="3" t="str">
        <f ca="1">IFERROR(__xludf.DUMMYFUNCTION("googletranslate(F4708,""en"",""ja"")"),"トランス-3-ヒドロキシコチニンの測定")</f>
        <v>トランス-3-ヒドロキシコチニンの測定</v>
      </c>
    </row>
    <row r="4709" spans="1:9" ht="30">
      <c r="A4709" s="3" t="s">
        <v>51</v>
      </c>
      <c r="B4709" s="3" t="s">
        <v>19292</v>
      </c>
      <c r="C4709" s="3" t="s">
        <v>19293</v>
      </c>
      <c r="D4709" s="3" t="s">
        <v>19294</v>
      </c>
      <c r="E4709" s="3" t="s">
        <v>19295</v>
      </c>
      <c r="F4709" s="3" t="s">
        <v>19296</v>
      </c>
      <c r="G4709" s="3" t="str">
        <f ca="1">IFERROR(__xludf.DUMMYFUNCTION("googletranslate(D4709,""en"",""ja"")"),"3HC-グルック;トランス-3-ヒドロキシコチニン グルクロニド")</f>
        <v>3HC-グルック;トランス-3-ヒドロキシコチニン グルクロニド</v>
      </c>
      <c r="H4709" s="3" t="str">
        <f ca="1">IFERROR(__xludf.DUMMYFUNCTION("googletranslate(E4709,""en"",""ja"")"),"検体中のトランス-3-ヒドロキシコチニン グルクロニドの測定。")</f>
        <v>検体中のトランス-3-ヒドロキシコチニン グルクロニドの測定。</v>
      </c>
      <c r="I4709" s="3" t="str">
        <f ca="1">IFERROR(__xludf.DUMMYFUNCTION("googletranslate(F4709,""en"",""ja"")"),"トランス-3-ヒドロキシコチニン グルクロニドの測定")</f>
        <v>トランス-3-ヒドロキシコチニン グルクロニドの測定</v>
      </c>
    </row>
    <row r="4710" spans="1:9" ht="30">
      <c r="A4710" s="3" t="s">
        <v>6</v>
      </c>
      <c r="B4710" s="3" t="s">
        <v>19297</v>
      </c>
      <c r="C4710" s="3" t="s">
        <v>19298</v>
      </c>
      <c r="D4710" s="3" t="s">
        <v>19299</v>
      </c>
      <c r="E4710" s="3" t="s">
        <v>19300</v>
      </c>
      <c r="F4710" s="3" t="s">
        <v>19301</v>
      </c>
      <c r="G4710" s="3" t="str">
        <f ca="1">IFERROR(__xludf.DUMMYFUNCTION("googletranslate(D4710,""en"",""ja"")"),"3-HC; 3HC;トランス-3 ヒドロキシコチニン")</f>
        <v>3-HC; 3HC;トランス-3 ヒドロキシコチニン</v>
      </c>
      <c r="H4710" s="3" t="str">
        <f ca="1">IFERROR(__xludf.DUMMYFUNCTION("googletranslate(E4710,""en"",""ja"")"),"検体中の総トランス-3'-ヒドロキシコチニンの測定。")</f>
        <v>検体中の総トランス-3'-ヒドロキシコチニンの測定。</v>
      </c>
      <c r="I4710" s="3" t="str">
        <f ca="1">IFERROR(__xludf.DUMMYFUNCTION("googletranslate(F4710,""en"",""ja"")"),"Trans-3ヒドロキシコチニンの測定")</f>
        <v>Trans-3ヒドロキシコチニンの測定</v>
      </c>
    </row>
    <row r="4711" spans="1:9" ht="45">
      <c r="A4711" s="3" t="s">
        <v>6</v>
      </c>
      <c r="B4711" s="3" t="s">
        <v>19302</v>
      </c>
      <c r="C4711" s="3" t="s">
        <v>19303</v>
      </c>
      <c r="D4711" s="3" t="s">
        <v>19304</v>
      </c>
      <c r="E4711" s="3" t="s">
        <v>19305</v>
      </c>
      <c r="F4711" s="3" t="s">
        <v>19306</v>
      </c>
      <c r="G4711" s="3" t="str">
        <f ca="1">IFERROR(__xludf.DUMMYFUNCTION("googletranslate(D4711,""en"",""ja"")"),"無料の 3-HC。無料の 3HC。トランス-3'-ヒドロキシコチニン、遊離")</f>
        <v>無料の 3-HC。無料の 3HC。トランス-3'-ヒドロキシコチニン、遊離</v>
      </c>
      <c r="H4711" s="3" t="str">
        <f ca="1">IFERROR(__xludf.DUMMYFUNCTION("googletranslate(E4711,""en"",""ja"")"),"標本中の遊離 (未結合) トランス-3'- ヒドロキシコチニンの測定。")</f>
        <v>標本中の遊離 (未結合) トランス-3'- ヒドロキシコチニンの測定。</v>
      </c>
      <c r="I4711" s="3" t="str">
        <f ca="1">IFERROR(__xludf.DUMMYFUNCTION("googletranslate(F4711,""en"",""ja"")"),"無料のトランス-3'-ヒドロキシコチニンの測定")</f>
        <v>無料のトランス-3'-ヒドロキシコチニンの測定</v>
      </c>
    </row>
    <row r="4712" spans="1:9" ht="60">
      <c r="A4712" s="3" t="s">
        <v>6</v>
      </c>
      <c r="B4712" s="3" t="s">
        <v>19307</v>
      </c>
      <c r="C4712" s="3" t="s">
        <v>19308</v>
      </c>
      <c r="D4712" s="3" t="s">
        <v>19309</v>
      </c>
      <c r="E4712" s="3" t="s">
        <v>19310</v>
      </c>
      <c r="F4712" s="3" t="s">
        <v>19311</v>
      </c>
      <c r="G4712" s="3" t="str">
        <f ca="1">IFERROR(__xludf.DUMMYFUNCTION("googletranslate(D4712,""en"",""ja"")"),"3HC-gluc;トランス-3'-ヒドロキシコチニングルクロニド;トランス-3'-ヒドロキシコチニン-O-グルクロニド")</f>
        <v>3HC-gluc;トランス-3'-ヒドロキシコチニングルクロニド;トランス-3'-ヒドロキシコチニン-O-グルクロニド</v>
      </c>
      <c r="H4712" s="3" t="str">
        <f ca="1">IFERROR(__xludf.DUMMYFUNCTION("googletranslate(E4712,""en"",""ja"")"),"検体中のトランス-3'-ヒドロキシコチニングルクロニドの測定。")</f>
        <v>検体中のトランス-3'-ヒドロキシコチニングルクロニドの測定。</v>
      </c>
      <c r="I4712" s="3" t="str">
        <f ca="1">IFERROR(__xludf.DUMMYFUNCTION("googletranslate(F4712,""en"",""ja"")"),"トランス-3'-ヒドロキシコチニングルクロニドの測定")</f>
        <v>トランス-3'-ヒドロキシコチニングルクロニドの測定</v>
      </c>
    </row>
    <row r="4713" spans="1:9" ht="30">
      <c r="A4713" s="3" t="s">
        <v>6</v>
      </c>
      <c r="B4713" s="3" t="s">
        <v>19312</v>
      </c>
      <c r="C4713" s="3" t="s">
        <v>19313</v>
      </c>
      <c r="D4713" s="3" t="s">
        <v>19314</v>
      </c>
      <c r="E4713" s="3" t="s">
        <v>19315</v>
      </c>
      <c r="F4713" s="3" t="s">
        <v>19316</v>
      </c>
      <c r="G4713" s="3" t="str">
        <f ca="1">IFERROR(__xludf.DUMMYFUNCTION("googletranslate(D4713,""en"",""ja"")"),"T3RU; T3U;トリヨードチロニンの摂取")</f>
        <v>T3RU; T3U;トリヨードチロニンの摂取</v>
      </c>
      <c r="H4713" s="3" t="str">
        <f ca="1">IFERROR(__xludf.DUMMYFUNCTION("googletranslate(E4713,""en"",""ja"")"),"生物学的標本中のチロキシン結合グロブリンタンパク質へのトリヨードチロニンの結合の測定。")</f>
        <v>生物学的標本中のチロキシン結合グロブリンタンパク質へのトリヨードチロニンの結合の測定。</v>
      </c>
      <c r="I4713" s="3" t="str">
        <f ca="1">IFERROR(__xludf.DUMMYFUNCTION("googletranslate(F4713,""en"",""ja"")"),"トリヨードチロニン取り込み測定")</f>
        <v>トリヨードチロニン取り込み測定</v>
      </c>
    </row>
    <row r="4714" spans="1:9" ht="30">
      <c r="A4714" s="3" t="s">
        <v>6</v>
      </c>
      <c r="B4714" s="3" t="s">
        <v>19317</v>
      </c>
      <c r="C4714" s="3" t="s">
        <v>19318</v>
      </c>
      <c r="D4714" s="3" t="s">
        <v>19319</v>
      </c>
      <c r="E4714" s="3" t="s">
        <v>19320</v>
      </c>
      <c r="F4714" s="3" t="s">
        <v>19321</v>
      </c>
      <c r="G4714" s="3" t="str">
        <f ca="1">IFERROR(__xludf.DUMMYFUNCTION("googletranslate(D4714,""en"",""ja"")"),"チロキシン;合計 T4")</f>
        <v>チロキシン;合計 T4</v>
      </c>
      <c r="H4714" s="3" t="str">
        <f ca="1">IFERROR(__xludf.DUMMYFUNCTION("googletranslate(E4714,""en"",""ja"")"),"生物学的標本中の総（遊離および結合）チロキシンの測定値。")</f>
        <v>生物学的標本中の総（遊離および結合）チロキシンの測定値。</v>
      </c>
      <c r="I4714" s="3" t="str">
        <f ca="1">IFERROR(__xludf.DUMMYFUNCTION("googletranslate(F4714,""en"",""ja"")"),"総チロキシン測定")</f>
        <v>総チロキシン測定</v>
      </c>
    </row>
    <row r="4715" spans="1:9">
      <c r="A4715" s="3" t="s">
        <v>6</v>
      </c>
      <c r="B4715" s="3" t="s">
        <v>19322</v>
      </c>
      <c r="C4715" s="3" t="s">
        <v>19323</v>
      </c>
      <c r="D4715" s="3" t="s">
        <v>19324</v>
      </c>
      <c r="E4715" s="3" t="s">
        <v>19325</v>
      </c>
      <c r="F4715" s="3" t="s">
        <v>19326</v>
      </c>
      <c r="G4715" s="3" t="str">
        <f ca="1">IFERROR(__xludf.DUMMYFUNCTION("googletranslate(D4715,""en"",""ja"")"),"無料の T4;チロキシン、無料")</f>
        <v>無料の T4;チロキシン、無料</v>
      </c>
      <c r="H4715" s="3" t="str">
        <f ca="1">IFERROR(__xludf.DUMMYFUNCTION("googletranslate(E4715,""en"",""ja"")"),"生物学的標本中の遊離チロキシンの測定。")</f>
        <v>生物学的標本中の遊離チロキシンの測定。</v>
      </c>
      <c r="I4715" s="3" t="str">
        <f ca="1">IFERROR(__xludf.DUMMYFUNCTION("googletranslate(F4715,""en"",""ja"")"),"無料のチロキシン測定")</f>
        <v>無料のチロキシン測定</v>
      </c>
    </row>
    <row r="4716" spans="1:9" ht="60">
      <c r="A4716" s="3" t="s">
        <v>6</v>
      </c>
      <c r="B4716" s="3" t="s">
        <v>19327</v>
      </c>
      <c r="C4716" s="3" t="s">
        <v>19328</v>
      </c>
      <c r="D4716" s="3" t="s">
        <v>19328</v>
      </c>
      <c r="E4716" s="3" t="s">
        <v>19329</v>
      </c>
      <c r="F4716" s="3" t="s">
        <v>19330</v>
      </c>
      <c r="G4716" s="3" t="str">
        <f ca="1">IFERROR(__xludf.DUMMYFUNCTION("googletranslate(D4716,""en"",""ja"")"),"チロキシン、フリーインデックス")</f>
        <v>チロキシン、フリーインデックス</v>
      </c>
      <c r="H4716" s="3" t="str">
        <f ca="1">IFERROR(__xludf.DUMMYFUNCTION("googletranslate(E4716,""en"",""ja"")"),"生物学的標本における甲状腺の状態の測定。これは、総チロキシンと未結合のチロキシン結合グロブリンを考慮した数式によって計算されます。")</f>
        <v>生物学的標本における甲状腺の状態の測定。これは、総チロキシンと未結合のチロキシン結合グロブリンを考慮した数式によって計算されます。</v>
      </c>
      <c r="I4716" s="3" t="str">
        <f ca="1">IFERROR(__xludf.DUMMYFUNCTION("googletranslate(F4716,""en"",""ja"")"),"遊離チロキシン指数")</f>
        <v>遊離チロキシン指数</v>
      </c>
    </row>
    <row r="4717" spans="1:9" ht="30">
      <c r="A4717" s="3" t="s">
        <v>6</v>
      </c>
      <c r="B4717" s="3" t="s">
        <v>19331</v>
      </c>
      <c r="C4717" s="3" t="s">
        <v>19332</v>
      </c>
      <c r="D4717" s="3" t="s">
        <v>19332</v>
      </c>
      <c r="E4717" s="3" t="s">
        <v>19333</v>
      </c>
      <c r="F4717" s="3" t="s">
        <v>19334</v>
      </c>
      <c r="G4717" s="3" t="str">
        <f ca="1">IFERROR(__xludf.DUMMYFUNCTION("googletranslate(D4717,""en"",""ja"")"),"チロキシン、遊離、間接的")</f>
        <v>チロキシン、遊離、間接的</v>
      </c>
      <c r="H4717" s="3" t="str">
        <f ca="1">IFERROR(__xludf.DUMMYFUNCTION("googletranslate(E4717,""en"",""ja"")"),"生物学的標本中の遊離チロキシンの間接的な測定。")</f>
        <v>生物学的標本中の遊離チロキシンの間接的な測定。</v>
      </c>
      <c r="I4717" s="3" t="str">
        <f ca="1">IFERROR(__xludf.DUMMYFUNCTION("googletranslate(F4717,""en"",""ja"")"),"間接的な遊離チロキシンの測定")</f>
        <v>間接的な遊離チロキシンの測定</v>
      </c>
    </row>
    <row r="4718" spans="1:9" ht="30">
      <c r="A4718" s="3" t="s">
        <v>6</v>
      </c>
      <c r="B4718" s="3" t="s">
        <v>19335</v>
      </c>
      <c r="C4718" s="3" t="s">
        <v>19336</v>
      </c>
      <c r="D4718" s="3" t="s">
        <v>19337</v>
      </c>
      <c r="E4718" s="3" t="s">
        <v>19338</v>
      </c>
      <c r="F4718" s="3" t="s">
        <v>19339</v>
      </c>
      <c r="G4718" s="3" t="str">
        <f ca="1">IFERROR(__xludf.DUMMYFUNCTION("googletranslate(D4718,""en"",""ja"")"),"総抗酸化力;総抗酸化力")</f>
        <v>総抗酸化力;総抗酸化力</v>
      </c>
      <c r="H4718" s="3" t="str">
        <f ca="1">IFERROR(__xludf.DUMMYFUNCTION("googletranslate(E4718,""en"",""ja"")"),"検体中の抗酸化物質の量および/または活性の測定。")</f>
        <v>検体中の抗酸化物質の量および/または活性の測定。</v>
      </c>
      <c r="I4718" s="3" t="str">
        <f ca="1">IFERROR(__xludf.DUMMYFUNCTION("googletranslate(F4718,""en"",""ja"")"),"総抗酸化力測定")</f>
        <v>総抗酸化力測定</v>
      </c>
    </row>
    <row r="4719" spans="1:9" ht="45">
      <c r="A4719" s="3" t="s">
        <v>6</v>
      </c>
      <c r="B4719" s="3" t="s">
        <v>19340</v>
      </c>
      <c r="C4719" s="3" t="s">
        <v>19341</v>
      </c>
      <c r="D4719" s="3" t="s">
        <v>19342</v>
      </c>
      <c r="E4719" s="3" t="s">
        <v>19343</v>
      </c>
      <c r="F4719" s="3" t="s">
        <v>19344</v>
      </c>
      <c r="G4719" s="3" t="str">
        <f ca="1">IFERROR(__xludf.DUMMYFUNCTION("googletranslate(D4719,""en"",""ja"")"),"抗原ペプチドトランスポーター 1;ペプチドトランスポーター TAP1")</f>
        <v>抗原ペプチドトランスポーター 1;ペプチドトランスポーター TAP1</v>
      </c>
      <c r="H4719" s="3" t="str">
        <f ca="1">IFERROR(__xludf.DUMMYFUNCTION("googletranslate(E4719,""en"",""ja"")"),"生物学的標本におけるペプチドトランスポーター TAP1 の測定。")</f>
        <v>生物学的標本におけるペプチドトランスポーター TAP1 の測定。</v>
      </c>
      <c r="I4719" s="3" t="str">
        <f ca="1">IFERROR(__xludf.DUMMYFUNCTION("googletranslate(F4719,""en"",""ja"")"),"ペプチドトランスポーターTAP1の測定")</f>
        <v>ペプチドトランスポーターTAP1の測定</v>
      </c>
    </row>
    <row r="4720" spans="1:9" ht="45">
      <c r="A4720" s="3" t="s">
        <v>6</v>
      </c>
      <c r="B4720" s="3" t="s">
        <v>19345</v>
      </c>
      <c r="C4720" s="3" t="s">
        <v>19346</v>
      </c>
      <c r="D4720" s="3" t="s">
        <v>19347</v>
      </c>
      <c r="E4720" s="3" t="s">
        <v>19348</v>
      </c>
      <c r="F4720" s="3" t="s">
        <v>19349</v>
      </c>
      <c r="G4720" s="3" t="str">
        <f ca="1">IFERROR(__xludf.DUMMYFUNCTION("googletranslate(D4720,""en"",""ja"")"),"トロンビン/アンチトロンビン;トロンビン/アンチトロンビン III")</f>
        <v>トロンビン/アンチトロンビン;トロンビン/アンチトロンビン III</v>
      </c>
      <c r="H4720" s="3" t="str">
        <f ca="1">IFERROR(__xludf.DUMMYFUNCTION("googletranslate(E4720,""en"",""ja"")"),"サンプル中に存在するトロンビンとアンチトロンビンの相対測定値 (比率またはパーセンテージ)。")</f>
        <v>サンプル中に存在するトロンビンとアンチトロンビンの相対測定値 (比率またはパーセンテージ)。</v>
      </c>
      <c r="I4720" s="3" t="str">
        <f ca="1">IFERROR(__xludf.DUMMYFUNCTION("googletranslate(F4720,""en"",""ja"")"),"トロンビン対アンチトロンビン比の測定")</f>
        <v>トロンビン対アンチトロンビン比の測定</v>
      </c>
    </row>
    <row r="4721" spans="1:9" ht="45">
      <c r="A4721" s="3" t="s">
        <v>6</v>
      </c>
      <c r="B4721" s="3" t="s">
        <v>19350</v>
      </c>
      <c r="C4721" s="3" t="s">
        <v>19351</v>
      </c>
      <c r="D4721" s="3" t="s">
        <v>19352</v>
      </c>
      <c r="E4721" s="3" t="s">
        <v>19353</v>
      </c>
      <c r="F4721" s="3" t="s">
        <v>19354</v>
      </c>
      <c r="G4721" s="3" t="str">
        <f ca="1">IFERROR(__xludf.DUMMYFUNCTION("googletranslate(D4721,""en"",""ja"")"),"タット;トロンビンアンチトロンビン複合体;トロンビン アンチトロンビン複合体抗原")</f>
        <v>タット;トロンビンアンチトロンビン複合体;トロンビン アンチトロンビン複合体抗原</v>
      </c>
      <c r="H4721" s="3" t="str">
        <f ca="1">IFERROR(__xludf.DUMMYFUNCTION("googletranslate(E4721,""en"",""ja"")"),"生物学的標本中のトロンビン-アンチトロンビン複合体の測定。")</f>
        <v>生物学的標本中のトロンビン-アンチトロンビン複合体の測定。</v>
      </c>
      <c r="I4721" s="3" t="str">
        <f ca="1">IFERROR(__xludf.DUMMYFUNCTION("googletranslate(F4721,""en"",""ja"")"),"トロンビン・アンチトロンビン複合体の測定")</f>
        <v>トロンビン・アンチトロンビン複合体の測定</v>
      </c>
    </row>
    <row r="4722" spans="1:9" ht="45">
      <c r="A4722" s="3" t="s">
        <v>6</v>
      </c>
      <c r="B4722" s="3" t="s">
        <v>19355</v>
      </c>
      <c r="C4722" s="3" t="s">
        <v>19356</v>
      </c>
      <c r="D4722" s="3" t="s">
        <v>19357</v>
      </c>
      <c r="E4722" s="3" t="s">
        <v>19358</v>
      </c>
      <c r="F4722" s="3" t="s">
        <v>19359</v>
      </c>
      <c r="G4722" s="3" t="str">
        <f ca="1">IFERROR(__xludf.DUMMYFUNCTION("googletranslate(D4722,""en"",""ja"")"),"リン酸化タウ 181;リン酸化タウタンパク質 181; pタウ181")</f>
        <v>リン酸化タウ 181;リン酸化タウタンパク質 181; pタウ181</v>
      </c>
      <c r="H4722" s="3" t="str">
        <f ca="1">IFERROR(__xludf.DUMMYFUNCTION("googletranslate(E4722,""en"",""ja"")"),"生体試料中のリン酸化タウタンパク質 181 の測定。")</f>
        <v>生体試料中のリン酸化タウタンパク質 181 の測定。</v>
      </c>
      <c r="I4722" s="3" t="str">
        <f ca="1">IFERROR(__xludf.DUMMYFUNCTION("googletranslate(F4722,""en"",""ja"")"),"リン酸化タウタンパク質181の測定")</f>
        <v>リン酸化タウタンパク質181の測定</v>
      </c>
    </row>
    <row r="4723" spans="1:9" ht="45">
      <c r="A4723" s="3" t="s">
        <v>6</v>
      </c>
      <c r="B4723" s="3" t="s">
        <v>19360</v>
      </c>
      <c r="C4723" s="3" t="s">
        <v>19361</v>
      </c>
      <c r="D4723" s="3" t="s">
        <v>19362</v>
      </c>
      <c r="E4723" s="3" t="s">
        <v>19363</v>
      </c>
      <c r="F4723" s="3" t="s">
        <v>19364</v>
      </c>
      <c r="G4723" s="3" t="str">
        <f ca="1">IFERROR(__xludf.DUMMYFUNCTION("googletranslate(D4723,""en"",""ja"")"),"リン酸化タウ 212;リン酸化タウタンパク質 212; pタウ212")</f>
        <v>リン酸化タウ 212;リン酸化タウタンパク質 212; pタウ212</v>
      </c>
      <c r="H4723" s="3" t="str">
        <f ca="1">IFERROR(__xludf.DUMMYFUNCTION("googletranslate(E4723,""en"",""ja"")"),"生体試料中のリン酸化タウタンパク質 212 の測定。")</f>
        <v>生体試料中のリン酸化タウタンパク質 212 の測定。</v>
      </c>
      <c r="I4723" s="3" t="str">
        <f ca="1">IFERROR(__xludf.DUMMYFUNCTION("googletranslate(F4723,""en"",""ja"")"),"リン酸化タウタンパク質212の測定")</f>
        <v>リン酸化タウタンパク質212の測定</v>
      </c>
    </row>
    <row r="4724" spans="1:9" ht="45">
      <c r="A4724" s="3" t="s">
        <v>6</v>
      </c>
      <c r="B4724" s="3" t="s">
        <v>19365</v>
      </c>
      <c r="C4724" s="3" t="s">
        <v>19366</v>
      </c>
      <c r="D4724" s="3" t="s">
        <v>19367</v>
      </c>
      <c r="E4724" s="3" t="s">
        <v>19368</v>
      </c>
      <c r="F4724" s="3" t="s">
        <v>19369</v>
      </c>
      <c r="G4724" s="3" t="str">
        <f ca="1">IFERROR(__xludf.DUMMYFUNCTION("googletranslate(D4724,""en"",""ja"")"),"リン酸化タウ 217;リン酸化タウタンパク質 217; pタウ217")</f>
        <v>リン酸化タウ 217;リン酸化タウタンパク質 217; pタウ217</v>
      </c>
      <c r="H4724" s="3" t="str">
        <f ca="1">IFERROR(__xludf.DUMMYFUNCTION("googletranslate(E4724,""en"",""ja"")"),"生体試料中のリン酸化タウタンパク質 217 の測定。")</f>
        <v>生体試料中のリン酸化タウタンパク質 217 の測定。</v>
      </c>
      <c r="I4724" s="3" t="str">
        <f ca="1">IFERROR(__xludf.DUMMYFUNCTION("googletranslate(F4724,""en"",""ja"")"),"リン酸化タウタンパク質217の測定")</f>
        <v>リン酸化タウタンパク質217の測定</v>
      </c>
    </row>
    <row r="4725" spans="1:9" ht="45">
      <c r="A4725" s="3" t="s">
        <v>6</v>
      </c>
      <c r="B4725" s="3" t="s">
        <v>19370</v>
      </c>
      <c r="C4725" s="3" t="s">
        <v>19371</v>
      </c>
      <c r="D4725" s="3" t="s">
        <v>19372</v>
      </c>
      <c r="E4725" s="3" t="s">
        <v>19373</v>
      </c>
      <c r="F4725" s="3" t="s">
        <v>19374</v>
      </c>
      <c r="G4725" s="3" t="str">
        <f ca="1">IFERROR(__xludf.DUMMYFUNCTION("googletranslate(D4725,""en"",""ja"")"),"リン酸化タウ 231;リン酸化タウタンパク質 231; pタウ231")</f>
        <v>リン酸化タウ 231;リン酸化タウタンパク質 231; pタウ231</v>
      </c>
      <c r="H4725" s="3" t="str">
        <f ca="1">IFERROR(__xludf.DUMMYFUNCTION("googletranslate(E4725,""en"",""ja"")"),"生体試料中のリン酸化タウタンパク質 231 の測定。")</f>
        <v>生体試料中のリン酸化タウタンパク質 231 の測定。</v>
      </c>
      <c r="I4725" s="3" t="str">
        <f ca="1">IFERROR(__xludf.DUMMYFUNCTION("googletranslate(F4725,""en"",""ja"")"),"リン酸化タウタンパク質231の測定")</f>
        <v>リン酸化タウタンパク質231の測定</v>
      </c>
    </row>
    <row r="4726" spans="1:9" ht="30">
      <c r="A4726" s="3" t="s">
        <v>6</v>
      </c>
      <c r="B4726" s="3" t="s">
        <v>19375</v>
      </c>
      <c r="C4726" s="3" t="s">
        <v>19376</v>
      </c>
      <c r="D4726" s="3" t="s">
        <v>19376</v>
      </c>
      <c r="E4726" s="3" t="s">
        <v>19377</v>
      </c>
      <c r="F4726" s="3" t="s">
        <v>19378</v>
      </c>
      <c r="G4726" s="3" t="str">
        <f ca="1">IFERROR(__xludf.DUMMYFUNCTION("googletranslate(D4726,""en"",""ja"")"),"タウリン/クレアチニン")</f>
        <v>タウリン/クレアチニン</v>
      </c>
      <c r="H4726" s="3" t="str">
        <f ca="1">IFERROR(__xludf.DUMMYFUNCTION("googletranslate(E4726,""en"",""ja"")"),"生物学的標本中のクレアチニンに対するタウリンの相対測定値（比）。")</f>
        <v>生物学的標本中のクレアチニンに対するタウリンの相対測定値（比）。</v>
      </c>
      <c r="I4726" s="3" t="str">
        <f ca="1">IFERROR(__xludf.DUMMYFUNCTION("googletranslate(F4726,""en"",""ja"")"),"タウリンとクレアチニンの比率の測定")</f>
        <v>タウリンとクレアチニンの比率の測定</v>
      </c>
    </row>
    <row r="4727" spans="1:9">
      <c r="A4727" s="3" t="s">
        <v>6</v>
      </c>
      <c r="B4727" s="3" t="s">
        <v>19379</v>
      </c>
      <c r="C4727" s="3" t="s">
        <v>19380</v>
      </c>
      <c r="D4727" s="3" t="s">
        <v>19381</v>
      </c>
      <c r="E4727" s="3" t="s">
        <v>19382</v>
      </c>
      <c r="F4727" s="3" t="s">
        <v>19383</v>
      </c>
      <c r="G4727" s="3" t="str">
        <f ca="1">IFERROR(__xludf.DUMMYFUNCTION("googletranslate(D4727,""en"",""ja"")"),"タウリン酸;タウリン")</f>
        <v>タウリン酸;タウリン</v>
      </c>
      <c r="H4727" s="3" t="str">
        <f ca="1">IFERROR(__xludf.DUMMYFUNCTION("googletranslate(E4727,""en"",""ja"")"),"生物学的標本中のタウリンの測定。")</f>
        <v>生物学的標本中のタウリンの測定。</v>
      </c>
      <c r="I4727" s="3" t="str">
        <f ca="1">IFERROR(__xludf.DUMMYFUNCTION("googletranslate(F4727,""en"",""ja"")"),"タウリン測定")</f>
        <v>タウリン測定</v>
      </c>
    </row>
    <row r="4728" spans="1:9">
      <c r="A4728" s="3" t="s">
        <v>51</v>
      </c>
      <c r="B4728" s="3" t="s">
        <v>19384</v>
      </c>
      <c r="C4728" s="3" t="s">
        <v>19385</v>
      </c>
      <c r="D4728" s="3" t="s">
        <v>19385</v>
      </c>
      <c r="E4728" s="3" t="s">
        <v>19386</v>
      </c>
      <c r="F4728" s="3" t="s">
        <v>19385</v>
      </c>
      <c r="G4728" s="3" t="str">
        <f ca="1">IFERROR(__xludf.DUMMYFUNCTION("googletranslate(D4728,""en"",""ja"")"),"タバコフィラーマス")</f>
        <v>タバコフィラーマス</v>
      </c>
      <c r="H4728" s="3" t="str">
        <f ca="1">IFERROR(__xludf.DUMMYFUNCTION("googletranslate(E4728,""en"",""ja"")"),"タバコ製品中のタバコ充填剤の質量。")</f>
        <v>タバコ製品中のタバコ充填剤の質量。</v>
      </c>
      <c r="I4728" s="3" t="str">
        <f ca="1">IFERROR(__xludf.DUMMYFUNCTION("googletranslate(F4728,""en"",""ja"")"),"タバコフィラーマス")</f>
        <v>タバコフィラーマス</v>
      </c>
    </row>
    <row r="4729" spans="1:9" ht="30">
      <c r="A4729" s="3" t="s">
        <v>6</v>
      </c>
      <c r="B4729" s="3" t="s">
        <v>19387</v>
      </c>
      <c r="C4729" s="3" t="s">
        <v>19388</v>
      </c>
      <c r="D4729" s="3" t="s">
        <v>19388</v>
      </c>
      <c r="E4729" s="3" t="s">
        <v>19389</v>
      </c>
      <c r="F4729" s="3" t="s">
        <v>19390</v>
      </c>
      <c r="G4729" s="3" t="str">
        <f ca="1">IFERROR(__xludf.DUMMYFUNCTION("googletranslate(D4729,""en"",""ja"")"),"チロキシン結合グロブリン")</f>
        <v>チロキシン結合グロブリン</v>
      </c>
      <c r="H4729" s="3" t="str">
        <f ca="1">IFERROR(__xludf.DUMMYFUNCTION("googletranslate(E4729,""en"",""ja"")"),"生物学的標本中のチロキシン結合グロブリンタンパク質の測定。")</f>
        <v>生物学的標本中のチロキシン結合グロブリンタンパク質の測定。</v>
      </c>
      <c r="I4729" s="3" t="str">
        <f ca="1">IFERROR(__xludf.DUMMYFUNCTION("googletranslate(F4729,""en"",""ja"")"),"チロキシン結合グロブリンタンパク質の測定")</f>
        <v>チロキシン結合グロブリンタンパク質の測定</v>
      </c>
    </row>
    <row r="4730" spans="1:9" ht="45">
      <c r="A4730" s="3" t="s">
        <v>180</v>
      </c>
      <c r="B4730" s="3" t="s">
        <v>19391</v>
      </c>
      <c r="C4730" s="3" t="s">
        <v>19392</v>
      </c>
      <c r="D4730" s="3" t="s">
        <v>19393</v>
      </c>
      <c r="E4730" s="3" t="s">
        <v>19394</v>
      </c>
      <c r="F4730" s="3" t="s">
        <v>19395</v>
      </c>
      <c r="G4730" s="3" t="str">
        <f ca="1">IFERROR(__xludf.DUMMYFUNCTION("googletranslate(D4730,""en"",""ja"")"),"自己抗体、TBII;自己抗体、甲状腺刺激ホルモン結合阻害性免疫グロブリン")</f>
        <v>自己抗体、TBII;自己抗体、甲状腺刺激ホルモン結合阻害性免疫グロブリン</v>
      </c>
      <c r="H4730" s="3" t="str">
        <f ca="1">IFERROR(__xludf.DUMMYFUNCTION("googletranslate(E4730,""en"",""ja"")"),"生物学的標本中の甲状腺刺激ホルモン結合阻害性免疫グロブリン自己抗体の測定。")</f>
        <v>生物学的標本中の甲状腺刺激ホルモン結合阻害性免疫グロブリン自己抗体の測定。</v>
      </c>
      <c r="I4730" s="3" t="str">
        <f ca="1">IFERROR(__xludf.DUMMYFUNCTION("googletranslate(F4730,""en"",""ja"")"),"甲状腺刺激ホルモン結合阻害性免疫グロブリン自己抗体の測定")</f>
        <v>甲状腺刺激ホルモン結合阻害性免疫グロブリン自己抗体の測定</v>
      </c>
    </row>
    <row r="4731" spans="1:9" ht="30">
      <c r="A4731" s="3" t="s">
        <v>6</v>
      </c>
      <c r="B4731" s="3" t="s">
        <v>19396</v>
      </c>
      <c r="C4731" s="3" t="s">
        <v>19397</v>
      </c>
      <c r="D4731" s="3" t="s">
        <v>19398</v>
      </c>
      <c r="E4731" s="3" t="s">
        <v>19399</v>
      </c>
      <c r="F4731" s="3" t="s">
        <v>19400</v>
      </c>
      <c r="G4731" s="3" t="str">
        <f ca="1">IFERROR(__xludf.DUMMYFUNCTION("googletranslate(D4731,""en"",""ja"")"),"TATA ボックス結合タンパク質; TATA結合タンパク質")</f>
        <v>TATA ボックス結合タンパク質; TATA結合タンパク質</v>
      </c>
      <c r="H4731" s="3" t="str">
        <f ca="1">IFERROR(__xludf.DUMMYFUNCTION("googletranslate(E4731,""en"",""ja"")"),"生物学的標本中の TATA ボックス結合タンパク質の測定。")</f>
        <v>生物学的標本中の TATA ボックス結合タンパク質の測定。</v>
      </c>
      <c r="I4731" s="3" t="str">
        <f ca="1">IFERROR(__xludf.DUMMYFUNCTION("googletranslate(F4731,""en"",""ja"")"),"TATAボックス結合タンパク質の測定")</f>
        <v>TATAボックス結合タンパク質の測定</v>
      </c>
    </row>
    <row r="4732" spans="1:9" ht="30">
      <c r="A4732" s="3" t="s">
        <v>51</v>
      </c>
      <c r="B4732" s="3" t="s">
        <v>19401</v>
      </c>
      <c r="C4732" s="3" t="s">
        <v>19402</v>
      </c>
      <c r="D4732" s="3" t="s">
        <v>19402</v>
      </c>
      <c r="E4732" s="3" t="s">
        <v>19403</v>
      </c>
      <c r="F4732" s="3" t="s">
        <v>19404</v>
      </c>
      <c r="G4732" s="3" t="str">
        <f ca="1">IFERROR(__xludf.DUMMYFUNCTION("googletranslate(D4732,""en"",""ja"")"),"タバコ特有のニトロソアミン")</f>
        <v>タバコ特有のニトロソアミン</v>
      </c>
      <c r="H4732" s="3" t="str">
        <f ca="1">IFERROR(__xludf.DUMMYFUNCTION("googletranslate(E4732,""en"",""ja"")"),"検体中のタバコ特有のニトロソアミンの測定。")</f>
        <v>検体中のタバコ特有のニトロソアミンの測定。</v>
      </c>
      <c r="I4732" s="3" t="str">
        <f ca="1">IFERROR(__xludf.DUMMYFUNCTION("googletranslate(F4732,""en"",""ja"")"),"タバコ特有のニトロソアミンの測定")</f>
        <v>タバコ特有のニトロソアミンの測定</v>
      </c>
    </row>
    <row r="4733" spans="1:9" ht="45">
      <c r="A4733" s="3" t="s">
        <v>118</v>
      </c>
      <c r="B4733" s="3" t="s">
        <v>19405</v>
      </c>
      <c r="C4733" s="3" t="s">
        <v>19406</v>
      </c>
      <c r="D4733" s="3" t="s">
        <v>19406</v>
      </c>
      <c r="E4733" s="3" t="s">
        <v>19407</v>
      </c>
      <c r="F4733" s="3" t="s">
        <v>19408</v>
      </c>
      <c r="G4733" s="3" t="str">
        <f ca="1">IFERROR(__xludf.DUMMYFUNCTION("googletranslate(D4733,""en"",""ja"")"),"体内総水分量")</f>
        <v>体内総水分量</v>
      </c>
      <c r="H4733" s="3" t="str">
        <f ca="1">IFERROR(__xludf.DUMMYFUNCTION("googletranslate(E4733,""en"",""ja"")"),"細胞内および細胞外の両方の区画を含む、体内の水分量の測定値。")</f>
        <v>細胞内および細胞外の両方の区画を含む、体内の水分量の測定値。</v>
      </c>
      <c r="I4733" s="3" t="str">
        <f ca="1">IFERROR(__xludf.DUMMYFUNCTION("googletranslate(F4733,""en"",""ja"")"),"体内総水分量の測定")</f>
        <v>体内総水分量の測定</v>
      </c>
    </row>
    <row r="4734" spans="1:9" ht="60">
      <c r="A4734" s="3" t="s">
        <v>159</v>
      </c>
      <c r="B4734" s="3" t="s">
        <v>19409</v>
      </c>
      <c r="C4734" s="3" t="s">
        <v>19410</v>
      </c>
      <c r="D4734" s="3" t="s">
        <v>19411</v>
      </c>
      <c r="E4734" s="3" t="s">
        <v>19412</v>
      </c>
      <c r="F4734" s="3" t="s">
        <v>19413</v>
      </c>
      <c r="G4734" s="3" t="str">
        <f ca="1">IFERROR(__xludf.DUMMYFUNCTION("googletranslate(D4734,""en"",""ja"")"),"クエン酸サイクル速度;クレブス回路のクエン酸率; TCA サイクル レート。トリカルボン酸サイクル速度")</f>
        <v>クエン酸サイクル速度;クレブス回路のクエン酸率; TCA サイクル レート。トリカルボン酸サイクル速度</v>
      </c>
      <c r="H4734" s="3" t="str">
        <f ca="1">IFERROR(__xludf.DUMMYFUNCTION("googletranslate(E4734,""en"",""ja"")"),"生体試料におけるトリカルボン酸サイクルの代謝率の測定。")</f>
        <v>生体試料におけるトリカルボン酸サイクルの代謝率の測定。</v>
      </c>
      <c r="I4734" s="3" t="str">
        <f ca="1">IFERROR(__xludf.DUMMYFUNCTION("googletranslate(F4734,""en"",""ja"")"),"トリカルボン酸サイクル速度測定")</f>
        <v>トリカルボン酸サイクル速度測定</v>
      </c>
    </row>
    <row r="4735" spans="1:9" ht="45">
      <c r="A4735" s="3" t="s">
        <v>103</v>
      </c>
      <c r="B4735" s="3" t="s">
        <v>19414</v>
      </c>
      <c r="C4735" s="3" t="s">
        <v>19415</v>
      </c>
      <c r="D4735" s="3" t="s">
        <v>19416</v>
      </c>
      <c r="E4735" s="3" t="s">
        <v>19417</v>
      </c>
      <c r="F4735" s="3" t="s">
        <v>19418</v>
      </c>
      <c r="G4735" s="3" t="str">
        <f ca="1">IFERROR(__xludf.DUMMYFUNCTION("googletranslate(D4735,""en"",""ja"")"),"T リンパ球細胞毒性中枢記憶腸ホーミング。 TLym Cytx Cen Mem GH")</f>
        <v>T リンパ球細胞毒性中枢記憶腸ホーミング。 TLym Cytx Cen Mem GH</v>
      </c>
      <c r="H4735" s="3" t="str">
        <f ca="1">IFERROR(__xludf.DUMMYFUNCTION("googletranslate(E4735,""en"",""ja"")"),"生物学的標本中の腸ホーミング細胞傷害性中央記憶 T リンパ球の測定。")</f>
        <v>生物学的標本中の腸ホーミング細胞傷害性中央記憶 T リンパ球の測定。</v>
      </c>
      <c r="I4735" s="3" t="str">
        <f ca="1">IFERROR(__xludf.DUMMYFUNCTION("googletranslate(F4735,""en"",""ja"")"),"腸ホーミング細胞毒性中枢記憶 T リンパ球数")</f>
        <v>腸ホーミング細胞毒性中枢記憶 T リンパ球数</v>
      </c>
    </row>
    <row r="4736" spans="1:9" ht="60">
      <c r="A4736" s="3" t="s">
        <v>103</v>
      </c>
      <c r="B4736" s="3" t="s">
        <v>19419</v>
      </c>
      <c r="C4736" s="3" t="s">
        <v>19420</v>
      </c>
      <c r="D4736" s="3" t="s">
        <v>19421</v>
      </c>
      <c r="E4736" s="3" t="s">
        <v>19422</v>
      </c>
      <c r="F4736" s="3" t="s">
        <v>19423</v>
      </c>
      <c r="G4736" s="3" t="str">
        <f ca="1">IFERROR(__xludf.DUMMYFUNCTION("googletranslate(D4736,""en"",""ja"")"),"T リンパ球細胞傷害性中枢記憶腸ホーミング亜集団。 TLym Cytx Cen Mem GH サブ")</f>
        <v>T リンパ球細胞傷害性中枢記憶腸ホーミング亜集団。 TLym Cytx Cen Mem GH サブ</v>
      </c>
      <c r="H4736" s="3" t="str">
        <f ca="1">IFERROR(__xludf.DUMMYFUNCTION("googletranslate(E4736,""en"",""ja"")"),"生物学的標本中の腸ホーミング細胞傷害性中央記憶 T リンパ球の部分集団の測定。")</f>
        <v>生物学的標本中の腸ホーミング細胞傷害性中央記憶 T リンパ球の部分集団の測定。</v>
      </c>
      <c r="I4736" s="3" t="str">
        <f ca="1">IFERROR(__xludf.DUMMYFUNCTION("googletranslate(F4736,""en"",""ja"")"),"腸ホーミング細胞毒性中枢記憶 T リンパ球部分集団数")</f>
        <v>腸ホーミング細胞毒性中枢記憶 T リンパ球部分集団数</v>
      </c>
    </row>
    <row r="4737" spans="1:9" ht="105">
      <c r="A4737" s="3" t="s">
        <v>103</v>
      </c>
      <c r="B4737" s="3" t="s">
        <v>19424</v>
      </c>
      <c r="C4737" s="3" t="s">
        <v>19425</v>
      </c>
      <c r="D4737" s="3" t="s">
        <v>19426</v>
      </c>
      <c r="E4737" s="3" t="s">
        <v>19427</v>
      </c>
      <c r="F4737" s="3" t="s">
        <v>19428</v>
      </c>
      <c r="G4737" s="3" t="str">
        <f ca="1">IFERROR(__xludf.DUMMYFUNCTION("googletranslate(D4737,""en"",""ja"")"),"T リンパ球の細胞毒性中枢記憶の腸ホーミング サブ集団/T リンパ球の細胞毒性中枢記憶の腸ホーミング。 TLym Cytx Cen Mem GH サブ/TLym Cytx Cen Mem GH; TLym Cytx Cen Mem GH サブ/TLymCCMGH")</f>
        <v>T リンパ球の細胞毒性中枢記憶の腸ホーミング サブ集団/T リンパ球の細胞毒性中枢記憶の腸ホーミング。 TLym Cytx Cen Mem GH サブ/TLym Cytx Cen Mem GH; TLym Cytx Cen Mem GH サブ/TLymCCMGH</v>
      </c>
      <c r="H4737" s="3" t="str">
        <f ca="1">IFERROR(__xludf.DUMMYFUNCTION("googletranslate(E4737,""en"",""ja"")"),"生物学的標本中の腸ホーミング細胞傷害性中央記憶 T リンパ球の総腸管ホーミング細胞傷害性中央記憶 T リンパ球に対する部分集団の相対測定値 (比率またはパーセンテージ)。")</f>
        <v>生物学的標本中の腸ホーミング細胞傷害性中央記憶 T リンパ球の総腸管ホーミング細胞傷害性中央記憶 T リンパ球に対する部分集団の相対測定値 (比率またはパーセンテージ)。</v>
      </c>
      <c r="I4737" s="3" t="str">
        <f ca="1">IFERROR(__xludf.DUMMYFUNCTION("googletranslate(F4737,""en"",""ja"")"),"腸ホーミング細胞傷害性セントラルメモリー T リンパ球部分集団と腸ホーミング細胞傷害性セントラルメモリー T リンパ球の比率の測定")</f>
        <v>腸ホーミング細胞傷害性セントラルメモリー T リンパ球部分集団と腸ホーミング細胞傷害性セントラルメモリー T リンパ球の比率の測定</v>
      </c>
    </row>
    <row r="4738" spans="1:9" ht="75">
      <c r="A4738" s="3" t="s">
        <v>103</v>
      </c>
      <c r="B4738" s="3" t="s">
        <v>19429</v>
      </c>
      <c r="C4738" s="3" t="s">
        <v>19430</v>
      </c>
      <c r="D4738" s="3" t="s">
        <v>19431</v>
      </c>
      <c r="E4738" s="3" t="s">
        <v>19432</v>
      </c>
      <c r="F4738" s="3" t="s">
        <v>19433</v>
      </c>
      <c r="G4738" s="3" t="str">
        <f ca="1">IFERROR(__xludf.DUMMYFUNCTION("googletranslate(D4738,""en"",""ja"")"),"T リンパ球 細胞毒性 中枢記憶 腸ホーミング/T リンパ球 細胞毒性; TLym Cytx Cen Mem GH/TLym Cytx; TLym Cytx Cen Mem GH/TLymC")</f>
        <v>T リンパ球 細胞毒性 中枢記憶 腸ホーミング/T リンパ球 細胞毒性; TLym Cytx Cen Mem GH/TLym Cytx; TLym Cytx Cen Mem GH/TLymC</v>
      </c>
      <c r="H4738" s="3" t="str">
        <f ca="1">IFERROR(__xludf.DUMMYFUNCTION("googletranslate(E4738,""en"",""ja"")"),"生物学的検体中の総細胞傷害性 T リンパ球に対する腸ホーミング細胞傷害性中央記憶 T リンパ球の相対測定値 (比率またはパーセンテージ)。")</f>
        <v>生物学的検体中の総細胞傷害性 T リンパ球に対する腸ホーミング細胞傷害性中央記憶 T リンパ球の相対測定値 (比率またはパーセンテージ)。</v>
      </c>
      <c r="I4738" s="3" t="str">
        <f ca="1">IFERROR(__xludf.DUMMYFUNCTION("googletranslate(F4738,""en"",""ja"")"),"腸ホーミング細胞傷害性中枢記憶 T リンパ球と細胞傷害性 T リンパ球の比率の測定")</f>
        <v>腸ホーミング細胞傷害性中枢記憶 T リンパ球と細胞傷害性 T リンパ球の比率の測定</v>
      </c>
    </row>
    <row r="4739" spans="1:9" ht="45">
      <c r="A4739" s="3" t="s">
        <v>103</v>
      </c>
      <c r="B4739" s="3" t="s">
        <v>19434</v>
      </c>
      <c r="C4739" s="3" t="s">
        <v>19435</v>
      </c>
      <c r="D4739" s="3" t="s">
        <v>19436</v>
      </c>
      <c r="E4739" s="3" t="s">
        <v>19437</v>
      </c>
      <c r="F4739" s="3" t="s">
        <v>19438</v>
      </c>
      <c r="G4739" s="3" t="str">
        <f ca="1">IFERROR(__xludf.DUMMYFUNCTION("googletranslate(D4739,""en"",""ja"")"),"T リンパ球細胞毒性中枢記憶皮膚ホーミング。 TLym Cytx Cen Mem SH")</f>
        <v>T リンパ球細胞毒性中枢記憶皮膚ホーミング。 TLym Cytx Cen Mem SH</v>
      </c>
      <c r="H4739" s="3" t="str">
        <f ca="1">IFERROR(__xludf.DUMMYFUNCTION("googletranslate(E4739,""en"",""ja"")"),"生物学的標本中の皮膚ホーミング細胞傷害性中央記憶 T リンパ球の測定。")</f>
        <v>生物学的標本中の皮膚ホーミング細胞傷害性中央記憶 T リンパ球の測定。</v>
      </c>
      <c r="I4739" s="3" t="str">
        <f ca="1">IFERROR(__xludf.DUMMYFUNCTION("googletranslate(F4739,""en"",""ja"")"),"皮膚ホーミング細胞毒性中枢記憶 T リンパ球数")</f>
        <v>皮膚ホーミング細胞毒性中枢記憶 T リンパ球数</v>
      </c>
    </row>
    <row r="4740" spans="1:9" ht="60">
      <c r="A4740" s="3" t="s">
        <v>103</v>
      </c>
      <c r="B4740" s="3" t="s">
        <v>19439</v>
      </c>
      <c r="C4740" s="3" t="s">
        <v>19440</v>
      </c>
      <c r="D4740" s="3" t="s">
        <v>19441</v>
      </c>
      <c r="E4740" s="3" t="s">
        <v>19442</v>
      </c>
      <c r="F4740" s="3" t="s">
        <v>19443</v>
      </c>
      <c r="G4740" s="3" t="str">
        <f ca="1">IFERROR(__xludf.DUMMYFUNCTION("googletranslate(D4740,""en"",""ja"")"),"T リンパ球細胞傷害性中央記憶皮膚ホーミング亜集団。 TLym Cytx Cen Mem SH サブ")</f>
        <v>T リンパ球細胞傷害性中央記憶皮膚ホーミング亜集団。 TLym Cytx Cen Mem SH サブ</v>
      </c>
      <c r="H4740" s="3" t="str">
        <f ca="1">IFERROR(__xludf.DUMMYFUNCTION("googletranslate(E4740,""en"",""ja"")"),"生物学的標本中の皮膚ホーミング細胞傷害性中央記憶 T リンパ球の部分集団の測定。")</f>
        <v>生物学的標本中の皮膚ホーミング細胞傷害性中央記憶 T リンパ球の部分集団の測定。</v>
      </c>
      <c r="I4740" s="3" t="str">
        <f ca="1">IFERROR(__xludf.DUMMYFUNCTION("googletranslate(F4740,""en"",""ja"")"),"皮膚ホーミング細胞毒性中枢記憶 T リンパ球部分集団数")</f>
        <v>皮膚ホーミング細胞毒性中枢記憶 T リンパ球部分集団数</v>
      </c>
    </row>
    <row r="4741" spans="1:9" ht="120">
      <c r="A4741" s="3" t="s">
        <v>103</v>
      </c>
      <c r="B4741" s="3" t="s">
        <v>19444</v>
      </c>
      <c r="C4741" s="3" t="s">
        <v>19445</v>
      </c>
      <c r="D4741" s="3" t="s">
        <v>19446</v>
      </c>
      <c r="E4741" s="3" t="s">
        <v>19447</v>
      </c>
      <c r="F4741" s="3" t="s">
        <v>19448</v>
      </c>
      <c r="G4741" s="3" t="str">
        <f ca="1">IFERROR(__xludf.DUMMYFUNCTION("googletranslate(D4741,""en"",""ja"")"),"T リンパ球の細胞傷害性セントラル メモリー スキン ホーミング サブ集団/T リンパ球の細胞傷害性セントラル メモリー スキン ホーミング。 TLym Cytx Cen Mem SH サブ/TLym Cytx Cen Mem SH; TLym Cytx Cen Mem SH サブ/TLymCCMSH")</f>
        <v>T リンパ球の細胞傷害性セントラル メモリー スキン ホーミング サブ集団/T リンパ球の細胞傷害性セントラル メモリー スキン ホーミング。 TLym Cytx Cen Mem SH サブ/TLym Cytx Cen Mem SH; TLym Cytx Cen Mem SH サブ/TLymCCMSH</v>
      </c>
      <c r="H4741" s="3" t="str">
        <f ca="1">IFERROR(__xludf.DUMMYFUNCTION("googletranslate(E4741,""en"",""ja"")"),"生物学的標本中の皮膚ホーミング細胞傷害性中心記憶 T リンパ球の総数に対する皮膚ホーミング細胞傷害性中心記憶 T リンパ球の部分集団の相対測定値 (比率またはパーセンテージ)。")</f>
        <v>生物学的標本中の皮膚ホーミング細胞傷害性中心記憶 T リンパ球の総数に対する皮膚ホーミング細胞傷害性中心記憶 T リンパ球の部分集団の相対測定値 (比率またはパーセンテージ)。</v>
      </c>
      <c r="I4741" s="3" t="str">
        <f ca="1">IFERROR(__xludf.DUMMYFUNCTION("googletranslate(F4741,""en"",""ja"")"),"皮膚ホーミング細胞傷害性セントラルメモリー T リンパ球サブ集団とスキンホーミング細胞傷害性セントラルメモリー T リンパ球の比率の測定")</f>
        <v>皮膚ホーミング細胞傷害性セントラルメモリー T リンパ球サブ集団とスキンホーミング細胞傷害性セントラルメモリー T リンパ球の比率の測定</v>
      </c>
    </row>
    <row r="4742" spans="1:9" ht="75">
      <c r="A4742" s="3" t="s">
        <v>103</v>
      </c>
      <c r="B4742" s="3" t="s">
        <v>19449</v>
      </c>
      <c r="C4742" s="3" t="s">
        <v>19450</v>
      </c>
      <c r="D4742" s="3" t="s">
        <v>19451</v>
      </c>
      <c r="E4742" s="3" t="s">
        <v>19452</v>
      </c>
      <c r="F4742" s="3" t="s">
        <v>19453</v>
      </c>
      <c r="G4742" s="3" t="str">
        <f ca="1">IFERROR(__xludf.DUMMYFUNCTION("googletranslate(D4742,""en"",""ja"")"),"T リンパ球細胞毒性中枢記憶皮膚ホーミング/T リンパ球細胞毒性; TLym Cytx Cen Mem SH/TLym Cytx; TLym Cytx Cen Mem SH/TLymC")</f>
        <v>T リンパ球細胞毒性中枢記憶皮膚ホーミング/T リンパ球細胞毒性; TLym Cytx Cen Mem SH/TLym Cytx; TLym Cytx Cen Mem SH/TLymC</v>
      </c>
      <c r="H4742" s="3" t="str">
        <f ca="1">IFERROR(__xludf.DUMMYFUNCTION("googletranslate(E4742,""en"",""ja"")"),"生物学的検体中の総細胞傷害性 T リンパ球に対する皮膚ホーミング細胞傷害性中央記憶 T リンパ球の相対測定値 (比率またはパーセンテージ)。")</f>
        <v>生物学的検体中の総細胞傷害性 T リンパ球に対する皮膚ホーミング細胞傷害性中央記憶 T リンパ球の相対測定値 (比率またはパーセンテージ)。</v>
      </c>
      <c r="I4742" s="3" t="str">
        <f ca="1">IFERROR(__xludf.DUMMYFUNCTION("googletranslate(F4742,""en"",""ja"")"),"スキンホーミング細胞傷害性中枢記憶 T リンパ球と細胞傷害性 T リンパ球の比率の測定")</f>
        <v>スキンホーミング細胞傷害性中枢記憶 T リンパ球と細胞傷害性 T リンパ球の比率の測定</v>
      </c>
    </row>
    <row r="4743" spans="1:9" ht="45">
      <c r="A4743" s="3" t="s">
        <v>6</v>
      </c>
      <c r="B4743" s="3" t="s">
        <v>19454</v>
      </c>
      <c r="C4743" s="3" t="s">
        <v>19455</v>
      </c>
      <c r="D4743" s="3" t="s">
        <v>19456</v>
      </c>
      <c r="E4743" s="3" t="s">
        <v>19457</v>
      </c>
      <c r="F4743" s="3" t="s">
        <v>19458</v>
      </c>
      <c r="G4743" s="3" t="str">
        <f ca="1">IFERROR(__xludf.DUMMYFUNCTION("googletranslate(D4743,""en"",""ja"")"),"タウロケノデオキシコール酸塩;タウロケノデオキシコール酸")</f>
        <v>タウロケノデオキシコール酸塩;タウロケノデオキシコール酸</v>
      </c>
      <c r="H4743" s="3" t="str">
        <f ca="1">IFERROR(__xludf.DUMMYFUNCTION("googletranslate(E4743,""en"",""ja"")"),"生物学的標本中のタウロケノデオキシコール酸の測定。")</f>
        <v>生物学的標本中のタウロケノデオキシコール酸の測定。</v>
      </c>
      <c r="I4743" s="3" t="str">
        <f ca="1">IFERROR(__xludf.DUMMYFUNCTION("googletranslate(F4743,""en"",""ja"")"),"タウロケノデオキシコール酸の測定")</f>
        <v>タウロケノデオキシコール酸の測定</v>
      </c>
    </row>
    <row r="4744" spans="1:9" ht="45">
      <c r="A4744" s="3" t="s">
        <v>103</v>
      </c>
      <c r="B4744" s="3" t="s">
        <v>19459</v>
      </c>
      <c r="C4744" s="3" t="s">
        <v>19460</v>
      </c>
      <c r="D4744" s="3" t="s">
        <v>19461</v>
      </c>
      <c r="E4744" s="3" t="s">
        <v>19462</v>
      </c>
      <c r="F4744" s="3" t="s">
        <v>19463</v>
      </c>
      <c r="G4744" s="3" t="str">
        <f ca="1">IFERROR(__xludf.DUMMYFUNCTION("googletranslate(D4744,""en"",""ja"")"),"T リンパ球細胞傷害性エフェクター記憶腸ホーミング。 TLym Cytx Eff Mem GH")</f>
        <v>T リンパ球細胞傷害性エフェクター記憶腸ホーミング。 TLym Cytx Eff Mem GH</v>
      </c>
      <c r="H4744" s="3" t="str">
        <f ca="1">IFERROR(__xludf.DUMMYFUNCTION("googletranslate(E4744,""en"",""ja"")"),"生物学的標本中の腸ホーミング細胞傷害性エフェクター記憶 T リンパ球の測定。")</f>
        <v>生物学的標本中の腸ホーミング細胞傷害性エフェクター記憶 T リンパ球の測定。</v>
      </c>
      <c r="I4744" s="3" t="str">
        <f ca="1">IFERROR(__xludf.DUMMYFUNCTION("googletranslate(F4744,""en"",""ja"")"),"腸ホーミング細胞傷害性エフェクターの記憶 T リンパ球数")</f>
        <v>腸ホーミング細胞傷害性エフェクターの記憶 T リンパ球数</v>
      </c>
    </row>
    <row r="4745" spans="1:9" ht="60">
      <c r="A4745" s="3" t="s">
        <v>103</v>
      </c>
      <c r="B4745" s="3" t="s">
        <v>19464</v>
      </c>
      <c r="C4745" s="3" t="s">
        <v>19465</v>
      </c>
      <c r="D4745" s="3" t="s">
        <v>19466</v>
      </c>
      <c r="E4745" s="3" t="s">
        <v>19467</v>
      </c>
      <c r="F4745" s="3" t="s">
        <v>19468</v>
      </c>
      <c r="G4745" s="3" t="str">
        <f ca="1">IFERROR(__xludf.DUMMYFUNCTION("googletranslate(D4745,""en"",""ja"")"),"T リンパ球細胞傷害性エフェクター記憶腸ホーミング亜集団。 TLym Cytx Eff Mem GH サブ")</f>
        <v>T リンパ球細胞傷害性エフェクター記憶腸ホーミング亜集団。 TLym Cytx Eff Mem GH サブ</v>
      </c>
      <c r="H4745" s="3" t="str">
        <f ca="1">IFERROR(__xludf.DUMMYFUNCTION("googletranslate(E4745,""en"",""ja"")"),"生物学的標本中の腸ホーミング細胞傷害性エフェクター記憶 T リンパ球の部分集団の測定。")</f>
        <v>生物学的標本中の腸ホーミング細胞傷害性エフェクター記憶 T リンパ球の部分集団の測定。</v>
      </c>
      <c r="I4745" s="3" t="str">
        <f ca="1">IFERROR(__xludf.DUMMYFUNCTION("googletranslate(F4745,""en"",""ja"")"),"腸ホーミング細胞傷害性エフェクターの記憶 T リンパ球部分集団数")</f>
        <v>腸ホーミング細胞傷害性エフェクターの記憶 T リンパ球部分集団数</v>
      </c>
    </row>
    <row r="4746" spans="1:9" ht="105">
      <c r="A4746" s="3" t="s">
        <v>103</v>
      </c>
      <c r="B4746" s="3" t="s">
        <v>19469</v>
      </c>
      <c r="C4746" s="3" t="s">
        <v>19470</v>
      </c>
      <c r="D4746" s="3" t="s">
        <v>19471</v>
      </c>
      <c r="E4746" s="3" t="s">
        <v>19472</v>
      </c>
      <c r="F4746" s="3" t="s">
        <v>19473</v>
      </c>
      <c r="G4746" s="3" t="str">
        <f ca="1">IFERROR(__xludf.DUMMYFUNCTION("googletranslate(D4746,""en"",""ja"")"),"T リンパ球細胞傷害性エフェクター記憶腸ホーミング亜集団/T リンパ球細胞傷害性エフェクター記憶腸ホーミング; TLym Cytx Eff Mem GH サブ/TLym Cytx Eff Mem GH; TLym Cytx Eff Mem GH サブ/TLymCEMGH")</f>
        <v>T リンパ球細胞傷害性エフェクター記憶腸ホーミング亜集団/T リンパ球細胞傷害性エフェクター記憶腸ホーミング; TLym Cytx Eff Mem GH サブ/TLym Cytx Eff Mem GH; TLym Cytx Eff Mem GH サブ/TLymCEMGH</v>
      </c>
      <c r="H4746" s="3" t="str">
        <f ca="1">IFERROR(__xludf.DUMMYFUNCTION("googletranslate(E4746,""en"",""ja"")"),"生物学的標本中の総腸管ホーミング細胞傷害性エフェクターメモリー T リンパ球に対する腸管ホーミング細胞傷害性エフェクターメモリー T リンパ球の部分集団の相対測定値 (比率またはパーセンテージ)。")</f>
        <v>生物学的標本中の総腸管ホーミング細胞傷害性エフェクターメモリー T リンパ球に対する腸管ホーミング細胞傷害性エフェクターメモリー T リンパ球の部分集団の相対測定値 (比率またはパーセンテージ)。</v>
      </c>
      <c r="I4746" s="3" t="str">
        <f ca="1">IFERROR(__xludf.DUMMYFUNCTION("googletranslate(F4746,""en"",""ja"")"),"腸ホーミング細胞傷害性エフェクターメモリー T リンパ球部分集団と腸ホーミング細胞傷害性エフェクターメモリー T リンパ球の比率の測定")</f>
        <v>腸ホーミング細胞傷害性エフェクターメモリー T リンパ球部分集団と腸ホーミング細胞傷害性エフェクターメモリー T リンパ球の比率の測定</v>
      </c>
    </row>
    <row r="4747" spans="1:9" ht="75">
      <c r="A4747" s="3" t="s">
        <v>103</v>
      </c>
      <c r="B4747" s="3" t="s">
        <v>19474</v>
      </c>
      <c r="C4747" s="3" t="s">
        <v>19475</v>
      </c>
      <c r="D4747" s="3" t="s">
        <v>19476</v>
      </c>
      <c r="E4747" s="3" t="s">
        <v>19477</v>
      </c>
      <c r="F4747" s="3" t="s">
        <v>19478</v>
      </c>
      <c r="G4747" s="3" t="str">
        <f ca="1">IFERROR(__xludf.DUMMYFUNCTION("googletranslate(D4747,""en"",""ja"")"),"T リンパ球細胞毒性エフェクター記憶腸ホーミング/T リンパ球細胞毒性; TLym Cytx Eff Mem GH/TLym Cytx; TLym Cytx Eff Mem GH/TLymC")</f>
        <v>T リンパ球細胞毒性エフェクター記憶腸ホーミング/T リンパ球細胞毒性; TLym Cytx Eff Mem GH/TLym Cytx; TLym Cytx Eff Mem GH/TLymC</v>
      </c>
      <c r="H4747" s="3" t="str">
        <f ca="1">IFERROR(__xludf.DUMMYFUNCTION("googletranslate(E4747,""en"",""ja"")"),"生物学的検体中の総細胞傷害性 T リンパ球に対する腸ホーミング細胞傷害性エフェクター記憶 T リンパ球の相対測定値 (比率またはパーセンテージ)。")</f>
        <v>生物学的検体中の総細胞傷害性 T リンパ球に対する腸ホーミング細胞傷害性エフェクター記憶 T リンパ球の相対測定値 (比率またはパーセンテージ)。</v>
      </c>
      <c r="I4747" s="3" t="str">
        <f ca="1">IFERROR(__xludf.DUMMYFUNCTION("googletranslate(F4747,""en"",""ja"")"),"腸ホーミング細胞傷害性エフェクターメモリー T リンパ球と細胞傷害性 T リンパ球の比率の測定")</f>
        <v>腸ホーミング細胞傷害性エフェクターメモリー T リンパ球と細胞傷害性 T リンパ球の比率の測定</v>
      </c>
    </row>
    <row r="4748" spans="1:9" ht="45">
      <c r="A4748" s="3" t="s">
        <v>103</v>
      </c>
      <c r="B4748" s="3" t="s">
        <v>19479</v>
      </c>
      <c r="C4748" s="3" t="s">
        <v>19480</v>
      </c>
      <c r="D4748" s="3" t="s">
        <v>19481</v>
      </c>
      <c r="E4748" s="3" t="s">
        <v>19482</v>
      </c>
      <c r="F4748" s="3" t="s">
        <v>19483</v>
      </c>
      <c r="G4748" s="3" t="str">
        <f ca="1">IFERROR(__xludf.DUMMYFUNCTION("googletranslate(D4748,""en"",""ja"")"),"T リンパ球細胞傷害性エフェクター記憶皮膚ホーミング。 TLym Cytx Eff Mem SH")</f>
        <v>T リンパ球細胞傷害性エフェクター記憶皮膚ホーミング。 TLym Cytx Eff Mem SH</v>
      </c>
      <c r="H4748" s="3" t="str">
        <f ca="1">IFERROR(__xludf.DUMMYFUNCTION("googletranslate(E4748,""en"",""ja"")"),"生物学的標本中の皮膚ホーミング細胞傷害性エフェクター記憶 T リンパ球の測定。")</f>
        <v>生物学的標本中の皮膚ホーミング細胞傷害性エフェクター記憶 T リンパ球の測定。</v>
      </c>
      <c r="I4748" s="3" t="str">
        <f ca="1">IFERROR(__xludf.DUMMYFUNCTION("googletranslate(F4748,""en"",""ja"")"),"皮膚ホーミング細胞傷害性エフェクターの記憶 T リンパ球数")</f>
        <v>皮膚ホーミング細胞傷害性エフェクターの記憶 T リンパ球数</v>
      </c>
    </row>
    <row r="4749" spans="1:9" ht="60">
      <c r="A4749" s="3" t="s">
        <v>103</v>
      </c>
      <c r="B4749" s="3" t="s">
        <v>19484</v>
      </c>
      <c r="C4749" s="3" t="s">
        <v>19485</v>
      </c>
      <c r="D4749" s="3" t="s">
        <v>19486</v>
      </c>
      <c r="E4749" s="3" t="s">
        <v>19487</v>
      </c>
      <c r="F4749" s="3" t="s">
        <v>19488</v>
      </c>
      <c r="G4749" s="3" t="str">
        <f ca="1">IFERROR(__xludf.DUMMYFUNCTION("googletranslate(D4749,""en"",""ja"")"),"T リンパ球細胞傷害性エフェクター記憶皮膚ホーミング亜集団。 TLym Cytx Eff Mem SH サブ")</f>
        <v>T リンパ球細胞傷害性エフェクター記憶皮膚ホーミング亜集団。 TLym Cytx Eff Mem SH サブ</v>
      </c>
      <c r="H4749" s="3" t="str">
        <f ca="1">IFERROR(__xludf.DUMMYFUNCTION("googletranslate(E4749,""en"",""ja"")"),"生物学的標本中の皮膚ホーミング細胞傷害性エフェクター記憶 T リンパ球の部分集団の測定。")</f>
        <v>生物学的標本中の皮膚ホーミング細胞傷害性エフェクター記憶 T リンパ球の部分集団の測定。</v>
      </c>
      <c r="I4749" s="3" t="str">
        <f ca="1">IFERROR(__xludf.DUMMYFUNCTION("googletranslate(F4749,""en"",""ja"")"),"皮膚ホーミング細胞傷害性エフェクターの記憶 T リンパ球部分集団数")</f>
        <v>皮膚ホーミング細胞傷害性エフェクターの記憶 T リンパ球部分集団数</v>
      </c>
    </row>
    <row r="4750" spans="1:9" ht="120">
      <c r="A4750" s="3" t="s">
        <v>103</v>
      </c>
      <c r="B4750" s="3" t="s">
        <v>19489</v>
      </c>
      <c r="C4750" s="3" t="s">
        <v>19490</v>
      </c>
      <c r="D4750" s="3" t="s">
        <v>19491</v>
      </c>
      <c r="E4750" s="3" t="s">
        <v>19492</v>
      </c>
      <c r="F4750" s="3" t="s">
        <v>19493</v>
      </c>
      <c r="G4750" s="3" t="str">
        <f ca="1">IFERROR(__xludf.DUMMYFUNCTION("googletranslate(D4750,""en"",""ja"")"),"T リンパ球細胞傷害性エフェクター メモリー スキン ホーミング サブ集団/T リンパ球細胞傷害性エフェクター メモリー スキン ホーミング; TLym Cytx Eff Mem SH Sub/TLymCEMSH; TLym Cytx Eff Mem Sub/TLym Cytx Eff Mem SH")</f>
        <v>T リンパ球細胞傷害性エフェクター メモリー スキン ホーミング サブ集団/T リンパ球細胞傷害性エフェクター メモリー スキン ホーミング; TLym Cytx Eff Mem SH Sub/TLymCEMSH; TLym Cytx Eff Mem Sub/TLym Cytx Eff Mem SH</v>
      </c>
      <c r="H4750" s="3" t="str">
        <f ca="1">IFERROR(__xludf.DUMMYFUNCTION("googletranslate(E4750,""en"",""ja"")"),"生物学的標本中の皮膚ホーミング細胞傷害性エフェクターメモリー T リンパ球の総数に対する皮膚ホーミング細胞傷害性エフェクターメモリー T リンパ球の部分集団の相対測定値 (比率またはパーセンテージ)。")</f>
        <v>生物学的標本中の皮膚ホーミング細胞傷害性エフェクターメモリー T リンパ球の総数に対する皮膚ホーミング細胞傷害性エフェクターメモリー T リンパ球の部分集団の相対測定値 (比率またはパーセンテージ)。</v>
      </c>
      <c r="I4750" s="3" t="str">
        <f ca="1">IFERROR(__xludf.DUMMYFUNCTION("googletranslate(F4750,""en"",""ja"")"),"皮膚ホーミング細胞傷害性エフェクターメモリー T リンパ球部分集団と皮膚ホーミング細胞傷害性エフェクターメモリー T リンパ球の比率の測定")</f>
        <v>皮膚ホーミング細胞傷害性エフェクターメモリー T リンパ球部分集団と皮膚ホーミング細胞傷害性エフェクターメモリー T リンパ球の比率の測定</v>
      </c>
    </row>
    <row r="4751" spans="1:9" ht="75">
      <c r="A4751" s="3" t="s">
        <v>103</v>
      </c>
      <c r="B4751" s="3" t="s">
        <v>19494</v>
      </c>
      <c r="C4751" s="3" t="s">
        <v>19495</v>
      </c>
      <c r="D4751" s="3" t="s">
        <v>19496</v>
      </c>
      <c r="E4751" s="3" t="s">
        <v>19497</v>
      </c>
      <c r="F4751" s="3" t="s">
        <v>19498</v>
      </c>
      <c r="G4751" s="3" t="str">
        <f ca="1">IFERROR(__xludf.DUMMYFUNCTION("googletranslate(D4751,""en"",""ja"")"),"T リンパ球細胞毒性エフェクターメモリースキンホーミング/T リンパ球細胞毒性; TLym Cytx Eff Mem SH/TLym Cytx; TLym Cytx Eff Mem SH/TLymC")</f>
        <v>T リンパ球細胞毒性エフェクターメモリースキンホーミング/T リンパ球細胞毒性; TLym Cytx Eff Mem SH/TLym Cytx; TLym Cytx Eff Mem SH/TLymC</v>
      </c>
      <c r="H4751" s="3" t="str">
        <f ca="1">IFERROR(__xludf.DUMMYFUNCTION("googletranslate(E4751,""en"",""ja"")"),"生物学的検体中の総細胞傷害性 T リンパ球に対する皮膚ホーミング細胞傷害性エフェクター記憶 T リンパ球の相対測定値 (比率またはパーセンテージ)。")</f>
        <v>生物学的検体中の総細胞傷害性 T リンパ球に対する皮膚ホーミング細胞傷害性エフェクター記憶 T リンパ球の相対測定値 (比率またはパーセンテージ)。</v>
      </c>
      <c r="I4751" s="3" t="str">
        <f ca="1">IFERROR(__xludf.DUMMYFUNCTION("googletranslate(F4751,""en"",""ja"")"),"スキンホーミング細胞傷害性エフェクターメモリー T リンパ球と細胞傷害性 T リンパ球の比率の測定")</f>
        <v>スキンホーミング細胞傷害性エフェクターメモリー T リンパ球と細胞傷害性 T リンパ球の比率の測定</v>
      </c>
    </row>
    <row r="4752" spans="1:9" ht="45">
      <c r="A4752" s="3" t="s">
        <v>103</v>
      </c>
      <c r="B4752" s="3" t="s">
        <v>19499</v>
      </c>
      <c r="C4752" s="3" t="s">
        <v>19500</v>
      </c>
      <c r="D4752" s="3" t="s">
        <v>19501</v>
      </c>
      <c r="E4752" s="3" t="s">
        <v>19502</v>
      </c>
      <c r="F4752" s="3" t="s">
        <v>19503</v>
      </c>
      <c r="G4752" s="3" t="str">
        <f ca="1">IFERROR(__xludf.DUMMYFUNCTION("googletranslate(D4752,""en"",""ja"")"),"CD8 TPEX; T リンパ球の細胞毒性が枯渇した前駆体。 TLym Cytx Exh Pre")</f>
        <v>CD8 TPEX; T リンパ球の細胞毒性が枯渇した前駆体。 TLym Cytx Exh Pre</v>
      </c>
      <c r="H4752" s="3" t="str">
        <f ca="1">IFERROR(__xludf.DUMMYFUNCTION("googletranslate(E4752,""en"",""ja"")"),"生物学的標本中の細胞毒性が枯渇した前駆体 T リンパ球の測定。")</f>
        <v>生物学的標本中の細胞毒性が枯渇した前駆体 T リンパ球の測定。</v>
      </c>
      <c r="I4752" s="3" t="str">
        <f ca="1">IFERROR(__xludf.DUMMYFUNCTION("googletranslate(F4752,""en"",""ja"")"),"細胞毒性が枯渇した前駆体 T リンパ球数")</f>
        <v>細胞毒性が枯渇した前駆体 T リンパ球数</v>
      </c>
    </row>
    <row r="4753" spans="1:9" ht="60">
      <c r="A4753" s="3" t="s">
        <v>103</v>
      </c>
      <c r="B4753" s="3" t="s">
        <v>19504</v>
      </c>
      <c r="C4753" s="3" t="s">
        <v>19505</v>
      </c>
      <c r="D4753" s="3" t="s">
        <v>19506</v>
      </c>
      <c r="E4753" s="3" t="s">
        <v>19507</v>
      </c>
      <c r="F4753" s="3" t="s">
        <v>19508</v>
      </c>
      <c r="G4753" s="3" t="str">
        <f ca="1">IFERROR(__xludf.DUMMYFUNCTION("googletranslate(D4753,""en"",""ja"")"),"CD8 TPEX 部分母集団。 T リンパ球の細胞毒性が枯渇した前駆体サブ集団。 TLym Cytx Exh プレサブ")</f>
        <v>CD8 TPEX 部分母集団。 T リンパ球の細胞毒性が枯渇した前駆体サブ集団。 TLym Cytx Exh プレサブ</v>
      </c>
      <c r="H4753" s="3" t="str">
        <f ca="1">IFERROR(__xludf.DUMMYFUNCTION("googletranslate(E4753,""en"",""ja"")"),"生物学的標本中の細胞傷害性が枯渇した前駆体 T リンパ球の部分集団の測定。")</f>
        <v>生物学的標本中の細胞傷害性が枯渇した前駆体 T リンパ球の部分集団の測定。</v>
      </c>
      <c r="I4753" s="3" t="str">
        <f ca="1">IFERROR(__xludf.DUMMYFUNCTION("googletranslate(F4753,""en"",""ja"")"),"細胞毒性が枯渇した前駆体 T リンパ球部分集団数")</f>
        <v>細胞毒性が枯渇した前駆体 T リンパ球部分集団数</v>
      </c>
    </row>
    <row r="4754" spans="1:9" ht="75">
      <c r="A4754" s="3" t="s">
        <v>103</v>
      </c>
      <c r="B4754" s="3" t="s">
        <v>19509</v>
      </c>
      <c r="C4754" s="3" t="s">
        <v>19510</v>
      </c>
      <c r="D4754" s="3" t="s">
        <v>19511</v>
      </c>
      <c r="E4754" s="3" t="s">
        <v>19512</v>
      </c>
      <c r="F4754" s="3" t="s">
        <v>19513</v>
      </c>
      <c r="G4754" s="3" t="str">
        <f ca="1">IFERROR(__xludf.DUMMYFUNCTION("googletranslate(D4754,""en"",""ja"")"),"T リンパ球細胞毒性枯渇前駆体サブ集団/T リンパ球細胞毒性枯渇前駆体; TLym Cytx Exh Pre Sub/TLymCExhPre")</f>
        <v>T リンパ球細胞毒性枯渇前駆体サブ集団/T リンパ球細胞毒性枯渇前駆体; TLym Cytx Exh Pre Sub/TLymCExhPre</v>
      </c>
      <c r="H4754" s="3" t="str">
        <f ca="1">IFERROR(__xludf.DUMMYFUNCTION("googletranslate(E4754,""en"",""ja"")"),"生物学的検体中の総細胞傷害性枯渇前駆体 T リンパ球に対する細胞傷害性枯渇前駆体 T リンパ球の部分集団の相対測定値 (比率またはパーセンテージ)。")</f>
        <v>生物学的検体中の総細胞傷害性枯渇前駆体 T リンパ球に対する細胞傷害性枯渇前駆体 T リンパ球の部分集団の相対測定値 (比率またはパーセンテージ)。</v>
      </c>
      <c r="I4754" s="3" t="str">
        <f ca="1">IFERROR(__xludf.DUMMYFUNCTION("googletranslate(F4754,""en"",""ja"")"),"細胞傷害性枯渇前駆体 T リンパ球サブ集団と細胞傷害性枯渇前駆体 T リンパ球の比率の測定")</f>
        <v>細胞傷害性枯渇前駆体 T リンパ球サブ集団と細胞傷害性枯渇前駆体 T リンパ球の比率の測定</v>
      </c>
    </row>
    <row r="4755" spans="1:9" ht="60">
      <c r="A4755" s="3" t="s">
        <v>103</v>
      </c>
      <c r="B4755" s="3" t="s">
        <v>19514</v>
      </c>
      <c r="C4755" s="3" t="s">
        <v>19515</v>
      </c>
      <c r="D4755" s="3" t="s">
        <v>19516</v>
      </c>
      <c r="E4755" s="3" t="s">
        <v>19517</v>
      </c>
      <c r="F4755" s="3" t="s">
        <v>19518</v>
      </c>
      <c r="G4755" s="3" t="str">
        <f ca="1">IFERROR(__xludf.DUMMYFUNCTION("googletranslate(D4755,""en"",""ja"")"),"T リンパ球細胞毒性枯渇前駆体/T リンパ球細胞毒性; TLym Cytx Exh Pre/TLym Cytx")</f>
        <v>T リンパ球細胞毒性枯渇前駆体/T リンパ球細胞毒性; TLym Cytx Exh Pre/TLym Cytx</v>
      </c>
      <c r="H4755" s="3" t="str">
        <f ca="1">IFERROR(__xludf.DUMMYFUNCTION("googletranslate(E4755,""en"",""ja"")"),"生物学的検体中の細胞傷害性 T リンパ球に対する細胞傷害性枯渇前駆体 T リンパ球の相対測定値 (比率またはパーセンテージ)。")</f>
        <v>生物学的検体中の細胞傷害性 T リンパ球に対する細胞傷害性枯渇前駆体 T リンパ球の相対測定値 (比率またはパーセンテージ)。</v>
      </c>
      <c r="I4755" s="3" t="str">
        <f ca="1">IFERROR(__xludf.DUMMYFUNCTION("googletranslate(F4755,""en"",""ja"")"),"細胞傷害性枯渇前駆体 T リンパ球と細胞傷害性 T リンパ球の比率の測定")</f>
        <v>細胞傷害性枯渇前駆体 T リンパ球と細胞傷害性 T リンパ球の比率の測定</v>
      </c>
    </row>
    <row r="4756" spans="1:9" ht="60">
      <c r="A4756" s="3" t="s">
        <v>103</v>
      </c>
      <c r="B4756" s="3" t="s">
        <v>19519</v>
      </c>
      <c r="C4756" s="3" t="s">
        <v>19520</v>
      </c>
      <c r="D4756" s="3" t="s">
        <v>19521</v>
      </c>
      <c r="E4756" s="3" t="s">
        <v>19522</v>
      </c>
      <c r="F4756" s="3" t="s">
        <v>19523</v>
      </c>
      <c r="G4756" s="3" t="str">
        <f ca="1">IFERROR(__xludf.DUMMYFUNCTION("googletranslate(D4756,""en"",""ja"")"),"T 細胞因子 1 の発現; T細胞第7因子の発現; TCF-1 の発現; TCF-7 の発現; TCF1 発現; TCF7の発現")</f>
        <v>T 細胞因子 1 の発現; T細胞第7因子の発現; TCF-1 の発現; TCF-7 の発現; TCF1 発現; TCF7の発現</v>
      </c>
      <c r="H4756" s="3" t="str">
        <f ca="1">IFERROR(__xludf.DUMMYFUNCTION("googletranslate(E4756,""en"",""ja"")"),"生物学的標本における細胞の TCF7 発現の測定。")</f>
        <v>生物学的標本における細胞の TCF7 発現の測定。</v>
      </c>
      <c r="I4756" s="3" t="str">
        <f ca="1">IFERROR(__xludf.DUMMYFUNCTION("googletranslate(F4756,""en"",""ja"")"),"転写因子7発現測定")</f>
        <v>転写因子7発現測定</v>
      </c>
    </row>
    <row r="4757" spans="1:9" ht="30">
      <c r="A4757" s="3" t="s">
        <v>6</v>
      </c>
      <c r="B4757" s="3" t="s">
        <v>19524</v>
      </c>
      <c r="C4757" s="3" t="s">
        <v>19525</v>
      </c>
      <c r="D4757" s="3" t="s">
        <v>19526</v>
      </c>
      <c r="E4757" s="3" t="s">
        <v>19527</v>
      </c>
      <c r="F4757" s="3" t="s">
        <v>19528</v>
      </c>
      <c r="G4757" s="3" t="str">
        <f ca="1">IFERROR(__xludf.DUMMYFUNCTION("googletranslate(D4757,""en"",""ja"")"),"タウロコール酸;タウロコール酸")</f>
        <v>タウロコール酸;タウロコール酸</v>
      </c>
      <c r="H4757" s="3" t="str">
        <f ca="1">IFERROR(__xludf.DUMMYFUNCTION("googletranslate(E4757,""en"",""ja"")"),"生物学的標本中のタウロコール酸の測定。")</f>
        <v>生物学的標本中のタウロコール酸の測定。</v>
      </c>
      <c r="I4757" s="3" t="str">
        <f ca="1">IFERROR(__xludf.DUMMYFUNCTION("googletranslate(F4757,""en"",""ja"")"),"タウロコール酸の測定")</f>
        <v>タウロコール酸の測定</v>
      </c>
    </row>
    <row r="4758" spans="1:9" ht="30">
      <c r="A4758" s="3" t="s">
        <v>103</v>
      </c>
      <c r="B4758" s="3" t="s">
        <v>19529</v>
      </c>
      <c r="C4758" s="3" t="s">
        <v>19530</v>
      </c>
      <c r="D4758" s="3" t="s">
        <v>19531</v>
      </c>
      <c r="E4758" s="3" t="s">
        <v>19532</v>
      </c>
      <c r="F4758" s="3" t="s">
        <v>19533</v>
      </c>
      <c r="G4758" s="3" t="str">
        <f ca="1">IFERROR(__xludf.DUMMYFUNCTION("googletranslate(D4758,""en"",""ja"")"),"T リンパ球の細胞傷害性記憶腸ホーミング。 TLym Cytx Mem GH")</f>
        <v>T リンパ球の細胞傷害性記憶腸ホーミング。 TLym Cytx Mem GH</v>
      </c>
      <c r="H4758" s="3" t="str">
        <f ca="1">IFERROR(__xludf.DUMMYFUNCTION("googletranslate(E4758,""en"",""ja"")"),"生物学的標本中の腸ホーミング細胞傷害性メモリー T リンパ球の測定。")</f>
        <v>生物学的標本中の腸ホーミング細胞傷害性メモリー T リンパ球の測定。</v>
      </c>
      <c r="I4758" s="3" t="str">
        <f ca="1">IFERROR(__xludf.DUMMYFUNCTION("googletranslate(F4758,""en"",""ja"")"),"腸ホーミング細胞毒性記憶 T リンパ球数")</f>
        <v>腸ホーミング細胞毒性記憶 T リンパ球数</v>
      </c>
    </row>
    <row r="4759" spans="1:9" ht="45">
      <c r="A4759" s="3" t="s">
        <v>103</v>
      </c>
      <c r="B4759" s="3" t="s">
        <v>19534</v>
      </c>
      <c r="C4759" s="3" t="s">
        <v>19535</v>
      </c>
      <c r="D4759" s="3" t="s">
        <v>19536</v>
      </c>
      <c r="E4759" s="3" t="s">
        <v>19537</v>
      </c>
      <c r="F4759" s="3" t="s">
        <v>19538</v>
      </c>
      <c r="G4759" s="3" t="str">
        <f ca="1">IFERROR(__xludf.DUMMYFUNCTION("googletranslate(D4759,""en"",""ja"")"),"T リンパ球細胞傷害性記憶腸ホーミング亜集団。 TLym Cytx Mem GH サブ")</f>
        <v>T リンパ球細胞傷害性記憶腸ホーミング亜集団。 TLym Cytx Mem GH サブ</v>
      </c>
      <c r="H4759" s="3" t="str">
        <f ca="1">IFERROR(__xludf.DUMMYFUNCTION("googletranslate(E4759,""en"",""ja"")"),"生物学的標本中の腸ホーミング細胞傷害性記憶 T リンパ球の部分集団の測定。")</f>
        <v>生物学的標本中の腸ホーミング細胞傷害性記憶 T リンパ球の部分集団の測定。</v>
      </c>
      <c r="I4759" s="3" t="str">
        <f ca="1">IFERROR(__xludf.DUMMYFUNCTION("googletranslate(F4759,""en"",""ja"")"),"腸ホーミング細胞傷害性記憶 T リンパ球部分集団数")</f>
        <v>腸ホーミング細胞傷害性記憶 T リンパ球部分集団数</v>
      </c>
    </row>
    <row r="4760" spans="1:9" ht="90">
      <c r="A4760" s="3" t="s">
        <v>103</v>
      </c>
      <c r="B4760" s="3" t="s">
        <v>19539</v>
      </c>
      <c r="C4760" s="3" t="s">
        <v>19540</v>
      </c>
      <c r="D4760" s="3" t="s">
        <v>19541</v>
      </c>
      <c r="E4760" s="3" t="s">
        <v>19542</v>
      </c>
      <c r="F4760" s="3" t="s">
        <v>19543</v>
      </c>
      <c r="G4760" s="3" t="str">
        <f ca="1">IFERROR(__xludf.DUMMYFUNCTION("googletranslate(D4760,""en"",""ja"")"),"T リンパ球の細胞傷害性記憶腸ホーミング亜集団/T リンパ球細胞傷害性記憶腸管ホーミング。 TLym Cytx Mem GH サブ/TLym Cytx Mem GH; TLym Cytx Mem GH サブ/TLymCMGH")</f>
        <v>T リンパ球の細胞傷害性記憶腸ホーミング亜集団/T リンパ球細胞傷害性記憶腸管ホーミング。 TLym Cytx Mem GH サブ/TLym Cytx Mem GH; TLym Cytx Mem GH サブ/TLymCMGH</v>
      </c>
      <c r="H4760" s="3" t="str">
        <f ca="1">IFERROR(__xludf.DUMMYFUNCTION("googletranslate(E4760,""en"",""ja"")"),"生物学的検体中の総腸管ホーミング細胞傷害性メモリー T リンパ球に対する腸管ホーミング細胞傷害性メモリー T リンパ球の部分集団の相対測定値 (比率またはパーセンテージ)。")</f>
        <v>生物学的検体中の総腸管ホーミング細胞傷害性メモリー T リンパ球に対する腸管ホーミング細胞傷害性メモリー T リンパ球の部分集団の相対測定値 (比率またはパーセンテージ)。</v>
      </c>
      <c r="I4760" s="3" t="str">
        <f ca="1">IFERROR(__xludf.DUMMYFUNCTION("googletranslate(F4760,""en"",""ja"")"),"腸ホーミング細胞傷害性メモリー T リンパ球部分集団と腸ホーミング細胞傷害性メモリー T リンパ球の比率の測定")</f>
        <v>腸ホーミング細胞傷害性メモリー T リンパ球部分集団と腸ホーミング細胞傷害性メモリー T リンパ球の比率の測定</v>
      </c>
    </row>
    <row r="4761" spans="1:9" ht="75">
      <c r="A4761" s="3" t="s">
        <v>103</v>
      </c>
      <c r="B4761" s="3" t="s">
        <v>19544</v>
      </c>
      <c r="C4761" s="3" t="s">
        <v>19545</v>
      </c>
      <c r="D4761" s="3" t="s">
        <v>19546</v>
      </c>
      <c r="E4761" s="3" t="s">
        <v>19547</v>
      </c>
      <c r="F4761" s="3" t="s">
        <v>19548</v>
      </c>
      <c r="G4761" s="3" t="str">
        <f ca="1">IFERROR(__xludf.DUMMYFUNCTION("googletranslate(D4761,""en"",""ja"")"),"T リンパ球細胞傷害性記憶腸ホーミング亜集団/T リンパ球細胞傷害性; TLym Cytx Mem GH サブ/TLym Cytx; TLym Cytx Mem GH サブ/TLymC")</f>
        <v>T リンパ球細胞傷害性記憶腸ホーミング亜集団/T リンパ球細胞傷害性; TLym Cytx Mem GH サブ/TLym Cytx; TLym Cytx Mem GH サブ/TLymC</v>
      </c>
      <c r="H4761" s="3" t="str">
        <f ca="1">IFERROR(__xludf.DUMMYFUNCTION("googletranslate(E4761,""en"",""ja"")"),"生物学的標本中の総細胞傷害性 T リンパ球に対する腸ホーミング細胞傷害性記憶 T リンパ球の部分集団の相対測定値 (比率またはパーセンテージ)。")</f>
        <v>生物学的標本中の総細胞傷害性 T リンパ球に対する腸ホーミング細胞傷害性記憶 T リンパ球の部分集団の相対測定値 (比率またはパーセンテージ)。</v>
      </c>
      <c r="I4761" s="3" t="str">
        <f ca="1">IFERROR(__xludf.DUMMYFUNCTION("googletranslate(F4761,""en"",""ja"")"),"腸ホーミング細胞傷害性記憶 T リンパ球部分集団と細胞傷害性 T リンパ球の比率の測定")</f>
        <v>腸ホーミング細胞傷害性記憶 T リンパ球部分集団と細胞傷害性 T リンパ球の比率の測定</v>
      </c>
    </row>
    <row r="4762" spans="1:9" ht="60">
      <c r="A4762" s="3" t="s">
        <v>103</v>
      </c>
      <c r="B4762" s="3" t="s">
        <v>19549</v>
      </c>
      <c r="C4762" s="3" t="s">
        <v>19550</v>
      </c>
      <c r="D4762" s="3" t="s">
        <v>19551</v>
      </c>
      <c r="E4762" s="3" t="s">
        <v>19552</v>
      </c>
      <c r="F4762" s="3" t="s">
        <v>19553</v>
      </c>
      <c r="G4762" s="3" t="str">
        <f ca="1">IFERROR(__xludf.DUMMYFUNCTION("googletranslate(D4762,""en"",""ja"")"),"T リンパ球細胞毒性記憶腸ホーミング/T リンパ球細胞毒性; TLym Cytx Mem GH/TLym Cytx; TLym Cytx メモリ GH/TLymC")</f>
        <v>T リンパ球細胞毒性記憶腸ホーミング/T リンパ球細胞毒性; TLym Cytx Mem GH/TLym Cytx; TLym Cytx メモリ GH/TLymC</v>
      </c>
      <c r="H4762" s="3" t="str">
        <f ca="1">IFERROR(__xludf.DUMMYFUNCTION("googletranslate(E4762,""en"",""ja"")"),"生物学的検体中の総細胞傷害性 T リンパ球に対する腸ホーミング細胞傷害性メモリー T リンパ球の相対測定値 (比率またはパーセンテージ)。")</f>
        <v>生物学的検体中の総細胞傷害性 T リンパ球に対する腸ホーミング細胞傷害性メモリー T リンパ球の相対測定値 (比率またはパーセンテージ)。</v>
      </c>
      <c r="I4762" s="3" t="str">
        <f ca="1">IFERROR(__xludf.DUMMYFUNCTION("googletranslate(F4762,""en"",""ja"")"),"腸ホーミング細胞傷害性記憶 T リンパ球と細胞傷害性 T リンパ球の比率の測定")</f>
        <v>腸ホーミング細胞傷害性記憶 T リンパ球と細胞傷害性 T リンパ球の比率の測定</v>
      </c>
    </row>
    <row r="4763" spans="1:9" ht="75">
      <c r="A4763" s="3" t="s">
        <v>103</v>
      </c>
      <c r="B4763" s="3" t="s">
        <v>19554</v>
      </c>
      <c r="C4763" s="3" t="s">
        <v>19555</v>
      </c>
      <c r="D4763" s="3" t="s">
        <v>19556</v>
      </c>
      <c r="E4763" s="3" t="s">
        <v>19557</v>
      </c>
      <c r="F4763" s="3" t="s">
        <v>19558</v>
      </c>
      <c r="G4763" s="3" t="str">
        <f ca="1">IFERROR(__xludf.DUMMYFUNCTION("googletranslate(D4763,""en"",""ja"")"),"T リンパ球の細胞傷害性記憶 腸ホーミング/T リンパ球の細胞傷害性記憶。 TLym Cytx メモリ GH/TLym Cytx メモリ; TLym Cytx メモリ GH/TLymCM")</f>
        <v>T リンパ球の細胞傷害性記憶 腸ホーミング/T リンパ球の細胞傷害性記憶。 TLym Cytx メモリ GH/TLym Cytx メモリ; TLym Cytx メモリ GH/TLymCM</v>
      </c>
      <c r="H4763" s="3" t="str">
        <f ca="1">IFERROR(__xludf.DUMMYFUNCTION("googletranslate(E4763,""en"",""ja"")"),"生物学的検体中の総細胞傷害性メモリー T リンパ球に対する腸ホーミング細胞傷害性メモリー T リンパ球の相対測定値 (比率またはパーセンテージ)。")</f>
        <v>生物学的検体中の総細胞傷害性メモリー T リンパ球に対する腸ホーミング細胞傷害性メモリー T リンパ球の相対測定値 (比率またはパーセンテージ)。</v>
      </c>
      <c r="I4763" s="3" t="str">
        <f ca="1">IFERROR(__xludf.DUMMYFUNCTION("googletranslate(F4763,""en"",""ja"")"),"腸ホーミング細胞傷害性記憶 T リンパ球と細胞傷害性記憶 T リンパ球の比率の測定")</f>
        <v>腸ホーミング細胞傷害性記憶 T リンパ球と細胞傷害性記憶 T リンパ球の比率の測定</v>
      </c>
    </row>
    <row r="4764" spans="1:9" ht="45">
      <c r="A4764" s="3" t="s">
        <v>103</v>
      </c>
      <c r="B4764" s="3" t="s">
        <v>19559</v>
      </c>
      <c r="C4764" s="3" t="s">
        <v>19560</v>
      </c>
      <c r="D4764" s="3" t="s">
        <v>19561</v>
      </c>
      <c r="E4764" s="3" t="s">
        <v>19562</v>
      </c>
      <c r="F4764" s="3" t="s">
        <v>19563</v>
      </c>
      <c r="G4764" s="3" t="str">
        <f ca="1">IFERROR(__xludf.DUMMYFUNCTION("googletranslate(D4764,""en"",""ja"")"),"T リンパ球の細胞傷害性記憶皮膚ホーミング。 TLym Cytx Mem SH")</f>
        <v>T リンパ球の細胞傷害性記憶皮膚ホーミング。 TLym Cytx Mem SH</v>
      </c>
      <c r="H4764" s="3" t="str">
        <f ca="1">IFERROR(__xludf.DUMMYFUNCTION("googletranslate(E4764,""en"",""ja"")"),"生物学的標本中の皮膚ホーミング細胞傷害性記憶 T リンパ球の測定。")</f>
        <v>生物学的標本中の皮膚ホーミング細胞傷害性記憶 T リンパ球の測定。</v>
      </c>
      <c r="I4764" s="3" t="str">
        <f ca="1">IFERROR(__xludf.DUMMYFUNCTION("googletranslate(F4764,""en"",""ja"")"),"皮膚ホーミング細胞毒性記憶 T リンパ球数")</f>
        <v>皮膚ホーミング細胞毒性記憶 T リンパ球数</v>
      </c>
    </row>
    <row r="4765" spans="1:9" ht="45">
      <c r="A4765" s="3" t="s">
        <v>103</v>
      </c>
      <c r="B4765" s="3" t="s">
        <v>19564</v>
      </c>
      <c r="C4765" s="3" t="s">
        <v>19565</v>
      </c>
      <c r="D4765" s="3" t="s">
        <v>19566</v>
      </c>
      <c r="E4765" s="3" t="s">
        <v>19567</v>
      </c>
      <c r="F4765" s="3" t="s">
        <v>19568</v>
      </c>
      <c r="G4765" s="3" t="str">
        <f ca="1">IFERROR(__xludf.DUMMYFUNCTION("googletranslate(D4765,""en"",""ja"")"),"T リンパ球細胞傷害性記憶皮膚ホーミング亜集団。 TLym Cytx Mem SH サブ")</f>
        <v>T リンパ球細胞傷害性記憶皮膚ホーミング亜集団。 TLym Cytx Mem SH サブ</v>
      </c>
      <c r="H4765" s="3" t="str">
        <f ca="1">IFERROR(__xludf.DUMMYFUNCTION("googletranslate(E4765,""en"",""ja"")"),"生物学的標本中の皮膚ホーミング細胞傷害性記憶 T リンパ球の部分集団の測定。")</f>
        <v>生物学的標本中の皮膚ホーミング細胞傷害性記憶 T リンパ球の部分集団の測定。</v>
      </c>
      <c r="I4765" s="3" t="str">
        <f ca="1">IFERROR(__xludf.DUMMYFUNCTION("googletranslate(F4765,""en"",""ja"")"),"皮膚ホーミング細胞傷害性記憶 T リンパ球部分集団数")</f>
        <v>皮膚ホーミング細胞傷害性記憶 T リンパ球部分集団数</v>
      </c>
    </row>
    <row r="4766" spans="1:9" ht="90">
      <c r="A4766" s="3" t="s">
        <v>103</v>
      </c>
      <c r="B4766" s="3" t="s">
        <v>19569</v>
      </c>
      <c r="C4766" s="3" t="s">
        <v>19570</v>
      </c>
      <c r="D4766" s="3" t="s">
        <v>19571</v>
      </c>
      <c r="E4766" s="3" t="s">
        <v>19572</v>
      </c>
      <c r="F4766" s="3" t="s">
        <v>19573</v>
      </c>
      <c r="G4766" s="3" t="str">
        <f ca="1">IFERROR(__xludf.DUMMYFUNCTION("googletranslate(D4766,""en"",""ja"")"),"T リンパ球細胞傷害性記憶スキン ホーミング サブ集団/T リンパ球細胞傷害性記憶スキン ホーミング; TLym Cytx Mem SH サブ/TLym Cytx Mem SH; TLym Cytx Mem SH サブ/TLymCMSH")</f>
        <v>T リンパ球細胞傷害性記憶スキン ホーミング サブ集団/T リンパ球細胞傷害性記憶スキン ホーミング; TLym Cytx Mem SH サブ/TLym Cytx Mem SH; TLym Cytx Mem SH サブ/TLymCMSH</v>
      </c>
      <c r="H4766" s="3" t="str">
        <f ca="1">IFERROR(__xludf.DUMMYFUNCTION("googletranslate(E4766,""en"",""ja"")"),"生物学的標本中の皮膚ホーミング細胞傷害性メモリー T リンパ球の総数に対する皮膚ホーミング細胞傷害性メモリー T リンパ球の部分集団の相対測定値 (比率またはパーセンテージ)。")</f>
        <v>生物学的標本中の皮膚ホーミング細胞傷害性メモリー T リンパ球の総数に対する皮膚ホーミング細胞傷害性メモリー T リンパ球の部分集団の相対測定値 (比率またはパーセンテージ)。</v>
      </c>
      <c r="I4766" s="3" t="str">
        <f ca="1">IFERROR(__xludf.DUMMYFUNCTION("googletranslate(F4766,""en"",""ja"")"),"皮膚ホーミング細胞傷害性記憶 T リンパ球部分集団と皮膚ホーミング細胞傷害性記憶 T リンパ球の比率の測定")</f>
        <v>皮膚ホーミング細胞傷害性記憶 T リンパ球部分集団と皮膚ホーミング細胞傷害性記憶 T リンパ球の比率の測定</v>
      </c>
    </row>
    <row r="4767" spans="1:9" ht="75">
      <c r="A4767" s="3" t="s">
        <v>103</v>
      </c>
      <c r="B4767" s="3" t="s">
        <v>19574</v>
      </c>
      <c r="C4767" s="3" t="s">
        <v>19575</v>
      </c>
      <c r="D4767" s="3" t="s">
        <v>19576</v>
      </c>
      <c r="E4767" s="3" t="s">
        <v>19577</v>
      </c>
      <c r="F4767" s="3" t="s">
        <v>19578</v>
      </c>
      <c r="G4767" s="3" t="str">
        <f ca="1">IFERROR(__xludf.DUMMYFUNCTION("googletranslate(D4767,""en"",""ja"")"),"T リンパ球細胞傷害性記憶皮膚ホーミング亜集団/T リンパ球細胞傷害性; TLym Cytx Mem SH サブ/TLym Cytx; TLym Cytx Mem SH サブ/TLymC")</f>
        <v>T リンパ球細胞傷害性記憶皮膚ホーミング亜集団/T リンパ球細胞傷害性; TLym Cytx Mem SH サブ/TLym Cytx; TLym Cytx Mem SH サブ/TLymC</v>
      </c>
      <c r="H4767" s="3" t="str">
        <f ca="1">IFERROR(__xludf.DUMMYFUNCTION("googletranslate(E4767,""en"",""ja"")"),"生物学的標本中の総細胞傷害性 T リンパ球に対する皮膚ホーミング細胞傷害性記憶 T リンパ球の部分集団の相対測定値 (比率またはパーセンテージ)。")</f>
        <v>生物学的標本中の総細胞傷害性 T リンパ球に対する皮膚ホーミング細胞傷害性記憶 T リンパ球の部分集団の相対測定値 (比率またはパーセンテージ)。</v>
      </c>
      <c r="I4767" s="3" t="str">
        <f ca="1">IFERROR(__xludf.DUMMYFUNCTION("googletranslate(F4767,""en"",""ja"")"),"スキンホーミング細胞傷害性メモリー T リンパ球部分集団と細胞傷害性 T リンパ球の比率の測定")</f>
        <v>スキンホーミング細胞傷害性メモリー T リンパ球部分集団と細胞傷害性 T リンパ球の比率の測定</v>
      </c>
    </row>
    <row r="4768" spans="1:9" ht="60">
      <c r="A4768" s="3" t="s">
        <v>103</v>
      </c>
      <c r="B4768" s="3" t="s">
        <v>19579</v>
      </c>
      <c r="C4768" s="3" t="s">
        <v>19580</v>
      </c>
      <c r="D4768" s="3" t="s">
        <v>19581</v>
      </c>
      <c r="E4768" s="3" t="s">
        <v>19582</v>
      </c>
      <c r="F4768" s="3" t="s">
        <v>19583</v>
      </c>
      <c r="G4768" s="3" t="str">
        <f ca="1">IFERROR(__xludf.DUMMYFUNCTION("googletranslate(D4768,""en"",""ja"")"),"T リンパ球細胞毒性メモリースキンホーミング/T リンパ球細胞毒性; TLym Cytx Mem SH/TLym Cytx; TLym Cytx メモリ SH/TLymC")</f>
        <v>T リンパ球細胞毒性メモリースキンホーミング/T リンパ球細胞毒性; TLym Cytx Mem SH/TLym Cytx; TLym Cytx メモリ SH/TLymC</v>
      </c>
      <c r="H4768" s="3" t="str">
        <f ca="1">IFERROR(__xludf.DUMMYFUNCTION("googletranslate(E4768,""en"",""ja"")"),"生物学的検体中の総細胞傷害性 T リンパ球に対する皮膚ホーミング細胞傷害性メモリー T リンパ球の相対測定値 (比率またはパーセンテージ)。")</f>
        <v>生物学的検体中の総細胞傷害性 T リンパ球に対する皮膚ホーミング細胞傷害性メモリー T リンパ球の相対測定値 (比率またはパーセンテージ)。</v>
      </c>
      <c r="I4768" s="3" t="str">
        <f ca="1">IFERROR(__xludf.DUMMYFUNCTION("googletranslate(F4768,""en"",""ja"")"),"スキンホーミング細胞傷害性記憶 T リンパ球と細胞傷害性 T リンパ球の比率の測定")</f>
        <v>スキンホーミング細胞傷害性記憶 T リンパ球と細胞傷害性 T リンパ球の比率の測定</v>
      </c>
    </row>
    <row r="4769" spans="1:9" ht="75">
      <c r="A4769" s="3" t="s">
        <v>103</v>
      </c>
      <c r="B4769" s="3" t="s">
        <v>19584</v>
      </c>
      <c r="C4769" s="3" t="s">
        <v>19585</v>
      </c>
      <c r="D4769" s="3" t="s">
        <v>19586</v>
      </c>
      <c r="E4769" s="3" t="s">
        <v>19587</v>
      </c>
      <c r="F4769" s="3" t="s">
        <v>19588</v>
      </c>
      <c r="G4769" s="3" t="str">
        <f ca="1">IFERROR(__xludf.DUMMYFUNCTION("googletranslate(D4769,""en"",""ja"")"),"T リンパ球細胞傷害性膜皮膚ホーミング/T リンパ球細胞傷害性記憶。 TLym Cytx メモリ SH/TLym Cytx メモリ; TLym Cytx メモリ SH/TLymCM")</f>
        <v>T リンパ球細胞傷害性膜皮膚ホーミング/T リンパ球細胞傷害性記憶。 TLym Cytx メモリ SH/TLym Cytx メモリ; TLym Cytx メモリ SH/TLymCM</v>
      </c>
      <c r="H4769" s="3" t="str">
        <f ca="1">IFERROR(__xludf.DUMMYFUNCTION("googletranslate(E4769,""en"",""ja"")"),"生物学的検体中の総細胞傷害性メモリー T リンパ球に対する皮膚ホーミング細胞傷害性メモリー T リンパ球の相対測定値 (比率またはパーセンテージ)。")</f>
        <v>生物学的検体中の総細胞傷害性メモリー T リンパ球に対する皮膚ホーミング細胞傷害性メモリー T リンパ球の相対測定値 (比率またはパーセンテージ)。</v>
      </c>
      <c r="I4769" s="3" t="str">
        <f ca="1">IFERROR(__xludf.DUMMYFUNCTION("googletranslate(F4769,""en"",""ja"")"),"スキンホーミング細胞傷害性記憶 T リンパ球と細胞傷害性記憶 T リンパ球の比率の測定")</f>
        <v>スキンホーミング細胞傷害性記憶 T リンパ球と細胞傷害性記憶 T リンパ球の比率の測定</v>
      </c>
    </row>
    <row r="4770" spans="1:9" ht="30">
      <c r="A4770" s="3" t="s">
        <v>503</v>
      </c>
      <c r="B4770" s="3" t="s">
        <v>19589</v>
      </c>
      <c r="C4770" s="3" t="s">
        <v>19590</v>
      </c>
      <c r="D4770" s="3" t="s">
        <v>19590</v>
      </c>
      <c r="E4770" s="3" t="s">
        <v>19591</v>
      </c>
      <c r="F4770" s="3" t="s">
        <v>19590</v>
      </c>
      <c r="G4770" s="3" t="str">
        <f ca="1">IFERROR(__xludf.DUMMYFUNCTION("googletranslate(D4770,""en"",""ja"")"),"禁煙カウンセリング指標")</f>
        <v>禁煙カウンセリング指標</v>
      </c>
      <c r="H4770" s="3" t="str">
        <f ca="1">IFERROR(__xludf.DUMMYFUNCTION("googletranslate(E4770,""en"",""ja"")"),"個人が禁煙カウンセリングを受けているかどうかに関する指標。")</f>
        <v>個人が禁煙カウンセリングを受けているかどうかに関する指標。</v>
      </c>
      <c r="I4770" s="3" t="str">
        <f ca="1">IFERROR(__xludf.DUMMYFUNCTION("googletranslate(F4770,""en"",""ja"")"),"禁煙カウンセリング指標")</f>
        <v>禁煙カウンセリング指標</v>
      </c>
    </row>
    <row r="4771" spans="1:9" ht="60">
      <c r="A4771" s="3" t="s">
        <v>103</v>
      </c>
      <c r="B4771" s="3" t="s">
        <v>19592</v>
      </c>
      <c r="C4771" s="3" t="s">
        <v>19593</v>
      </c>
      <c r="D4771" s="3" t="s">
        <v>19594</v>
      </c>
      <c r="E4771" s="3" t="s">
        <v>19595</v>
      </c>
      <c r="F4771" s="3" t="s">
        <v>19596</v>
      </c>
      <c r="G4771" s="3" t="str">
        <f ca="1">IFERROR(__xludf.DUMMYFUNCTION("googletranslate(D4771,""en"",""ja"")"),"T リンパ球細胞傷害性サブ集団/T リンパ球細胞傷害性サブ集団; TLym Cytx サブ/TLym Cytx サブ")</f>
        <v>T リンパ球細胞傷害性サブ集団/T リンパ球細胞傷害性サブ集団; TLym Cytx サブ/TLym Cytx サブ</v>
      </c>
      <c r="H4771" s="3" t="str">
        <f ca="1">IFERROR(__xludf.DUMMYFUNCTION("googletranslate(E4771,""en"",""ja"")"),"生物学的標本中の細胞傷害性 T リンパ球の部分集団に対する細胞傷害性 T リンパ球の部分集団の相対的な測定値 (比率またはパーセンテージ)。")</f>
        <v>生物学的標本中の細胞傷害性 T リンパ球の部分集団に対する細胞傷害性 T リンパ球の部分集団の相対的な測定値 (比率またはパーセンテージ)。</v>
      </c>
      <c r="I4771" s="3" t="str">
        <f ca="1">IFERROR(__xludf.DUMMYFUNCTION("googletranslate(F4771,""en"",""ja"")"),"細胞傷害性Tリンパ球部分集団と細胞傷害性Tリンパ球部分集団の比率の測定")</f>
        <v>細胞傷害性Tリンパ球部分集団と細胞傷害性Tリンパ球部分集団の比率の測定</v>
      </c>
    </row>
    <row r="4772" spans="1:9" ht="60">
      <c r="A4772" s="3" t="s">
        <v>103</v>
      </c>
      <c r="B4772" s="3" t="s">
        <v>19597</v>
      </c>
      <c r="C4772" s="3" t="s">
        <v>19598</v>
      </c>
      <c r="D4772" s="3" t="s">
        <v>19599</v>
      </c>
      <c r="E4772" s="3" t="s">
        <v>19600</v>
      </c>
      <c r="F4772" s="3" t="s">
        <v>19601</v>
      </c>
      <c r="G4772" s="3" t="str">
        <f ca="1">IFERROR(__xludf.DUMMYFUNCTION("googletranslate(D4772,""en"",""ja"")"),"T リンパ球細胞傷害性サブ集団/T リンパ球サブ集団; TLym Cytx サブ/TLym サブ")</f>
        <v>T リンパ球細胞傷害性サブ集団/T リンパ球サブ集団; TLym Cytx サブ/TLym サブ</v>
      </c>
      <c r="H4772" s="3" t="str">
        <f ca="1">IFERROR(__xludf.DUMMYFUNCTION("googletranslate(E4772,""en"",""ja"")"),"生物学的標本中の T リンパ球の部分集団に対する細胞傷害性 T リンパ球の部分集団の相対的な測定値 (比率またはパーセンテージ)。")</f>
        <v>生物学的標本中の T リンパ球の部分集団に対する細胞傷害性 T リンパ球の部分集団の相対的な測定値 (比率またはパーセンテージ)。</v>
      </c>
      <c r="I4772" s="3" t="str">
        <f ca="1">IFERROR(__xludf.DUMMYFUNCTION("googletranslate(F4772,""en"",""ja"")"),"細胞傷害性 T リンパ球サブ集団と T リンパ球サブ集団の比率の測定")</f>
        <v>細胞傷害性 T リンパ球サブ集団と T リンパ球サブ集団の比率の測定</v>
      </c>
    </row>
    <row r="4773" spans="1:9" ht="45">
      <c r="A4773" s="3" t="s">
        <v>103</v>
      </c>
      <c r="B4773" s="3" t="s">
        <v>19602</v>
      </c>
      <c r="C4773" s="3" t="s">
        <v>19603</v>
      </c>
      <c r="D4773" s="3" t="s">
        <v>19604</v>
      </c>
      <c r="E4773" s="3" t="s">
        <v>19605</v>
      </c>
      <c r="F4773" s="3" t="s">
        <v>19606</v>
      </c>
      <c r="G4773" s="3" t="str">
        <f ca="1">IFERROR(__xludf.DUMMYFUNCTION("googletranslate(D4773,""en"",""ja"")"),"細胞傷害性の最終分化した T リンパ球は枯渇します。 TLym Cytx 用語差分 Exh")</f>
        <v>細胞傷害性の最終分化した T リンパ球は枯渇します。 TLym Cytx 用語差分 Exh</v>
      </c>
      <c r="H4773" s="3" t="str">
        <f ca="1">IFERROR(__xludf.DUMMYFUNCTION("googletranslate(E4773,""en"",""ja"")"),"生物学的標本中の細胞傷害性の最終分化した枯渇した T リンパ球の測定。")</f>
        <v>生物学的標本中の細胞傷害性の最終分化した枯渇した T リンパ球の測定。</v>
      </c>
      <c r="I4773" s="3" t="str">
        <f ca="1">IFERROR(__xludf.DUMMYFUNCTION("googletranslate(F4773,""en"",""ja"")"),"細胞毒性の最終分化した枯渇した T リンパ球数")</f>
        <v>細胞毒性の最終分化した枯渇した T リンパ球数</v>
      </c>
    </row>
    <row r="4774" spans="1:9" ht="60">
      <c r="A4774" s="3" t="s">
        <v>103</v>
      </c>
      <c r="B4774" s="3" t="s">
        <v>19607</v>
      </c>
      <c r="C4774" s="3" t="s">
        <v>19608</v>
      </c>
      <c r="D4774" s="3" t="s">
        <v>19609</v>
      </c>
      <c r="E4774" s="3" t="s">
        <v>19610</v>
      </c>
      <c r="F4774" s="3" t="s">
        <v>19611</v>
      </c>
      <c r="G4774" s="3" t="str">
        <f ca="1">IFERROR(__xludf.DUMMYFUNCTION("googletranslate(D4774,""en"",""ja"")"),"T リンパ球細胞傷害性の最終分化した枯渇した部分集団。 TLym Cytx 用語 Diff Exh Sub")</f>
        <v>T リンパ球細胞傷害性の最終分化した枯渇した部分集団。 TLym Cytx 用語 Diff Exh Sub</v>
      </c>
      <c r="H4774" s="3" t="str">
        <f ca="1">IFERROR(__xludf.DUMMYFUNCTION("googletranslate(E4774,""en"",""ja"")"),"生物学的標本中の細胞傷害性の最終分化した枯渇した T リンパ球の部分集団の測定。")</f>
        <v>生物学的標本中の細胞傷害性の最終分化した枯渇した T リンパ球の部分集団の測定。</v>
      </c>
      <c r="I4774" s="3" t="str">
        <f ca="1">IFERROR(__xludf.DUMMYFUNCTION("googletranslate(F4774,""en"",""ja"")"),"細胞傷害性の最終分化した枯渇した T リンパ球部分集団の数")</f>
        <v>細胞傷害性の最終分化した枯渇した T リンパ球部分集団の数</v>
      </c>
    </row>
    <row r="4775" spans="1:9" ht="105">
      <c r="A4775" s="3" t="s">
        <v>103</v>
      </c>
      <c r="B4775" s="3" t="s">
        <v>19612</v>
      </c>
      <c r="C4775" s="3" t="s">
        <v>19613</v>
      </c>
      <c r="D4775" s="3" t="s">
        <v>19614</v>
      </c>
      <c r="E4775" s="3" t="s">
        <v>19615</v>
      </c>
      <c r="F4775" s="3" t="s">
        <v>19616</v>
      </c>
      <c r="G4775" s="3" t="str">
        <f ca="1">IFERROR(__xludf.DUMMYFUNCTION("googletranslate(D4775,""en"",""ja"")"),"細胞毒性のある最終分化型の枯渇した T リンパ球/細胞毒性のある最終分化型の枯渇した T リンパ球。 TLym Cytx 用語差分 Exh Sub/TLymCTDExh")</f>
        <v>細胞毒性のある最終分化型の枯渇した T リンパ球/細胞毒性のある最終分化型の枯渇した T リンパ球。 TLym Cytx 用語差分 Exh Sub/TLymCTDExh</v>
      </c>
      <c r="H4775" s="3" t="str">
        <f ca="1">IFERROR(__xludf.DUMMYFUNCTION("googletranslate(E4775,""en"",""ja"")"),"生物学的検体中の総細胞傷害性最終分化枯渇 T リンパ球に対する細胞傷害性最終分化枯渇 T リンパ球の部分集団の相対測定値 (比率またはパーセンテージ)。")</f>
        <v>生物学的検体中の総細胞傷害性最終分化枯渇 T リンパ球に対する細胞傷害性最終分化枯渇 T リンパ球の部分集団の相対測定値 (比率またはパーセンテージ)。</v>
      </c>
      <c r="I4775" s="3" t="str">
        <f ca="1">IFERROR(__xludf.DUMMYFUNCTION("googletranslate(F4775,""en"",""ja"")"),"細胞傷害性最終分化枯渇 T リンパ球部分集団と細胞傷害性最終分化枯渇 T リンパ球の比率の測定")</f>
        <v>細胞傷害性最終分化枯渇 T リンパ球部分集団と細胞傷害性最終分化枯渇 T リンパ球の比率の測定</v>
      </c>
    </row>
    <row r="4776" spans="1:9" ht="75">
      <c r="A4776" s="3" t="s">
        <v>103</v>
      </c>
      <c r="B4776" s="3" t="s">
        <v>19617</v>
      </c>
      <c r="C4776" s="3" t="s">
        <v>19618</v>
      </c>
      <c r="D4776" s="3" t="s">
        <v>19619</v>
      </c>
      <c r="E4776" s="3" t="s">
        <v>19620</v>
      </c>
      <c r="F4776" s="3" t="s">
        <v>19621</v>
      </c>
      <c r="G4776" s="3" t="str">
        <f ca="1">IFERROR(__xludf.DUMMYFUNCTION("googletranslate(D4776,""en"",""ja"")"),"T リンパ球 細胞毒性 最終分化型枯渇/T リンパ球 細胞毒性; TLym Cytx 用語差分 Exh/TLym Cytx")</f>
        <v>T リンパ球 細胞毒性 最終分化型枯渇/T リンパ球 細胞毒性; TLym Cytx 用語差分 Exh/TLym Cytx</v>
      </c>
      <c r="H4776" s="3" t="str">
        <f ca="1">IFERROR(__xludf.DUMMYFUNCTION("googletranslate(E4776,""en"",""ja"")"),"生物学的検体中の総細胞傷害性 T リンパ球に対する細胞傷害性最終分化枯渇 T リンパ球の相対測定値 (比率またはパーセンテージ)。")</f>
        <v>生物学的検体中の総細胞傷害性 T リンパ球に対する細胞傷害性最終分化枯渇 T リンパ球の相対測定値 (比率またはパーセンテージ)。</v>
      </c>
      <c r="I4776" s="3" t="str">
        <f ca="1">IFERROR(__xludf.DUMMYFUNCTION("googletranslate(F4776,""en"",""ja"")"),"細胞傷害性最終分化型枯渇 T リンパ球と細胞傷害性 T リンパ球の比の測定")</f>
        <v>細胞傷害性最終分化型枯渇 T リンパ球と細胞傷害性 T リンパ球の比の測定</v>
      </c>
    </row>
    <row r="4777" spans="1:9" ht="45">
      <c r="A4777" s="3" t="s">
        <v>103</v>
      </c>
      <c r="B4777" s="3" t="s">
        <v>19622</v>
      </c>
      <c r="C4777" s="3" t="s">
        <v>19623</v>
      </c>
      <c r="D4777" s="3" t="s">
        <v>19624</v>
      </c>
      <c r="E4777" s="3" t="s">
        <v>19625</v>
      </c>
      <c r="F4777" s="3" t="s">
        <v>19626</v>
      </c>
      <c r="G4777" s="3" t="str">
        <f ca="1">IFERROR(__xludf.DUMMYFUNCTION("googletranslate(D4777,""en"",""ja"")"),"T リンパ球の細胞傷害性末端記憶腸ホーミング。 TLym Cytx 用語 Mem GH")</f>
        <v>T リンパ球の細胞傷害性末端記憶腸ホーミング。 TLym Cytx 用語 Mem GH</v>
      </c>
      <c r="H4777" s="3" t="str">
        <f ca="1">IFERROR(__xludf.DUMMYFUNCTION("googletranslate(E4777,""en"",""ja"")"),"生物学的標本中の腸ホーミング細胞傷害性末端記憶 T リンパ球の測定。")</f>
        <v>生物学的標本中の腸ホーミング細胞傷害性末端記憶 T リンパ球の測定。</v>
      </c>
      <c r="I4777" s="3" t="str">
        <f ca="1">IFERROR(__xludf.DUMMYFUNCTION("googletranslate(F4777,""en"",""ja"")"),"腸ホーミング細胞毒性末端記憶 T リンパ球数")</f>
        <v>腸ホーミング細胞毒性末端記憶 T リンパ球数</v>
      </c>
    </row>
    <row r="4778" spans="1:9" ht="60">
      <c r="A4778" s="3" t="s">
        <v>103</v>
      </c>
      <c r="B4778" s="3" t="s">
        <v>19627</v>
      </c>
      <c r="C4778" s="3" t="s">
        <v>19628</v>
      </c>
      <c r="D4778" s="3" t="s">
        <v>19629</v>
      </c>
      <c r="E4778" s="3" t="s">
        <v>19630</v>
      </c>
      <c r="F4778" s="3" t="s">
        <v>19631</v>
      </c>
      <c r="G4778" s="3" t="str">
        <f ca="1">IFERROR(__xludf.DUMMYFUNCTION("googletranslate(D4778,""en"",""ja"")"),"T リンパ球細胞傷害性終末記憶腸ホーミング亜集団。 TLym Cytx 用語 Mem GH サブ")</f>
        <v>T リンパ球細胞傷害性終末記憶腸ホーミング亜集団。 TLym Cytx 用語 Mem GH サブ</v>
      </c>
      <c r="H4778" s="3" t="str">
        <f ca="1">IFERROR(__xludf.DUMMYFUNCTION("googletranslate(E4778,""en"",""ja"")"),"生物学的標本中の腸ホーミング細胞傷害性末端記憶 T リンパ球の部分集団の測定。")</f>
        <v>生物学的標本中の腸ホーミング細胞傷害性末端記憶 T リンパ球の部分集団の測定。</v>
      </c>
      <c r="I4778" s="3" t="str">
        <f ca="1">IFERROR(__xludf.DUMMYFUNCTION("googletranslate(F4778,""en"",""ja"")"),"腸ホーミング細胞傷害性末端記憶 T リンパ球部分集団数")</f>
        <v>腸ホーミング細胞傷害性末端記憶 T リンパ球部分集団数</v>
      </c>
    </row>
    <row r="4779" spans="1:9" ht="120">
      <c r="A4779" s="3" t="s">
        <v>103</v>
      </c>
      <c r="B4779" s="3" t="s">
        <v>19632</v>
      </c>
      <c r="C4779" s="3" t="s">
        <v>19633</v>
      </c>
      <c r="D4779" s="3" t="s">
        <v>19634</v>
      </c>
      <c r="E4779" s="3" t="s">
        <v>19635</v>
      </c>
      <c r="F4779" s="3" t="s">
        <v>19636</v>
      </c>
      <c r="G4779" s="3" t="str">
        <f ca="1">IFERROR(__xludf.DUMMYFUNCTION("googletranslate(D4779,""en"",""ja"")"),"T リンパ球の細胞傷害性終末記憶腸ホーミング亜集団/T リンパ球細胞傷害性終末記憶腸管ホーミング。 TLym Cytx 用語 Mem GH サブ/TLym Cytx 用語 Mem GH; TLym Cytx 用語 Mem GH サブ/TLymCTMGH")</f>
        <v>T リンパ球の細胞傷害性終末記憶腸ホーミング亜集団/T リンパ球細胞傷害性終末記憶腸管ホーミング。 TLym Cytx 用語 Mem GH サブ/TLym Cytx 用語 Mem GH; TLym Cytx 用語 Mem GH サブ/TLymCTMGH</v>
      </c>
      <c r="H4779" s="3" t="str">
        <f ca="1">IFERROR(__xludf.DUMMYFUNCTION("googletranslate(E4779,""en"",""ja"")"),"生物学的検体中の総腸管ホーミング細胞傷害性末端記憶 T リンパ球に対する腸管ホーミング細胞傷害性末端記憶 T リンパ球の部分集団の相対測定値 (比率またはパーセンテージ)。")</f>
        <v>生物学的検体中の総腸管ホーミング細胞傷害性末端記憶 T リンパ球に対する腸管ホーミング細胞傷害性末端記憶 T リンパ球の部分集団の相対測定値 (比率またはパーセンテージ)。</v>
      </c>
      <c r="I4779" s="3" t="str">
        <f ca="1">IFERROR(__xludf.DUMMYFUNCTION("googletranslate(F4779,""en"",""ja"")"),"腸ホーミング細胞傷害性末端記憶 T リンパ球部分集団対腸管ホーミング細胞傷害性末端記憶 T リンパ球比の測定")</f>
        <v>腸ホーミング細胞傷害性末端記憶 T リンパ球部分集団対腸管ホーミング細胞傷害性末端記憶 T リンパ球比の測定</v>
      </c>
    </row>
    <row r="4780" spans="1:9" ht="75">
      <c r="A4780" s="3" t="s">
        <v>103</v>
      </c>
      <c r="B4780" s="3" t="s">
        <v>19637</v>
      </c>
      <c r="C4780" s="3" t="s">
        <v>19638</v>
      </c>
      <c r="D4780" s="3" t="s">
        <v>19639</v>
      </c>
      <c r="E4780" s="3" t="s">
        <v>19640</v>
      </c>
      <c r="F4780" s="3" t="s">
        <v>19641</v>
      </c>
      <c r="G4780" s="3" t="str">
        <f ca="1">IFERROR(__xludf.DUMMYFUNCTION("googletranslate(D4780,""en"",""ja"")"),"T リンパ球細胞毒性末端記憶腸ホーミング/T リンパ球細胞毒性; TLym Cytx 用語 Mem GH/TLym Cytx; TLym Cytx 用語メモリ GH/TLymC")</f>
        <v>T リンパ球細胞毒性末端記憶腸ホーミング/T リンパ球細胞毒性; TLym Cytx 用語 Mem GH/TLym Cytx; TLym Cytx 用語メモリ GH/TLymC</v>
      </c>
      <c r="H4780" s="3" t="str">
        <f ca="1">IFERROR(__xludf.DUMMYFUNCTION("googletranslate(E4780,""en"",""ja"")"),"生物学的検体中の総細胞傷害性 T リンパ球に対する腸ホーミング細胞傷害性末端記憶 T リンパ球の相対測定値 (比率またはパーセンテージ)。")</f>
        <v>生物学的検体中の総細胞傷害性 T リンパ球に対する腸ホーミング細胞傷害性末端記憶 T リンパ球の相対測定値 (比率またはパーセンテージ)。</v>
      </c>
      <c r="I4780" s="3" t="str">
        <f ca="1">IFERROR(__xludf.DUMMYFUNCTION("googletranslate(F4780,""en"",""ja"")"),"腸ホーミング細胞傷害性末端記憶 T リンパ球と細胞傷害性 T リンパ球の比率の測定")</f>
        <v>腸ホーミング細胞傷害性末端記憶 T リンパ球と細胞傷害性 T リンパ球の比率の測定</v>
      </c>
    </row>
    <row r="4781" spans="1:9" ht="45">
      <c r="A4781" s="3" t="s">
        <v>103</v>
      </c>
      <c r="B4781" s="3" t="s">
        <v>19642</v>
      </c>
      <c r="C4781" s="3" t="s">
        <v>19643</v>
      </c>
      <c r="D4781" s="3" t="s">
        <v>19644</v>
      </c>
      <c r="E4781" s="3" t="s">
        <v>19645</v>
      </c>
      <c r="F4781" s="3" t="s">
        <v>19646</v>
      </c>
      <c r="G4781" s="3" t="str">
        <f ca="1">IFERROR(__xludf.DUMMYFUNCTION("googletranslate(D4781,""en"",""ja"")"),"T リンパ球細胞傷害性末端記憶皮膚ホーミング。 TLym Cytx 用語 Mem SH")</f>
        <v>T リンパ球細胞傷害性末端記憶皮膚ホーミング。 TLym Cytx 用語 Mem SH</v>
      </c>
      <c r="H4781" s="3" t="str">
        <f ca="1">IFERROR(__xludf.DUMMYFUNCTION("googletranslate(E4781,""en"",""ja"")"),"生体標本中の皮膚ホーミング細胞傷害性末端記憶 T リンパ球の測定。")</f>
        <v>生体標本中の皮膚ホーミング細胞傷害性末端記憶 T リンパ球の測定。</v>
      </c>
      <c r="I4781" s="3" t="str">
        <f ca="1">IFERROR(__xludf.DUMMYFUNCTION("googletranslate(F4781,""en"",""ja"")"),"皮膚ホーミング細胞毒性末端記憶 T リンパ球数")</f>
        <v>皮膚ホーミング細胞毒性末端記憶 T リンパ球数</v>
      </c>
    </row>
    <row r="4782" spans="1:9" ht="60">
      <c r="A4782" s="3" t="s">
        <v>103</v>
      </c>
      <c r="B4782" s="3" t="s">
        <v>19647</v>
      </c>
      <c r="C4782" s="3" t="s">
        <v>19648</v>
      </c>
      <c r="D4782" s="3" t="s">
        <v>19649</v>
      </c>
      <c r="E4782" s="3" t="s">
        <v>19650</v>
      </c>
      <c r="F4782" s="3" t="s">
        <v>19651</v>
      </c>
      <c r="G4782" s="3" t="str">
        <f ca="1">IFERROR(__xludf.DUMMYFUNCTION("googletranslate(D4782,""en"",""ja"")"),"T リンパ球細胞傷害性末端記憶皮膚ホーミング亜集団。 TLym Cytx 用語 Mem SH サブ")</f>
        <v>T リンパ球細胞傷害性末端記憶皮膚ホーミング亜集団。 TLym Cytx 用語 Mem SH サブ</v>
      </c>
      <c r="H4782" s="3" t="str">
        <f ca="1">IFERROR(__xludf.DUMMYFUNCTION("googletranslate(E4782,""en"",""ja"")"),"生物学的標本中の腸ホーミングヘルパー記憶 T リンパ球の測定。")</f>
        <v>生物学的標本中の腸ホーミングヘルパー記憶 T リンパ球の測定。</v>
      </c>
      <c r="I4782" s="3" t="str">
        <f ca="1">IFERROR(__xludf.DUMMYFUNCTION("googletranslate(F4782,""en"",""ja"")"),"皮膚ホーミング細胞傷害性末端記憶 T リンパ球部分集団数")</f>
        <v>皮膚ホーミング細胞傷害性末端記憶 T リンパ球部分集団数</v>
      </c>
    </row>
    <row r="4783" spans="1:9" ht="120">
      <c r="A4783" s="3" t="s">
        <v>103</v>
      </c>
      <c r="B4783" s="3" t="s">
        <v>19652</v>
      </c>
      <c r="C4783" s="3" t="s">
        <v>19653</v>
      </c>
      <c r="D4783" s="3" t="s">
        <v>19654</v>
      </c>
      <c r="E4783" s="3" t="s">
        <v>19655</v>
      </c>
      <c r="F4783" s="3" t="s">
        <v>19656</v>
      </c>
      <c r="G4783" s="3" t="str">
        <f ca="1">IFERROR(__xludf.DUMMYFUNCTION("googletranslate(D4783,""en"",""ja"")"),"T リンパ球細胞傷害性終末記憶スキン ホーミング サブ集団/T リンパ球細胞傷害性終末記憶スキン ホーミング; TLym Cytx Term Mem SH Sub/TLym Cytx Term Mem SH; TLym Cytx 用語 Mem SH Sub/TLymCTMSH")</f>
        <v>T リンパ球細胞傷害性終末記憶スキン ホーミング サブ集団/T リンパ球細胞傷害性終末記憶スキン ホーミング; TLym Cytx Term Mem SH Sub/TLym Cytx Term Mem SH; TLym Cytx 用語 Mem SH Sub/TLymCTMSH</v>
      </c>
      <c r="H4783" s="3" t="str">
        <f ca="1">IFERROR(__xludf.DUMMYFUNCTION("googletranslate(E4783,""en"",""ja"")"),"生物学的標本中の皮膚ホーミング細胞傷害性終末記憶 T リンパ球の総数に対する皮膚ホーミング細胞傷害性終末記憶 T リンパ球の部分集団の相対測定値 (比率またはパーセンテージ)。")</f>
        <v>生物学的標本中の皮膚ホーミング細胞傷害性終末記憶 T リンパ球の総数に対する皮膚ホーミング細胞傷害性終末記憶 T リンパ球の部分集団の相対測定値 (比率またはパーセンテージ)。</v>
      </c>
      <c r="I4783" s="3" t="str">
        <f ca="1">IFERROR(__xludf.DUMMYFUNCTION("googletranslate(F4783,""en"",""ja"")"),"皮膚ホーミング細胞傷害性末端記憶 T リンパ球部分集団と皮膚ホーミング細胞傷害性末端記憶 T リンパ球の比率の測定")</f>
        <v>皮膚ホーミング細胞傷害性末端記憶 T リンパ球部分集団と皮膚ホーミング細胞傷害性末端記憶 T リンパ球の比率の測定</v>
      </c>
    </row>
    <row r="4784" spans="1:9" ht="75">
      <c r="A4784" s="3" t="s">
        <v>103</v>
      </c>
      <c r="B4784" s="3" t="s">
        <v>19657</v>
      </c>
      <c r="C4784" s="3" t="s">
        <v>19658</v>
      </c>
      <c r="D4784" s="3" t="s">
        <v>19659</v>
      </c>
      <c r="E4784" s="3" t="s">
        <v>19660</v>
      </c>
      <c r="F4784" s="3" t="s">
        <v>19661</v>
      </c>
      <c r="G4784" s="3" t="str">
        <f ca="1">IFERROR(__xludf.DUMMYFUNCTION("googletranslate(D4784,""en"",""ja"")"),"T リンパ球 細胞毒性 ターミナルメモリー スキンホーミング/T リンパ球 細胞毒性; TLym Cytx 用語 Mem SH/TLym Cytx; TLym Cytx 用語メモリ SH/TLymC")</f>
        <v>T リンパ球 細胞毒性 ターミナルメモリー スキンホーミング/T リンパ球 細胞毒性; TLym Cytx 用語 Mem SH/TLym Cytx; TLym Cytx 用語メモリ SH/TLymC</v>
      </c>
      <c r="H4784" s="3" t="str">
        <f ca="1">IFERROR(__xludf.DUMMYFUNCTION("googletranslate(E4784,""en"",""ja"")"),"生物学的検体中の総細胞傷害性 T リンパ球に対する皮膚ホーミング細胞傷害性終末記憶 T リンパ球の相対測定値 (比率またはパーセンテージ)。")</f>
        <v>生物学的検体中の総細胞傷害性 T リンパ球に対する皮膚ホーミング細胞傷害性終末記憶 T リンパ球の相対測定値 (比率またはパーセンテージ)。</v>
      </c>
      <c r="I4784" s="3" t="str">
        <f ca="1">IFERROR(__xludf.DUMMYFUNCTION("googletranslate(F4784,""en"",""ja"")"),"スキンホーミング細胞傷害性末端記憶 T リンパ球と細胞傷害性 T リンパ球の比率の測定")</f>
        <v>スキンホーミング細胞傷害性末端記憶 T リンパ球と細胞傷害性 T リンパ球の比率の測定</v>
      </c>
    </row>
    <row r="4785" spans="1:9">
      <c r="A4785" s="3" t="s">
        <v>51</v>
      </c>
      <c r="B4785" s="3" t="s">
        <v>19662</v>
      </c>
      <c r="C4785" s="3" t="s">
        <v>19663</v>
      </c>
      <c r="D4785" s="3" t="s">
        <v>19663</v>
      </c>
      <c r="E4785" s="3" t="s">
        <v>19664</v>
      </c>
      <c r="F4785" s="3" t="s">
        <v>19663</v>
      </c>
      <c r="G4785" s="3" t="str">
        <f ca="1">IFERROR(__xludf.DUMMYFUNCTION("googletranslate(D4785,""en"",""ja"")"),"総デニール数")</f>
        <v>総デニール数</v>
      </c>
      <c r="H4785" s="3" t="str">
        <f ca="1">IFERROR(__xludf.DUMMYFUNCTION("googletranslate(E4785,""en"",""ja"")"),"繊維の線質量密度。")</f>
        <v>繊維の線質量密度。</v>
      </c>
      <c r="I4785" s="3" t="str">
        <f ca="1">IFERROR(__xludf.DUMMYFUNCTION("googletranslate(F4785,""en"",""ja"")"),"総デニール数")</f>
        <v>総デニール数</v>
      </c>
    </row>
    <row r="4786" spans="1:9" ht="75">
      <c r="A4786" s="3" t="s">
        <v>6</v>
      </c>
      <c r="B4786" s="3" t="s">
        <v>19665</v>
      </c>
      <c r="C4786" s="3" t="s">
        <v>19666</v>
      </c>
      <c r="D4786" s="3" t="s">
        <v>19667</v>
      </c>
      <c r="E4786" s="3" t="s">
        <v>19668</v>
      </c>
      <c r="F4786" s="3" t="s">
        <v>19669</v>
      </c>
      <c r="G4786" s="3" t="str">
        <f ca="1">IFERROR(__xludf.DUMMYFUNCTION("googletranslate(D4786,""en"",""ja"")"),"ターミナル デオキシヌクレオチジル トランスフェラーゼ Ag;ターミナルデオキシヌクレオチジルトランスフェラーゼ抗原")</f>
        <v>ターミナル デオキシヌクレオチジル トランスフェラーゼ Ag;ターミナルデオキシヌクレオチジルトランスフェラーゼ抗原</v>
      </c>
      <c r="H4786" s="3" t="str">
        <f ca="1">IFERROR(__xludf.DUMMYFUNCTION("googletranslate(E4786,""en"",""ja"")"),"生物学的標本中のターミナル デオキシヌクレオチジル トランスフェラーゼ抗原の測定。")</f>
        <v>生物学的標本中のターミナル デオキシヌクレオチジル トランスフェラーゼ抗原の測定。</v>
      </c>
      <c r="I4786" s="3" t="str">
        <f ca="1">IFERROR(__xludf.DUMMYFUNCTION("googletranslate(F4786,""en"",""ja"")"),"ターミナルデオキシヌクレオチジルトランスフェラーゼ抗原測定")</f>
        <v>ターミナルデオキシヌクレオチジルトランスフェラーゼ抗原測定</v>
      </c>
    </row>
    <row r="4787" spans="1:9" ht="30">
      <c r="A4787" s="3" t="s">
        <v>6</v>
      </c>
      <c r="B4787" s="3" t="s">
        <v>19670</v>
      </c>
      <c r="C4787" s="3" t="s">
        <v>19671</v>
      </c>
      <c r="D4787" s="3" t="s">
        <v>19672</v>
      </c>
      <c r="E4787" s="3" t="s">
        <v>19673</v>
      </c>
      <c r="F4787" s="3" t="s">
        <v>19674</v>
      </c>
      <c r="G4787" s="3" t="str">
        <f ca="1">IFERROR(__xludf.DUMMYFUNCTION("googletranslate(D4787,""en"",""ja"")"),"涙核細胞。涙の形をした赤血球。ティアドロップセル")</f>
        <v>涙核細胞。涙の形をした赤血球。ティアドロップセル</v>
      </c>
      <c r="H4787" s="3" t="str">
        <f ca="1">IFERROR(__xludf.DUMMYFUNCTION("googletranslate(E4787,""en"",""ja"")"),"生物学的標本中の涙核細胞の測定。")</f>
        <v>生物学的標本中の涙核細胞の測定。</v>
      </c>
      <c r="I4787" s="3" t="str">
        <f ca="1">IFERROR(__xludf.DUMMYFUNCTION("googletranslate(F4787,""en"",""ja"")"),"涙核細胞の分析")</f>
        <v>涙核細胞の分析</v>
      </c>
    </row>
    <row r="4788" spans="1:9">
      <c r="A4788" s="3" t="s">
        <v>1557</v>
      </c>
      <c r="B4788" s="3" t="s">
        <v>19675</v>
      </c>
      <c r="C4788" s="3" t="s">
        <v>19676</v>
      </c>
      <c r="D4788" s="3" t="s">
        <v>19676</v>
      </c>
      <c r="E4788" s="3" t="s">
        <v>19677</v>
      </c>
      <c r="F4788" s="3" t="s">
        <v>19678</v>
      </c>
      <c r="G4788" s="3" t="str">
        <f ca="1">IFERROR(__xludf.DUMMYFUNCTION("googletranslate(D4788,""en"",""ja"")"),"涙の分泌")</f>
        <v>涙の分泌</v>
      </c>
      <c r="H4788" s="3" t="str">
        <f ca="1">IFERROR(__xludf.DUMMYFUNCTION("googletranslate(E4788,""en"",""ja"")"),"被験者の涙液生成量の測定値。")</f>
        <v>被験者の涙液生成量の測定値。</v>
      </c>
      <c r="I4788" s="3" t="str">
        <f ca="1">IFERROR(__xludf.DUMMYFUNCTION("googletranslate(F4788,""en"",""ja"")"),"涙分泌量")</f>
        <v>涙分泌量</v>
      </c>
    </row>
    <row r="4789" spans="1:9" ht="30">
      <c r="A4789" s="3" t="s">
        <v>1557</v>
      </c>
      <c r="B4789" s="3" t="s">
        <v>19679</v>
      </c>
      <c r="C4789" s="3" t="s">
        <v>19680</v>
      </c>
      <c r="D4789" s="3" t="s">
        <v>19680</v>
      </c>
      <c r="E4789" s="3" t="s">
        <v>19681</v>
      </c>
      <c r="F4789" s="3" t="s">
        <v>19680</v>
      </c>
      <c r="G4789" s="3" t="str">
        <f ca="1">IFERROR(__xludf.DUMMYFUNCTION("googletranslate(D4789,""en"",""ja"")"),"涙液分泌速度")</f>
        <v>涙液分泌速度</v>
      </c>
      <c r="H4789" s="3" t="str">
        <f ca="1">IFERROR(__xludf.DUMMYFUNCTION("googletranslate(E4789,""en"",""ja"")"),"規定の時間（例：5分間）にわたって分泌される涙の量の測定値。")</f>
        <v>規定の時間（例：5分間）にわたって分泌される涙の量の測定値。</v>
      </c>
      <c r="I4789" s="3" t="str">
        <f ca="1">IFERROR(__xludf.DUMMYFUNCTION("googletranslate(F4789,""en"",""ja"")"),"涙液分泌速度")</f>
        <v>涙液分泌速度</v>
      </c>
    </row>
    <row r="4790" spans="1:9" ht="60">
      <c r="A4790" s="3" t="s">
        <v>985</v>
      </c>
      <c r="B4790" s="3" t="s">
        <v>19682</v>
      </c>
      <c r="C4790" s="3" t="s">
        <v>19683</v>
      </c>
      <c r="D4790" s="3" t="s">
        <v>19683</v>
      </c>
      <c r="E4790" s="3" t="s">
        <v>19684</v>
      </c>
      <c r="F4790" s="3" t="s">
        <v>19685</v>
      </c>
      <c r="G4790" s="3" t="str">
        <f ca="1">IFERROR(__xludf.DUMMYFUNCTION("googletranslate(D4790,""en"",""ja"")"),"技術的品質")</f>
        <v>技術的品質</v>
      </c>
      <c r="H4790" s="3" t="str">
        <f ca="1">IFERROR(__xludf.DUMMYFUNCTION("googletranslate(E4790,""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790" s="3" t="str">
        <f ca="1">IFERROR(__xludf.DUMMYFUNCTION("googletranslate(F4790,""en"",""ja"")"),"ECGの技術的品質")</f>
        <v>ECGの技術的品質</v>
      </c>
    </row>
    <row r="4791" spans="1:9" ht="60">
      <c r="A4791" s="3" t="s">
        <v>1664</v>
      </c>
      <c r="B4791" s="3" t="s">
        <v>19682</v>
      </c>
      <c r="C4791" s="3" t="s">
        <v>19683</v>
      </c>
      <c r="D4791" s="3" t="s">
        <v>19683</v>
      </c>
      <c r="E4791" s="3" t="s">
        <v>19684</v>
      </c>
      <c r="F4791" s="3" t="s">
        <v>19685</v>
      </c>
      <c r="G4791" s="3" t="str">
        <f ca="1">IFERROR(__xludf.DUMMYFUNCTION("googletranslate(D4791,""en"",""ja"")"),"技術的品質")</f>
        <v>技術的品質</v>
      </c>
      <c r="H4791" s="3" t="str">
        <f ca="1">IFERROR(__xludf.DUMMYFUNCTION("googletranslate(E4791,""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791" s="3" t="str">
        <f ca="1">IFERROR(__xludf.DUMMYFUNCTION("googletranslate(F4791,""en"",""ja"")"),"ECGの技術的品質")</f>
        <v>ECGの技術的品質</v>
      </c>
    </row>
    <row r="4792" spans="1:9" ht="75">
      <c r="A4792" s="3" t="s">
        <v>2904</v>
      </c>
      <c r="B4792" s="3" t="s">
        <v>19686</v>
      </c>
      <c r="C4792" s="3" t="s">
        <v>19687</v>
      </c>
      <c r="D4792" s="3" t="s">
        <v>19687</v>
      </c>
      <c r="E4792" s="3" t="s">
        <v>19688</v>
      </c>
      <c r="F4792" s="3" t="s">
        <v>19687</v>
      </c>
      <c r="G4792" s="3" t="str">
        <f ca="1">IFERROR(__xludf.DUMMYFUNCTION("googletranslate(D4792,""en"",""ja"")"),"温度")</f>
        <v>温度</v>
      </c>
      <c r="H4792" s="3" t="str">
        <f ca="1">IFERROR(__xludf.DUMMYFUNCTION("googletranslate(E4792,""en"",""ja"")"),"隣接する物体または領域から熱が流入または流出するかどうか、および熱がどの方向に流れるかを決定する空間の物体または領域の特性。体細胞として生体が知覚できます。")</f>
        <v>隣接する物体または領域から熱が流入または流出するかどうか、および熱がどの方向に流れるかを決定する空間の物体または領域の特性。体細胞として生体が知覚できます。</v>
      </c>
      <c r="I4792" s="3" t="str">
        <f ca="1">IFERROR(__xludf.DUMMYFUNCTION("googletranslate(F4792,""en"",""ja"")"),"温度")</f>
        <v>温度</v>
      </c>
    </row>
    <row r="4793" spans="1:9" ht="75">
      <c r="A4793" s="3" t="s">
        <v>33</v>
      </c>
      <c r="B4793" s="3" t="s">
        <v>19686</v>
      </c>
      <c r="C4793" s="3" t="s">
        <v>19687</v>
      </c>
      <c r="D4793" s="3" t="s">
        <v>19687</v>
      </c>
      <c r="E4793" s="3" t="s">
        <v>19688</v>
      </c>
      <c r="F4793" s="3" t="s">
        <v>19687</v>
      </c>
      <c r="G4793" s="3" t="str">
        <f ca="1">IFERROR(__xludf.DUMMYFUNCTION("googletranslate(D4793,""en"",""ja"")"),"温度")</f>
        <v>温度</v>
      </c>
      <c r="H4793" s="3" t="str">
        <f ca="1">IFERROR(__xludf.DUMMYFUNCTION("googletranslate(E4793,""en"",""ja"")"),"隣接する物体または領域から熱が流入または流出するかどうか、および熱がどの方向に流れるかを決定する空間の物体または領域の特性。体細胞として生体が知覚できます。")</f>
        <v>隣接する物体または領域から熱が流入または流出するかどうか、および熱がどの方向に流れるかを決定する空間の物体または領域の特性。体細胞として生体が知覚できます。</v>
      </c>
      <c r="I4793" s="3" t="str">
        <f ca="1">IFERROR(__xludf.DUMMYFUNCTION("googletranslate(F4793,""en"",""ja"")"),"温度")</f>
        <v>温度</v>
      </c>
    </row>
    <row r="4794" spans="1:9">
      <c r="A4794" s="3" t="s">
        <v>118</v>
      </c>
      <c r="B4794" s="3" t="s">
        <v>19686</v>
      </c>
      <c r="C4794" s="3" t="s">
        <v>19687</v>
      </c>
      <c r="D4794" s="3" t="s">
        <v>19689</v>
      </c>
      <c r="E4794" s="3" t="s">
        <v>19690</v>
      </c>
      <c r="F4794" s="3" t="s">
        <v>19691</v>
      </c>
      <c r="G4794" s="3" t="str">
        <f ca="1">IFERROR(__xludf.DUMMYFUNCTION("googletranslate(D4794,""en"",""ja"")"),"体温;温度")</f>
        <v>体温;温度</v>
      </c>
      <c r="H4794" s="3" t="str">
        <f ca="1">IFERROR(__xludf.DUMMYFUNCTION("googletranslate(E4794,""en"",""ja"")"),"体の温度の測定。")</f>
        <v>体の温度の測定。</v>
      </c>
      <c r="I4794" s="3" t="str">
        <f ca="1">IFERROR(__xludf.DUMMYFUNCTION("googletranslate(F4794,""en"",""ja"")"),"体温")</f>
        <v>体温</v>
      </c>
    </row>
    <row r="4795" spans="1:9" ht="30">
      <c r="A4795" s="3" t="s">
        <v>118</v>
      </c>
      <c r="B4795" s="3" t="s">
        <v>19692</v>
      </c>
      <c r="C4795" s="3" t="s">
        <v>19693</v>
      </c>
      <c r="D4795" s="3" t="s">
        <v>19693</v>
      </c>
      <c r="E4795" s="3" t="s">
        <v>19694</v>
      </c>
      <c r="F4795" s="3" t="s">
        <v>19693</v>
      </c>
      <c r="G4795" s="3" t="str">
        <f ca="1">IFERROR(__xludf.DUMMYFUNCTION("googletranslate(D4795,""en"",""ja"")"),"深部体温")</f>
        <v>深部体温</v>
      </c>
      <c r="H4795" s="3" t="str">
        <f ca="1">IFERROR(__xludf.DUMMYFUNCTION("googletranslate(E4795,""en"",""ja"")"),"体の深部組織内の温度の測定。")</f>
        <v>体の深部組織内の温度の測定。</v>
      </c>
      <c r="I4795" s="3" t="str">
        <f ca="1">IFERROR(__xludf.DUMMYFUNCTION("googletranslate(F4795,""en"",""ja"")"),"深部体温")</f>
        <v>深部体温</v>
      </c>
    </row>
    <row r="4796" spans="1:9" ht="30">
      <c r="A4796" s="3" t="s">
        <v>118</v>
      </c>
      <c r="B4796" s="3" t="s">
        <v>19695</v>
      </c>
      <c r="C4796" s="3" t="s">
        <v>19696</v>
      </c>
      <c r="D4796" s="3" t="s">
        <v>19696</v>
      </c>
      <c r="E4796" s="3" t="s">
        <v>19697</v>
      </c>
      <c r="F4796" s="3" t="s">
        <v>19696</v>
      </c>
      <c r="G4796" s="3" t="str">
        <f ca="1">IFERROR(__xludf.DUMMYFUNCTION("googletranslate(D4796,""en"",""ja"")"),"末梢体温")</f>
        <v>末梢体温</v>
      </c>
      <c r="H4796" s="3" t="str">
        <f ca="1">IFERROR(__xludf.DUMMYFUNCTION("googletranslate(E4796,""en"",""ja"")"),"物体の表面または表面近くの温度の測定値。")</f>
        <v>物体の表面または表面近くの温度の測定値。</v>
      </c>
      <c r="I4796" s="3" t="str">
        <f ca="1">IFERROR(__xludf.DUMMYFUNCTION("googletranslate(F4796,""en"",""ja"")"),"末梢体温")</f>
        <v>末梢体温</v>
      </c>
    </row>
    <row r="4797" spans="1:9" ht="30">
      <c r="A4797" s="3" t="s">
        <v>6</v>
      </c>
      <c r="B4797" s="3" t="s">
        <v>19698</v>
      </c>
      <c r="C4797" s="3" t="s">
        <v>19699</v>
      </c>
      <c r="D4797" s="3" t="s">
        <v>19700</v>
      </c>
      <c r="E4797" s="3" t="s">
        <v>19701</v>
      </c>
      <c r="F4797" s="3" t="s">
        <v>19702</v>
      </c>
      <c r="G4797" s="3" t="str">
        <f ca="1">IFERROR(__xludf.DUMMYFUNCTION("googletranslate(D4797,""en"",""ja"")"),"テストステロン;総テストステロン")</f>
        <v>テストステロン;総テストステロン</v>
      </c>
      <c r="H4797" s="3" t="str">
        <f ca="1">IFERROR(__xludf.DUMMYFUNCTION("googletranslate(E4797,""en"",""ja"")"),"生物学的標本中の総 (遊離および結合) テストステロンの測定値。")</f>
        <v>生物学的標本中の総 (遊離および結合) テストステロンの測定値。</v>
      </c>
      <c r="I4797" s="3" t="str">
        <f ca="1">IFERROR(__xludf.DUMMYFUNCTION("googletranslate(F4797,""en"",""ja"")"),"総テストステロン測定")</f>
        <v>総テストステロン測定</v>
      </c>
    </row>
    <row r="4798" spans="1:9" ht="30">
      <c r="A4798" s="3" t="s">
        <v>6</v>
      </c>
      <c r="B4798" s="3" t="s">
        <v>19703</v>
      </c>
      <c r="C4798" s="3" t="s">
        <v>19704</v>
      </c>
      <c r="D4798" s="3" t="s">
        <v>19704</v>
      </c>
      <c r="E4798" s="3" t="s">
        <v>19705</v>
      </c>
      <c r="F4798" s="3" t="s">
        <v>19706</v>
      </c>
      <c r="G4798" s="3" t="str">
        <f ca="1">IFERROR(__xludf.DUMMYFUNCTION("googletranslate(D4798,""en"",""ja"")"),"生体利用可能なテストステロン")</f>
        <v>生体利用可能なテストステロン</v>
      </c>
      <c r="H4798" s="3" t="str">
        <f ca="1">IFERROR(__xludf.DUMMYFUNCTION("googletranslate(E4798,""en"",""ja"")"),"生物学的標本中の生体利用可能なテストステロンの測定。")</f>
        <v>生物学的標本中の生体利用可能なテストステロンの測定。</v>
      </c>
      <c r="I4798" s="3" t="str">
        <f ca="1">IFERROR(__xludf.DUMMYFUNCTION("googletranslate(F4798,""en"",""ja"")"),"生体利用可能なテストステロンの測定")</f>
        <v>生体利用可能なテストステロンの測定</v>
      </c>
    </row>
    <row r="4799" spans="1:9" ht="30">
      <c r="A4799" s="3" t="s">
        <v>6</v>
      </c>
      <c r="B4799" s="3" t="s">
        <v>19707</v>
      </c>
      <c r="C4799" s="3" t="s">
        <v>19708</v>
      </c>
      <c r="D4799" s="3" t="s">
        <v>19708</v>
      </c>
      <c r="E4799" s="3" t="s">
        <v>19709</v>
      </c>
      <c r="F4799" s="3" t="s">
        <v>19710</v>
      </c>
      <c r="G4799" s="3" t="str">
        <f ca="1">IFERROR(__xludf.DUMMYFUNCTION("googletranslate(D4799,""en"",""ja"")"),"テストステロン、無料")</f>
        <v>テストステロン、無料</v>
      </c>
      <c r="H4799" s="3" t="str">
        <f ca="1">IFERROR(__xludf.DUMMYFUNCTION("googletranslate(E4799,""en"",""ja"")"),"生物学的標本中の遊離テストステロンの測定。")</f>
        <v>生物学的標本中の遊離テストステロンの測定。</v>
      </c>
      <c r="I4799" s="3" t="str">
        <f ca="1">IFERROR(__xludf.DUMMYFUNCTION("googletranslate(F4799,""en"",""ja"")"),"無料のテストステロン測定")</f>
        <v>無料のテストステロン測定</v>
      </c>
    </row>
    <row r="4800" spans="1:9" ht="30">
      <c r="A4800" s="3" t="s">
        <v>6</v>
      </c>
      <c r="B4800" s="3" t="s">
        <v>19711</v>
      </c>
      <c r="C4800" s="3" t="s">
        <v>19712</v>
      </c>
      <c r="D4800" s="3" t="s">
        <v>19712</v>
      </c>
      <c r="E4800" s="3" t="s">
        <v>19713</v>
      </c>
      <c r="F4800" s="3" t="s">
        <v>19714</v>
      </c>
      <c r="G4800" s="3" t="str">
        <f ca="1">IFERROR(__xludf.DUMMYFUNCTION("googletranslate(D4800,""en"",""ja"")"),"テストステロン、弱く結合")</f>
        <v>テストステロン、弱く結合</v>
      </c>
      <c r="H4800" s="3" t="str">
        <f ca="1">IFERROR(__xludf.DUMMYFUNCTION("googletranslate(E4800,""en"",""ja"")"),"生物学的標本中の弱く結合したテストステロン (アルブミンに結合したテストステロン) の測定。")</f>
        <v>生物学的標本中の弱く結合したテストステロン (アルブミンに結合したテストステロン) の測定。</v>
      </c>
      <c r="I4800" s="3" t="str">
        <f ca="1">IFERROR(__xludf.DUMMYFUNCTION("googletranslate(F4800,""en"",""ja"")"),"弱結合テストステロンの測定")</f>
        <v>弱結合テストステロンの測定</v>
      </c>
    </row>
    <row r="4801" spans="1:9" ht="45">
      <c r="A4801" s="3" t="s">
        <v>6</v>
      </c>
      <c r="B4801" s="3" t="s">
        <v>19715</v>
      </c>
      <c r="C4801" s="3" t="s">
        <v>19716</v>
      </c>
      <c r="D4801" s="3" t="s">
        <v>19717</v>
      </c>
      <c r="E4801" s="3" t="s">
        <v>19718</v>
      </c>
      <c r="F4801" s="3" t="s">
        <v>19719</v>
      </c>
      <c r="G4801" s="3" t="str">
        <f ca="1">IFERROR(__xludf.DUMMYFUNCTION("googletranslate(D4801,""en"",""ja"")"),"ベータ 1 金属結合グロブリン。セロトランスフェリン;シデロフィリン;トランスフェリン")</f>
        <v>ベータ 1 金属結合グロブリン。セロトランスフェリン;シデロフィリン;トランスフェリン</v>
      </c>
      <c r="H4801" s="3" t="str">
        <f ca="1">IFERROR(__xludf.DUMMYFUNCTION("googletranslate(E4801,""en"",""ja"")"),"生物学的標本中の総トランスフェリンの測定。")</f>
        <v>生物学的標本中の総トランスフェリンの測定。</v>
      </c>
      <c r="I4801" s="3" t="str">
        <f ca="1">IFERROR(__xludf.DUMMYFUNCTION("googletranslate(F4801,""en"",""ja"")"),"トランスフェリンの測定")</f>
        <v>トランスフェリンの測定</v>
      </c>
    </row>
    <row r="4802" spans="1:9" ht="30">
      <c r="A4802" s="3" t="s">
        <v>6</v>
      </c>
      <c r="B4802" s="3" t="s">
        <v>19720</v>
      </c>
      <c r="C4802" s="3" t="s">
        <v>19721</v>
      </c>
      <c r="D4802" s="3" t="s">
        <v>19721</v>
      </c>
      <c r="E4802" s="3" t="s">
        <v>19722</v>
      </c>
      <c r="F4802" s="3" t="s">
        <v>19723</v>
      </c>
      <c r="G4802" s="3" t="str">
        <f ca="1">IFERROR(__xludf.DUMMYFUNCTION("googletranslate(D4802,""en"",""ja"")"),"トレフォイル ファクター 3")</f>
        <v>トレフォイル ファクター 3</v>
      </c>
      <c r="H4802" s="3" t="str">
        <f ca="1">IFERROR(__xludf.DUMMYFUNCTION("googletranslate(E4802,""en"",""ja"")"),"生物学的標本のトレフォイル因子 3 の測定。")</f>
        <v>生物学的標本のトレフォイル因子 3 の測定。</v>
      </c>
      <c r="I4802" s="3" t="str">
        <f ca="1">IFERROR(__xludf.DUMMYFUNCTION("googletranslate(F4802,""en"",""ja"")"),"トレフォイルファクター 3 の測定")</f>
        <v>トレフォイルファクター 3 の測定</v>
      </c>
    </row>
    <row r="4803" spans="1:9" ht="45">
      <c r="A4803" s="3" t="s">
        <v>6</v>
      </c>
      <c r="B4803" s="3" t="s">
        <v>19724</v>
      </c>
      <c r="C4803" s="3" t="s">
        <v>19725</v>
      </c>
      <c r="D4803" s="3" t="s">
        <v>19726</v>
      </c>
      <c r="E4803" s="3" t="s">
        <v>19727</v>
      </c>
      <c r="F4803" s="3" t="s">
        <v>19728</v>
      </c>
      <c r="G4803" s="3" t="str">
        <f ca="1">IFERROR(__xludf.DUMMYFUNCTION("googletranslate(D4803,""en"",""ja"")"),"遊離組織因子経路阻害抗原;組織因子経路阻害剤、無料")</f>
        <v>遊離組織因子経路阻害抗原;組織因子経路阻害剤、無料</v>
      </c>
      <c r="H4803" s="3" t="str">
        <f ca="1">IFERROR(__xludf.DUMMYFUNCTION("googletranslate(E4803,""en"",""ja"")"),"生物学的標本中の遊離組織因子経路阻害剤の測定。")</f>
        <v>生物学的標本中の遊離組織因子経路阻害剤の測定。</v>
      </c>
      <c r="I4803" s="3" t="str">
        <f ca="1">IFERROR(__xludf.DUMMYFUNCTION("googletranslate(F4803,""en"",""ja"")"),"遊離組織因子経路阻害剤抗原の測定")</f>
        <v>遊離組織因子経路阻害剤抗原の測定</v>
      </c>
    </row>
    <row r="4804" spans="1:9" ht="30">
      <c r="A4804" s="3" t="s">
        <v>6</v>
      </c>
      <c r="B4804" s="3" t="s">
        <v>19729</v>
      </c>
      <c r="C4804" s="3" t="s">
        <v>19730</v>
      </c>
      <c r="D4804" s="3" t="s">
        <v>19731</v>
      </c>
      <c r="E4804" s="3" t="s">
        <v>19732</v>
      </c>
      <c r="F4804" s="3" t="s">
        <v>19733</v>
      </c>
      <c r="G4804" s="3" t="str">
        <f ca="1">IFERROR(__xludf.DUMMYFUNCTION("googletranslate(D4804,""en"",""ja"")"),"P90;可溶性CD71; TfR1;トランスフェリン受容体タンパク質 1")</f>
        <v>P90;可溶性CD71; TfR1;トランスフェリン受容体タンパク質 1</v>
      </c>
      <c r="H4804" s="3" t="str">
        <f ca="1">IFERROR(__xludf.DUMMYFUNCTION("googletranslate(E4804,""en"",""ja"")"),"生体試料中のトランスフェリン受容体タンパク質 1 の測定。")</f>
        <v>生体試料中のトランスフェリン受容体タンパク質 1 の測定。</v>
      </c>
      <c r="I4804" s="3" t="str">
        <f ca="1">IFERROR(__xludf.DUMMYFUNCTION("googletranslate(F4804,""en"",""ja"")"),"トランスフェリン受容体プロテイン 1 の測定")</f>
        <v>トランスフェリン受容体プロテイン 1 の測定</v>
      </c>
    </row>
    <row r="4805" spans="1:9" ht="45">
      <c r="A4805" s="3" t="s">
        <v>6</v>
      </c>
      <c r="B4805" s="3" t="s">
        <v>19734</v>
      </c>
      <c r="C4805" s="3" t="s">
        <v>19735</v>
      </c>
      <c r="D4805" s="3" t="s">
        <v>19736</v>
      </c>
      <c r="E4805" s="3" t="s">
        <v>19737</v>
      </c>
      <c r="F4805" s="3" t="s">
        <v>19738</v>
      </c>
      <c r="G4805" s="3" t="str">
        <f ca="1">IFERROR(__xludf.DUMMYFUNCTION("googletranslate(D4805,""en"",""ja"")"),"鉄結合能力の飽和;鉄飽和; TIBCにアイロンをかけます。トランスフェリン飽和度")</f>
        <v>鉄結合能力の飽和;鉄飽和; TIBCにアイロンをかけます。トランスフェリン飽和度</v>
      </c>
      <c r="H4805" s="3" t="str">
        <f ca="1">IFERROR(__xludf.DUMMYFUNCTION("googletranslate(E4805,""en"",""ja"")"),"生物学的標本中のトランスフェリンに結合した鉄の測定。")</f>
        <v>生物学的標本中のトランスフェリンに結合した鉄の測定。</v>
      </c>
      <c r="I4805" s="3" t="str">
        <f ca="1">IFERROR(__xludf.DUMMYFUNCTION("googletranslate(F4805,""en"",""ja"")"),"トランスフェリン飽和度の測定")</f>
        <v>トランスフェリン飽和度の測定</v>
      </c>
    </row>
    <row r="4806" spans="1:9" ht="30">
      <c r="A4806" s="3" t="s">
        <v>103</v>
      </c>
      <c r="B4806" s="3" t="s">
        <v>19739</v>
      </c>
      <c r="C4806" s="3" t="s">
        <v>19740</v>
      </c>
      <c r="D4806" s="3" t="s">
        <v>19740</v>
      </c>
      <c r="E4806" s="3" t="s">
        <v>19741</v>
      </c>
      <c r="F4806" s="3" t="s">
        <v>19742</v>
      </c>
      <c r="G4806" s="3" t="str">
        <f ca="1">IFERROR(__xludf.DUMMYFUNCTION("googletranslate(D4806,""en"",""ja"")"),"ターゲット境界")</f>
        <v>ターゲット境界</v>
      </c>
      <c r="H4806" s="3" t="str">
        <f ca="1">IFERROR(__xludf.DUMMYFUNCTION("googletranslate(E4806,""en"",""ja"")"),"バックグラウンドを差し引く前の、生物学的標本中の結合ターゲットの測定。")</f>
        <v>バックグラウンドを差し引く前の、生物学的標本中の結合ターゲットの測定。</v>
      </c>
      <c r="I4806" s="3" t="str">
        <f ca="1">IFERROR(__xludf.DUMMYFUNCTION("googletranslate(F4806,""en"",""ja"")"),"ターゲット境界測定")</f>
        <v>ターゲット境界測定</v>
      </c>
    </row>
    <row r="4807" spans="1:9" ht="30">
      <c r="A4807" s="3" t="s">
        <v>103</v>
      </c>
      <c r="B4807" s="3" t="s">
        <v>19743</v>
      </c>
      <c r="C4807" s="3" t="s">
        <v>19744</v>
      </c>
      <c r="D4807" s="3" t="s">
        <v>19744</v>
      </c>
      <c r="E4807" s="3" t="s">
        <v>19745</v>
      </c>
      <c r="F4807" s="3" t="s">
        <v>19746</v>
      </c>
      <c r="G4807" s="3" t="str">
        <f ca="1">IFERROR(__xludf.DUMMYFUNCTION("googletranslate(D4807,""en"",""ja"")"),"ターゲット境界、背景")</f>
        <v>ターゲット境界、背景</v>
      </c>
      <c r="H4807" s="3" t="str">
        <f ca="1">IFERROR(__xludf.DUMMYFUNCTION("googletranslate(E4807,""en"",""ja"")"),"生物学的標本の結合ターゲット測定値に関連するバックグラウンドの測定値。")</f>
        <v>生物学的標本の結合ターゲット測定値に関連するバックグラウンドの測定値。</v>
      </c>
      <c r="I4807" s="3" t="str">
        <f ca="1">IFERROR(__xludf.DUMMYFUNCTION("googletranslate(F4807,""en"",""ja"")"),"ターゲット境界、バックグラウンド測定")</f>
        <v>ターゲット境界、バックグラウンド測定</v>
      </c>
    </row>
    <row r="4808" spans="1:9" ht="45">
      <c r="A4808" s="3" t="s">
        <v>103</v>
      </c>
      <c r="B4808" s="3" t="s">
        <v>19747</v>
      </c>
      <c r="C4808" s="3" t="s">
        <v>19748</v>
      </c>
      <c r="D4808" s="3" t="s">
        <v>19748</v>
      </c>
      <c r="E4808" s="3" t="s">
        <v>19749</v>
      </c>
      <c r="F4808" s="3" t="s">
        <v>19750</v>
      </c>
      <c r="G4808" s="3" t="str">
        <f ca="1">IFERROR(__xludf.DUMMYFUNCTION("googletranslate(D4808,""en"",""ja"")"),"ターゲット バインド、デルタ バインドの背景")</f>
        <v>ターゲット バインド、デルタ バインドの背景</v>
      </c>
      <c r="H4808" s="3" t="str">
        <f ca="1">IFERROR(__xludf.DUMMYFUNCTION("googletranslate(E4808,""en"",""ja"")"),"生物学的標本中の結合ターゲットとバックグラウンドターゲット間の差異の測定。")</f>
        <v>生物学的標本中の結合ターゲットとバックグラウンドターゲット間の差異の測定。</v>
      </c>
      <c r="I4808" s="3" t="str">
        <f ca="1">IFERROR(__xludf.DUMMYFUNCTION("googletranslate(F4808,""en"",""ja"")"),"ターゲット、バインド デルタ バインド バックグラウンド測定")</f>
        <v>ターゲット、バインド デルタ バインド バックグラウンド測定</v>
      </c>
    </row>
    <row r="4809" spans="1:9" ht="30">
      <c r="A4809" s="3" t="s">
        <v>103</v>
      </c>
      <c r="B4809" s="3" t="s">
        <v>19751</v>
      </c>
      <c r="C4809" s="3" t="s">
        <v>19752</v>
      </c>
      <c r="D4809" s="3" t="s">
        <v>19752</v>
      </c>
      <c r="E4809" s="3" t="s">
        <v>19753</v>
      </c>
      <c r="F4809" s="3" t="s">
        <v>19754</v>
      </c>
      <c r="G4809" s="3" t="str">
        <f ca="1">IFERROR(__xludf.DUMMYFUNCTION("googletranslate(D4809,""en"",""ja"")"),"ターゲットフリー")</f>
        <v>ターゲットフリー</v>
      </c>
      <c r="H4809" s="3" t="str">
        <f ca="1">IFERROR(__xludf.DUMMYFUNCTION("googletranslate(E4809,""en"",""ja"")"),"バックグラウンドを差し引く前の、生物学的標本中の遊離ターゲットの測定。")</f>
        <v>バックグラウンドを差し引く前の、生物学的標本中の遊離ターゲットの測定。</v>
      </c>
      <c r="I4809" s="3" t="str">
        <f ca="1">IFERROR(__xludf.DUMMYFUNCTION("googletranslate(F4809,""en"",""ja"")"),"ターゲットフリー測定")</f>
        <v>ターゲットフリー測定</v>
      </c>
    </row>
    <row r="4810" spans="1:9" ht="45">
      <c r="A4810" s="3" t="s">
        <v>6</v>
      </c>
      <c r="B4810" s="3" t="s">
        <v>19755</v>
      </c>
      <c r="C4810" s="3" t="s">
        <v>19756</v>
      </c>
      <c r="D4810" s="3" t="s">
        <v>19757</v>
      </c>
      <c r="E4810" s="3" t="s">
        <v>19758</v>
      </c>
      <c r="F4810" s="3" t="s">
        <v>19759</v>
      </c>
      <c r="G4810" s="3" t="str">
        <f ca="1">IFERROR(__xludf.DUMMYFUNCTION("googletranslate(D4810,""en"",""ja"")"),"プロトランスフォーミング成長因子アルファ; TGF-アルファ;成長因子アルファの変換")</f>
        <v>プロトランスフォーミング成長因子アルファ; TGF-アルファ;成長因子アルファの変換</v>
      </c>
      <c r="H4810" s="3" t="str">
        <f ca="1">IFERROR(__xludf.DUMMYFUNCTION("googletranslate(E4810,""en"",""ja"")"),"生物学的標本中のトランスフォーミング成長因子アルファの測定。")</f>
        <v>生物学的標本中のトランスフォーミング成長因子アルファの測定。</v>
      </c>
      <c r="I4810" s="3" t="str">
        <f ca="1">IFERROR(__xludf.DUMMYFUNCTION("googletranslate(F4810,""en"",""ja"")"),"成長因子アルファの測定を変える")</f>
        <v>成長因子アルファの測定を変える</v>
      </c>
    </row>
    <row r="4811" spans="1:9" ht="30">
      <c r="A4811" s="3" t="s">
        <v>6</v>
      </c>
      <c r="B4811" s="3" t="s">
        <v>19760</v>
      </c>
      <c r="C4811" s="3" t="s">
        <v>19761</v>
      </c>
      <c r="D4811" s="3" t="s">
        <v>19761</v>
      </c>
      <c r="E4811" s="3" t="s">
        <v>19762</v>
      </c>
      <c r="F4811" s="3" t="s">
        <v>19763</v>
      </c>
      <c r="G4811" s="3" t="str">
        <f ca="1">IFERROR(__xludf.DUMMYFUNCTION("googletranslate(D4811,""en"",""ja"")"),"トランスフォーミング成長因子ベータ")</f>
        <v>トランスフォーミング成長因子ベータ</v>
      </c>
      <c r="H4811" s="3" t="str">
        <f ca="1">IFERROR(__xludf.DUMMYFUNCTION("googletranslate(E4811,""en"",""ja"")"),"生物学的標本中の総トランスフォーミング成長因子ベータの測定。")</f>
        <v>生物学的標本中の総トランスフォーミング成長因子ベータの測定。</v>
      </c>
      <c r="I4811" s="3" t="str">
        <f ca="1">IFERROR(__xludf.DUMMYFUNCTION("googletranslate(F4811,""en"",""ja"")"),"成長因子ベータ測定の変革")</f>
        <v>成長因子ベータ測定の変革</v>
      </c>
    </row>
    <row r="4812" spans="1:9" ht="30">
      <c r="A4812" s="3" t="s">
        <v>6</v>
      </c>
      <c r="B4812" s="3" t="s">
        <v>19764</v>
      </c>
      <c r="C4812" s="3" t="s">
        <v>19765</v>
      </c>
      <c r="D4812" s="3" t="s">
        <v>19765</v>
      </c>
      <c r="E4812" s="3" t="s">
        <v>19766</v>
      </c>
      <c r="F4812" s="3" t="s">
        <v>19767</v>
      </c>
      <c r="G4812" s="3" t="str">
        <f ca="1">IFERROR(__xludf.DUMMYFUNCTION("googletranslate(D4812,""en"",""ja"")"),"トランスフォーミング グロース ファクター ベータ 1")</f>
        <v>トランスフォーミング グロース ファクター ベータ 1</v>
      </c>
      <c r="H4812" s="3" t="str">
        <f ca="1">IFERROR(__xludf.DUMMYFUNCTION("googletranslate(E4812,""en"",""ja"")"),"生物学的標本中のトランスフォーミング成長因子ベータ 1 の測定。")</f>
        <v>生物学的標本中のトランスフォーミング成長因子ベータ 1 の測定。</v>
      </c>
      <c r="I4812" s="3" t="str">
        <f ca="1">IFERROR(__xludf.DUMMYFUNCTION("googletranslate(F4812,""en"",""ja"")"),"成長因子ベータ 1 の変換測定")</f>
        <v>成長因子ベータ 1 の変換測定</v>
      </c>
    </row>
    <row r="4813" spans="1:9" ht="45">
      <c r="A4813" s="3" t="s">
        <v>6</v>
      </c>
      <c r="B4813" s="3" t="s">
        <v>19768</v>
      </c>
      <c r="C4813" s="3" t="s">
        <v>19769</v>
      </c>
      <c r="D4813" s="3" t="s">
        <v>19770</v>
      </c>
      <c r="E4813" s="3" t="s">
        <v>19771</v>
      </c>
      <c r="F4813" s="3" t="s">
        <v>19772</v>
      </c>
      <c r="G4813" s="3" t="str">
        <f ca="1">IFERROR(__xludf.DUMMYFUNCTION("googletranslate(D4813,""en"",""ja"")"),"G-TSF; LDS4; TGF-ベータ2;トランスフォーミング グロース ファクター ベータ 2")</f>
        <v>G-TSF; LDS4; TGF-ベータ2;トランスフォーミング グロース ファクター ベータ 2</v>
      </c>
      <c r="H4813" s="3" t="str">
        <f ca="1">IFERROR(__xludf.DUMMYFUNCTION("googletranslate(E4813,""en"",""ja"")"),"生物学的標本中のトランスフォーミング成長因子ベータ 2 の測定。")</f>
        <v>生物学的標本中のトランスフォーミング成長因子ベータ 2 の測定。</v>
      </c>
      <c r="I4813" s="3" t="str">
        <f ca="1">IFERROR(__xludf.DUMMYFUNCTION("googletranslate(F4813,""en"",""ja"")"),"成長因子ベータ 2 の変換測定")</f>
        <v>成長因子ベータ 2 の変換測定</v>
      </c>
    </row>
    <row r="4814" spans="1:9" ht="45">
      <c r="A4814" s="3" t="s">
        <v>6</v>
      </c>
      <c r="B4814" s="3" t="s">
        <v>19773</v>
      </c>
      <c r="C4814" s="3" t="s">
        <v>19774</v>
      </c>
      <c r="D4814" s="3" t="s">
        <v>19775</v>
      </c>
      <c r="E4814" s="3" t="s">
        <v>19776</v>
      </c>
      <c r="F4814" s="3" t="s">
        <v>19777</v>
      </c>
      <c r="G4814" s="3" t="str">
        <f ca="1">IFERROR(__xludf.DUMMYFUNCTION("googletranslate(D4814,""en"",""ja"")"),"ARVD; ARVD1; LDS5; RNHF; TGF-ベータ3;トランスフォーミング グロース ファクター ベータ 3")</f>
        <v>ARVD; ARVD1; LDS5; RNHF; TGF-ベータ3;トランスフォーミング グロース ファクター ベータ 3</v>
      </c>
      <c r="H4814" s="3" t="str">
        <f ca="1">IFERROR(__xludf.DUMMYFUNCTION("googletranslate(E4814,""en"",""ja"")"),"生物学的標本中のトランスフォーミング成長因子ベータ 3 の測定。")</f>
        <v>生物学的標本中のトランスフォーミング成長因子ベータ 3 の測定。</v>
      </c>
      <c r="I4814" s="3" t="str">
        <f ca="1">IFERROR(__xludf.DUMMYFUNCTION("googletranslate(F4814,""en"",""ja"")"),"成長因子ベータ 3 の変換測定")</f>
        <v>成長因子ベータ 3 の変換測定</v>
      </c>
    </row>
    <row r="4815" spans="1:9" ht="30">
      <c r="A4815" s="3" t="s">
        <v>103</v>
      </c>
      <c r="B4815" s="3" t="s">
        <v>19778</v>
      </c>
      <c r="C4815" s="3" t="s">
        <v>19779</v>
      </c>
      <c r="D4815" s="3" t="s">
        <v>19779</v>
      </c>
      <c r="E4815" s="3" t="s">
        <v>19780</v>
      </c>
      <c r="F4815" s="3" t="s">
        <v>19781</v>
      </c>
      <c r="G4815" s="3" t="str">
        <f ca="1">IFERROR(__xludf.DUMMYFUNCTION("googletranslate(D4815,""en"",""ja"")"),"ターゲットフリー、背景")</f>
        <v>ターゲットフリー、背景</v>
      </c>
      <c r="H4815" s="3" t="str">
        <f ca="1">IFERROR(__xludf.DUMMYFUNCTION("googletranslate(E4815,""en"",""ja"")"),"生物学的標本における自由ターゲットの測定に関連するバックグラウンドの測定。")</f>
        <v>生物学的標本における自由ターゲットの測定に関連するバックグラウンドの測定。</v>
      </c>
      <c r="I4815" s="3" t="str">
        <f ca="1">IFERROR(__xludf.DUMMYFUNCTION("googletranslate(F4815,""en"",""ja"")"),"ターゲットフリー、バックグラウンド測定")</f>
        <v>ターゲットフリー、バックグラウンド測定</v>
      </c>
    </row>
    <row r="4816" spans="1:9" ht="30">
      <c r="A4816" s="3" t="s">
        <v>103</v>
      </c>
      <c r="B4816" s="3" t="s">
        <v>19782</v>
      </c>
      <c r="C4816" s="3" t="s">
        <v>19783</v>
      </c>
      <c r="D4816" s="3" t="s">
        <v>19783</v>
      </c>
      <c r="E4816" s="3" t="s">
        <v>19784</v>
      </c>
      <c r="F4816" s="3" t="s">
        <v>19785</v>
      </c>
      <c r="G4816" s="3" t="str">
        <f ca="1">IFERROR(__xludf.DUMMYFUNCTION("googletranslate(D4816,""en"",""ja"")"),"ターゲットフリー、デルタフリーの背景")</f>
        <v>ターゲットフリー、デルタフリーの背景</v>
      </c>
      <c r="H4816" s="3" t="str">
        <f ca="1">IFERROR(__xludf.DUMMYFUNCTION("googletranslate(E4816,""en"",""ja"")"),"生物学的標本中の遊離ターゲットと遊離バックグラウンドターゲットの差の測定。")</f>
        <v>生物学的標本中の遊離ターゲットと遊離バックグラウンドターゲットの差の測定。</v>
      </c>
      <c r="I4816" s="3" t="str">
        <f ca="1">IFERROR(__xludf.DUMMYFUNCTION("googletranslate(F4816,""en"",""ja"")"),"ターゲット、フリーデルタフリーバックグラウンド測定")</f>
        <v>ターゲット、フリーデルタフリーバックグラウンド測定</v>
      </c>
    </row>
    <row r="4817" spans="1:9">
      <c r="A4817" s="3" t="s">
        <v>6</v>
      </c>
      <c r="B4817" s="3" t="s">
        <v>19786</v>
      </c>
      <c r="C4817" s="3" t="s">
        <v>19787</v>
      </c>
      <c r="D4817" s="3" t="s">
        <v>19788</v>
      </c>
      <c r="E4817" s="3" t="s">
        <v>19789</v>
      </c>
      <c r="F4817" s="3" t="s">
        <v>19790</v>
      </c>
      <c r="G4817" s="3" t="str">
        <f ca="1">IFERROR(__xludf.DUMMYFUNCTION("googletranslate(D4817,""en"",""ja"")"),"TG;サイログロブリン")</f>
        <v>TG;サイログロブリン</v>
      </c>
      <c r="H4817" s="3" t="str">
        <f ca="1">IFERROR(__xludf.DUMMYFUNCTION("googletranslate(E4817,""en"",""ja"")"),"生物学的標本中のサイログロブリンの測定。")</f>
        <v>生物学的標本中のサイログロブリンの測定。</v>
      </c>
      <c r="I4817" s="3" t="str">
        <f ca="1">IFERROR(__xludf.DUMMYFUNCTION("googletranslate(F4817,""en"",""ja"")"),"サイログロブリン測定")</f>
        <v>サイログロブリン測定</v>
      </c>
    </row>
    <row r="4818" spans="1:9" ht="60">
      <c r="A4818" s="3" t="s">
        <v>6</v>
      </c>
      <c r="B4818" s="3" t="s">
        <v>19791</v>
      </c>
      <c r="C4818" s="3" t="s">
        <v>19792</v>
      </c>
      <c r="D4818" s="3" t="s">
        <v>19792</v>
      </c>
      <c r="E4818" s="3" t="s">
        <v>19793</v>
      </c>
      <c r="F4818" s="3" t="s">
        <v>19792</v>
      </c>
      <c r="G4818" s="3" t="str">
        <f ca="1">IFERROR(__xludf.DUMMYFUNCTION("googletranslate(D4818,""en"",""ja"")"),"サイログロブリン回収率")</f>
        <v>サイログロブリン回収率</v>
      </c>
      <c r="H4818" s="3" t="str">
        <f ca="1">IFERROR(__xludf.DUMMYFUNCTION("googletranslate(E4818,""en"",""ja"")"),"生物学的検体におけるサイログロブリン回収率の測定は、既知量のサイログロブリンを検体に添加する前後のサイログロブリン濃度を測定することによって得られます。")</f>
        <v>生物学的検体におけるサイログロブリン回収率の測定は、既知量のサイログロブリンを検体に添加する前後のサイログロブリン濃度を測定することによって得られます。</v>
      </c>
      <c r="I4818" s="3" t="str">
        <f ca="1">IFERROR(__xludf.DUMMYFUNCTION("googletranslate(F4818,""en"",""ja"")"),"サイログロブリン回収率")</f>
        <v>サイログロブリン回収率</v>
      </c>
    </row>
    <row r="4819" spans="1:9" ht="45">
      <c r="A4819" s="3" t="s">
        <v>103</v>
      </c>
      <c r="B4819" s="3" t="s">
        <v>19794</v>
      </c>
      <c r="C4819" s="3" t="s">
        <v>19795</v>
      </c>
      <c r="D4819" s="3" t="s">
        <v>19796</v>
      </c>
      <c r="E4819" s="3" t="s">
        <v>19797</v>
      </c>
      <c r="F4819" s="3" t="s">
        <v>19798</v>
      </c>
      <c r="G4819" s="3" t="str">
        <f ca="1">IFERROR(__xludf.DUMMYFUNCTION("googletranslate(D4819,""en"",""ja"")"),"占有率;彩度のパーセント。目標占有率")</f>
        <v>占有率;彩度のパーセント。目標占有率</v>
      </c>
      <c r="H4819" s="3" t="str">
        <f ca="1">IFERROR(__xludf.DUMMYFUNCTION("googletranslate(E4819,""en"",""ja"")"),"生物学的標本中の全標的に対する特異的に結合した標的の相対測定値 (比率またはパーセンテージ)。")</f>
        <v>生物学的標本中の全標的に対する特異的に結合した標的の相対測定値 (比率またはパーセンテージ)。</v>
      </c>
      <c r="I4819" s="3" t="str">
        <f ca="1">IFERROR(__xludf.DUMMYFUNCTION("googletranslate(F4819,""en"",""ja"")"),"目標占有率の測定")</f>
        <v>目標占有率の測定</v>
      </c>
    </row>
    <row r="4820" spans="1:9" ht="30">
      <c r="A4820" s="3" t="s">
        <v>67</v>
      </c>
      <c r="B4820" s="3" t="s">
        <v>19799</v>
      </c>
      <c r="C4820" s="3" t="s">
        <v>19800</v>
      </c>
      <c r="D4820" s="3" t="s">
        <v>19800</v>
      </c>
      <c r="E4820" s="3" t="s">
        <v>19801</v>
      </c>
      <c r="F4820" s="3" t="s">
        <v>19802</v>
      </c>
      <c r="G4820" s="3" t="str">
        <f ca="1">IFERROR(__xludf.DUMMYFUNCTION("googletranslate(D4820,""en"",""ja"")"),"トキソプラズマゴンディのDNA")</f>
        <v>トキソプラズマゴンディのDNA</v>
      </c>
      <c r="H4820" s="3" t="str">
        <f ca="1">IFERROR(__xludf.DUMMYFUNCTION("googletranslate(E4820,""en"",""ja"")"),"生物学的標本中のトキソプラズマ ゴンディ DNA の測定。")</f>
        <v>生物学的標本中のトキソプラズマ ゴンディ DNA の測定。</v>
      </c>
      <c r="I4820" s="3" t="str">
        <f ca="1">IFERROR(__xludf.DUMMYFUNCTION("googletranslate(F4820,""en"",""ja"")"),"トキソプラズマゴンディ DNA 測定")</f>
        <v>トキソプラズマゴンディ DNA 測定</v>
      </c>
    </row>
    <row r="4821" spans="1:9" ht="30">
      <c r="A4821" s="3" t="s">
        <v>103</v>
      </c>
      <c r="B4821" s="3" t="s">
        <v>19803</v>
      </c>
      <c r="C4821" s="3" t="s">
        <v>19804</v>
      </c>
      <c r="D4821" s="3" t="s">
        <v>19804</v>
      </c>
      <c r="E4821" s="3" t="s">
        <v>19805</v>
      </c>
      <c r="F4821" s="3" t="s">
        <v>19806</v>
      </c>
      <c r="G4821" s="3" t="str">
        <f ca="1">IFERROR(__xludf.DUMMYFUNCTION("googletranslate(D4821,""en"",""ja"")"),"目標合計")</f>
        <v>目標合計</v>
      </c>
      <c r="H4821" s="3" t="str">
        <f ca="1">IFERROR(__xludf.DUMMYFUNCTION("googletranslate(E4821,""en"",""ja"")"),"バックグラウンドを差し引く前の、生物学的標本中のターゲット全体の測定値。")</f>
        <v>バックグラウンドを差し引く前の、生物学的標本中のターゲット全体の測定値。</v>
      </c>
      <c r="I4821" s="3" t="str">
        <f ca="1">IFERROR(__xludf.DUMMYFUNCTION("googletranslate(F4821,""en"",""ja"")"),"目標トータル計測")</f>
        <v>目標トータル計測</v>
      </c>
    </row>
    <row r="4822" spans="1:9" ht="30">
      <c r="A4822" s="3" t="s">
        <v>103</v>
      </c>
      <c r="B4822" s="3" t="s">
        <v>19807</v>
      </c>
      <c r="C4822" s="3" t="s">
        <v>19808</v>
      </c>
      <c r="D4822" s="3" t="s">
        <v>19808</v>
      </c>
      <c r="E4822" s="3" t="s">
        <v>19809</v>
      </c>
      <c r="F4822" s="3" t="s">
        <v>19810</v>
      </c>
      <c r="G4822" s="3" t="str">
        <f ca="1">IFERROR(__xludf.DUMMYFUNCTION("googletranslate(D4822,""en"",""ja"")"),"目標合計、背景")</f>
        <v>目標合計、背景</v>
      </c>
      <c r="H4822" s="3" t="str">
        <f ca="1">IFERROR(__xludf.DUMMYFUNCTION("googletranslate(E4822,""en"",""ja"")"),"生物学的標本の全ターゲット測定値に関連するバックグラウンドの測定値。")</f>
        <v>生物学的標本の全ターゲット測定値に関連するバックグラウンドの測定値。</v>
      </c>
      <c r="I4822" s="3" t="str">
        <f ca="1">IFERROR(__xludf.DUMMYFUNCTION("googletranslate(F4822,""en"",""ja"")"),"ターゲット合計、バックグラウンド測定")</f>
        <v>ターゲット合計、バックグラウンド測定</v>
      </c>
    </row>
    <row r="4823" spans="1:9" ht="45">
      <c r="A4823" s="3" t="s">
        <v>103</v>
      </c>
      <c r="B4823" s="3" t="s">
        <v>19811</v>
      </c>
      <c r="C4823" s="3" t="s">
        <v>19812</v>
      </c>
      <c r="D4823" s="3" t="s">
        <v>19812</v>
      </c>
      <c r="E4823" s="3" t="s">
        <v>19813</v>
      </c>
      <c r="F4823" s="3" t="s">
        <v>19814</v>
      </c>
      <c r="G4823" s="3" t="str">
        <f ca="1">IFERROR(__xludf.DUMMYFUNCTION("googletranslate(D4823,""en"",""ja"")"),"ターゲット合計、デルタ合計の背景")</f>
        <v>ターゲット合計、デルタ合計の背景</v>
      </c>
      <c r="H4823" s="3" t="str">
        <f ca="1">IFERROR(__xludf.DUMMYFUNCTION("googletranslate(E4823,""en"",""ja"")"),"生物学的標本におけるターゲットの総量とターゲットの総バックグラウンドの差の測定値。")</f>
        <v>生物学的標本におけるターゲットの総量とターゲットの総バックグラウンドの差の測定値。</v>
      </c>
      <c r="I4823" s="3" t="str">
        <f ca="1">IFERROR(__xludf.DUMMYFUNCTION("googletranslate(F4823,""en"",""ja"")"),"ターゲット、トータルデルタトータルバックグラウンド測定")</f>
        <v>ターゲット、トータルデルタトータルバックグラウンド測定</v>
      </c>
    </row>
    <row r="4824" spans="1:9" ht="30">
      <c r="A4824" s="3" t="s">
        <v>490</v>
      </c>
      <c r="B4824" s="3" t="s">
        <v>19815</v>
      </c>
      <c r="C4824" s="3" t="s">
        <v>19816</v>
      </c>
      <c r="D4824" s="3" t="s">
        <v>19816</v>
      </c>
      <c r="E4824" s="3" t="s">
        <v>19817</v>
      </c>
      <c r="F4824" s="3" t="s">
        <v>19816</v>
      </c>
      <c r="G4824" s="3" t="str">
        <f ca="1">IFERROR(__xludf.DUMMYFUNCTION("googletranslate(D4824,""en"",""ja"")"),"胸部ガス量")</f>
        <v>胸部ガス量</v>
      </c>
      <c r="H4824" s="3" t="str">
        <f ca="1">IFERROR(__xludf.DUMMYFUNCTION("googletranslate(E4824,""en"",""ja"")"),"任意の時点および肺胞圧レベルで胸腔内に含まれる空気の絶対量。")</f>
        <v>任意の時点および肺胞圧レベルで胸腔内に含まれる空気の絶対量。</v>
      </c>
      <c r="I4824" s="3" t="str">
        <f ca="1">IFERROR(__xludf.DUMMYFUNCTION("googletranslate(F4824,""en"",""ja"")"),"胸部ガス量")</f>
        <v>胸部ガス量</v>
      </c>
    </row>
    <row r="4825" spans="1:9" ht="60">
      <c r="A4825" s="3" t="s">
        <v>103</v>
      </c>
      <c r="B4825" s="3" t="s">
        <v>19818</v>
      </c>
      <c r="C4825" s="3" t="s">
        <v>19819</v>
      </c>
      <c r="D4825" s="3" t="s">
        <v>19820</v>
      </c>
      <c r="E4825" s="3" t="s">
        <v>19821</v>
      </c>
      <c r="F4825" s="3" t="s">
        <v>19822</v>
      </c>
      <c r="G4825" s="3" t="str">
        <f ca="1">IFERROR(__xludf.DUMMYFUNCTION("googletranslate(D4825,""en"",""ja"")"),"T リンパ球ヘルパー 17.1 部分集団/T リンパ球ヘルパー 17.1; TLym ヘルプ 17.1 サブ/TLymH17.1")</f>
        <v>T リンパ球ヘルパー 17.1 部分集団/T リンパ球ヘルパー 17.1; TLym ヘルプ 17.1 サブ/TLymH17.1</v>
      </c>
      <c r="H4825" s="3" t="str">
        <f ca="1">IFERROR(__xludf.DUMMYFUNCTION("googletranslate(E4825,""en"",""ja"")"),"生物学的検体中の総ヘルパー 17.1 T リンパ球に対するヘルパー 17.1 T リンパ球の部分集団の相対測定値 (比率またはパーセンテージ)。")</f>
        <v>生物学的検体中の総ヘルパー 17.1 T リンパ球に対するヘルパー 17.1 T リンパ球の部分集団の相対測定値 (比率またはパーセンテージ)。</v>
      </c>
      <c r="I4825" s="3" t="str">
        <f ca="1">IFERROR(__xludf.DUMMYFUNCTION("googletranslate(F4825,""en"",""ja"")"),"ヘルパー 17.1 T リンパ球部分集団とヘルパー 17.1 T リンパ球の比率の測定")</f>
        <v>ヘルパー 17.1 T リンパ球部分集団とヘルパー 17.1 T リンパ球の比率の測定</v>
      </c>
    </row>
    <row r="4826" spans="1:9" ht="45">
      <c r="A4826" s="3" t="s">
        <v>103</v>
      </c>
      <c r="B4826" s="3" t="s">
        <v>19823</v>
      </c>
      <c r="C4826" s="3" t="s">
        <v>19824</v>
      </c>
      <c r="D4826" s="3" t="s">
        <v>19825</v>
      </c>
      <c r="E4826" s="3" t="s">
        <v>19826</v>
      </c>
      <c r="F4826" s="3" t="s">
        <v>19827</v>
      </c>
      <c r="G4826" s="3" t="str">
        <f ca="1">IFERROR(__xludf.DUMMYFUNCTION("googletranslate(D4826,""en"",""ja"")"),"T リンパ球ヘルパー 17.1 部分集団/T リンパ球ヘルパー; TLym ヘルプ 17.1 Sub/TLym ヘルプ")</f>
        <v>T リンパ球ヘルパー 17.1 部分集団/T リンパ球ヘルパー; TLym ヘルプ 17.1 Sub/TLym ヘルプ</v>
      </c>
      <c r="H4826" s="3" t="str">
        <f ca="1">IFERROR(__xludf.DUMMYFUNCTION("googletranslate(E4826,""en"",""ja"")"),"生物学的検体中の総ヘルパー T リンパ球に対するヘルパー 17.1 T リンパ球の部分集団の相対測定値 (比率またはパーセンテージ)。")</f>
        <v>生物学的検体中の総ヘルパー T リンパ球に対するヘルパー 17.1 T リンパ球の部分集団の相対測定値 (比率またはパーセンテージ)。</v>
      </c>
      <c r="I4826" s="3" t="str">
        <f ca="1">IFERROR(__xludf.DUMMYFUNCTION("googletranslate(F4826,""en"",""ja"")"),"ヘルパー 17.1 T リンパ球部分集団とヘルパー T リンパ球の比率の測定")</f>
        <v>ヘルパー 17.1 T リンパ球部分集団とヘルパー T リンパ球の比率の測定</v>
      </c>
    </row>
    <row r="4827" spans="1:9" ht="45">
      <c r="A4827" s="3" t="s">
        <v>103</v>
      </c>
      <c r="B4827" s="3" t="s">
        <v>19828</v>
      </c>
      <c r="C4827" s="3" t="s">
        <v>19829</v>
      </c>
      <c r="D4827" s="3" t="s">
        <v>19830</v>
      </c>
      <c r="E4827" s="3" t="s">
        <v>19831</v>
      </c>
      <c r="F4827" s="3" t="s">
        <v>19832</v>
      </c>
      <c r="G4827" s="3" t="str">
        <f ca="1">IFERROR(__xludf.DUMMYFUNCTION("googletranslate(D4827,""en"",""ja"")"),"T リンパ球ヘルパー 17.1/T リンパ球ヘルパー; TLym ヘルプ 17.1/TLym ヘルプ")</f>
        <v>T リンパ球ヘルパー 17.1/T リンパ球ヘルパー; TLym ヘルプ 17.1/TLym ヘルプ</v>
      </c>
      <c r="H4827" s="3" t="str">
        <f ca="1">IFERROR(__xludf.DUMMYFUNCTION("googletranslate(E4827,""en"",""ja"")"),"生物学的検体中の総ヘルパー T リンパ球に対するヘルパー 17.1 T リンパ球の相対測定値 (比率またはパーセンテージ)。")</f>
        <v>生物学的検体中の総ヘルパー T リンパ球に対するヘルパー 17.1 T リンパ球の相対測定値 (比率またはパーセンテージ)。</v>
      </c>
      <c r="I4827" s="3" t="str">
        <f ca="1">IFERROR(__xludf.DUMMYFUNCTION("googletranslate(F4827,""en"",""ja"")"),"ヘルパー 17.1 T リンパ球とヘルパー T リンパ球の比率の測定")</f>
        <v>ヘルパー 17.1 T リンパ球とヘルパー T リンパ球の比率の測定</v>
      </c>
    </row>
    <row r="4828" spans="1:9" ht="45">
      <c r="A4828" s="3" t="s">
        <v>103</v>
      </c>
      <c r="B4828" s="3" t="s">
        <v>19833</v>
      </c>
      <c r="C4828" s="3" t="s">
        <v>19834</v>
      </c>
      <c r="D4828" s="3" t="s">
        <v>19835</v>
      </c>
      <c r="E4828" s="3" t="s">
        <v>19836</v>
      </c>
      <c r="F4828" s="3" t="s">
        <v>19837</v>
      </c>
      <c r="G4828" s="3" t="str">
        <f ca="1">IFERROR(__xludf.DUMMYFUNCTION("googletranslate(D4828,""en"",""ja"")"),"T リンパ球ヘルパー 17 サブ集団/T リンパ球ヘルパー 17; TLym ヘルプ 17 Sub/TLymH17")</f>
        <v>T リンパ球ヘルパー 17 サブ集団/T リンパ球ヘルパー 17; TLym ヘルプ 17 Sub/TLymH17</v>
      </c>
      <c r="H4828" s="3" t="str">
        <f ca="1">IFERROR(__xludf.DUMMYFUNCTION("googletranslate(E4828,""en"",""ja"")"),"生物学的検体中の総ヘルパー 17 T リンパ球に対するヘルパー 17 T リンパ球の部分集団の相対測定値 (比率またはパーセンテージ)。")</f>
        <v>生物学的検体中の総ヘルパー 17 T リンパ球に対するヘルパー 17 T リンパ球の部分集団の相対測定値 (比率またはパーセンテージ)。</v>
      </c>
      <c r="I4828" s="3" t="str">
        <f ca="1">IFERROR(__xludf.DUMMYFUNCTION("googletranslate(F4828,""en"",""ja"")"),"ヘルパー 17 T リンパ球部分集団とヘルパー 17 T リンパ球の比率の測定")</f>
        <v>ヘルパー 17 T リンパ球部分集団とヘルパー 17 T リンパ球の比率の測定</v>
      </c>
    </row>
    <row r="4829" spans="1:9" ht="45">
      <c r="A4829" s="3" t="s">
        <v>103</v>
      </c>
      <c r="B4829" s="3" t="s">
        <v>19838</v>
      </c>
      <c r="C4829" s="3" t="s">
        <v>19839</v>
      </c>
      <c r="D4829" s="3" t="s">
        <v>19840</v>
      </c>
      <c r="E4829" s="3" t="s">
        <v>19841</v>
      </c>
      <c r="F4829" s="3" t="s">
        <v>19842</v>
      </c>
      <c r="G4829" s="3" t="str">
        <f ca="1">IFERROR(__xludf.DUMMYFUNCTION("googletranslate(D4829,""en"",""ja"")"),"T リンパ球ヘルパー 17 サブ集団/T リンパ球ヘルパー; TLym ヘルプ 17 Sub/TLym ヘルプ")</f>
        <v>T リンパ球ヘルパー 17 サブ集団/T リンパ球ヘルパー; TLym ヘルプ 17 Sub/TLym ヘルプ</v>
      </c>
      <c r="H4829" s="3" t="str">
        <f ca="1">IFERROR(__xludf.DUMMYFUNCTION("googletranslate(E4829,""en"",""ja"")"),"生物学的検体中の総ヘルパー T リンパ球に対するヘルパー 17 T リンパ球の部分集団の相対測定値 (比率またはパーセンテージ)。")</f>
        <v>生物学的検体中の総ヘルパー T リンパ球に対するヘルパー 17 T リンパ球の部分集団の相対測定値 (比率またはパーセンテージ)。</v>
      </c>
      <c r="I4829" s="3" t="str">
        <f ca="1">IFERROR(__xludf.DUMMYFUNCTION("googletranslate(F4829,""en"",""ja"")"),"ヘルパー 17 T リンパ球部分集団とヘルパー T リンパ球の比率の測定")</f>
        <v>ヘルパー 17 T リンパ球部分集団とヘルパー T リンパ球の比率の測定</v>
      </c>
    </row>
    <row r="4830" spans="1:9" ht="45">
      <c r="A4830" s="3" t="s">
        <v>103</v>
      </c>
      <c r="B4830" s="3" t="s">
        <v>19843</v>
      </c>
      <c r="C4830" s="3" t="s">
        <v>19844</v>
      </c>
      <c r="D4830" s="3" t="s">
        <v>19845</v>
      </c>
      <c r="E4830" s="3" t="s">
        <v>19846</v>
      </c>
      <c r="F4830" s="3" t="s">
        <v>19847</v>
      </c>
      <c r="G4830" s="3" t="str">
        <f ca="1">IFERROR(__xludf.DUMMYFUNCTION("googletranslate(D4830,""en"",""ja"")"),"T リンパ球ヘルパー 17/T リンパ球ヘルパー; TLym ヘルプ 17/TLym ヘルプ")</f>
        <v>T リンパ球ヘルパー 17/T リンパ球ヘルパー; TLym ヘルプ 17/TLym ヘルプ</v>
      </c>
      <c r="H4830" s="3" t="str">
        <f ca="1">IFERROR(__xludf.DUMMYFUNCTION("googletranslate(E4830,""en"",""ja"")"),"生物学的検体中の総ヘルパー T リンパ球に対するヘルパー 17 T リンパ球の相対測定値 (比率またはパーセンテージ)。")</f>
        <v>生物学的検体中の総ヘルパー T リンパ球に対するヘルパー 17 T リンパ球の相対測定値 (比率またはパーセンテージ)。</v>
      </c>
      <c r="I4830" s="3" t="str">
        <f ca="1">IFERROR(__xludf.DUMMYFUNCTION("googletranslate(F4830,""en"",""ja"")"),"ヘルパー 17 T リンパ球とヘルパー T リンパ球の比率の測定")</f>
        <v>ヘルパー 17 T リンパ球とヘルパー T リンパ球の比率の測定</v>
      </c>
    </row>
    <row r="4831" spans="1:9" ht="45">
      <c r="A4831" s="3" t="s">
        <v>103</v>
      </c>
      <c r="B4831" s="3" t="s">
        <v>19848</v>
      </c>
      <c r="C4831" s="3" t="s">
        <v>19849</v>
      </c>
      <c r="D4831" s="3" t="s">
        <v>19850</v>
      </c>
      <c r="E4831" s="3" t="s">
        <v>19851</v>
      </c>
      <c r="F4831" s="3" t="s">
        <v>19852</v>
      </c>
      <c r="G4831" s="3" t="str">
        <f ca="1">IFERROR(__xludf.DUMMYFUNCTION("googletranslate(D4831,""en"",""ja"")"),"T リンパ球ヘルパー 1 サブ集団/T リンパ球ヘルパー 1; TLym ヘルプ 1 サブ/TLymH1")</f>
        <v>T リンパ球ヘルパー 1 サブ集団/T リンパ球ヘルパー 1; TLym ヘルプ 1 サブ/TLymH1</v>
      </c>
      <c r="H4831" s="3" t="str">
        <f ca="1">IFERROR(__xludf.DUMMYFUNCTION("googletranslate(E4831,""en"",""ja"")"),"生物学的検体中の総ヘルパー 1 T リンパ球に対するヘルパー 1 T リンパ球の部分集団の相対測定値 (比率またはパーセンテージ)。")</f>
        <v>生物学的検体中の総ヘルパー 1 T リンパ球に対するヘルパー 1 T リンパ球の部分集団の相対測定値 (比率またはパーセンテージ)。</v>
      </c>
      <c r="I4831" s="3" t="str">
        <f ca="1">IFERROR(__xludf.DUMMYFUNCTION("googletranslate(F4831,""en"",""ja"")"),"ヘルパー 1 T リンパ球部分集団とヘルパー 1 T リンパ球の比率の測定")</f>
        <v>ヘルパー 1 T リンパ球部分集団とヘルパー 1 T リンパ球の比率の測定</v>
      </c>
    </row>
    <row r="4832" spans="1:9" ht="45">
      <c r="A4832" s="3" t="s">
        <v>103</v>
      </c>
      <c r="B4832" s="3" t="s">
        <v>19853</v>
      </c>
      <c r="C4832" s="3" t="s">
        <v>19854</v>
      </c>
      <c r="D4832" s="3" t="s">
        <v>19855</v>
      </c>
      <c r="E4832" s="3" t="s">
        <v>19856</v>
      </c>
      <c r="F4832" s="3" t="s">
        <v>19857</v>
      </c>
      <c r="G4832" s="3" t="str">
        <f ca="1">IFERROR(__xludf.DUMMYFUNCTION("googletranslate(D4832,""en"",""ja"")"),"T リンパ球ヘルパー 1 サブ集団/T リンパ球ヘルパー; TLym ヘルプ 1 サブ/TLym ヘルパー")</f>
        <v>T リンパ球ヘルパー 1 サブ集団/T リンパ球ヘルパー; TLym ヘルプ 1 サブ/TLym ヘルパー</v>
      </c>
      <c r="H4832" s="3" t="str">
        <f ca="1">IFERROR(__xludf.DUMMYFUNCTION("googletranslate(E4832,""en"",""ja"")"),"生物学的検体中の総ヘルパー T リンパ球に対するヘルパー 1 T リンパ球の部分集団の相対測定値 (比率またはパーセンテージ)。")</f>
        <v>生物学的検体中の総ヘルパー T リンパ球に対するヘルパー 1 T リンパ球の部分集団の相対測定値 (比率またはパーセンテージ)。</v>
      </c>
      <c r="I4832" s="3" t="str">
        <f ca="1">IFERROR(__xludf.DUMMYFUNCTION("googletranslate(F4832,""en"",""ja"")"),"ヘルパー 1 T リンパ球部分集団とヘルパー T リンパ球の比率の測定")</f>
        <v>ヘルパー 1 T リンパ球部分集団とヘルパー T リンパ球の比率の測定</v>
      </c>
    </row>
    <row r="4833" spans="1:9" ht="45">
      <c r="A4833" s="3" t="s">
        <v>103</v>
      </c>
      <c r="B4833" s="3" t="s">
        <v>19858</v>
      </c>
      <c r="C4833" s="3" t="s">
        <v>19859</v>
      </c>
      <c r="D4833" s="3" t="s">
        <v>19860</v>
      </c>
      <c r="E4833" s="3" t="s">
        <v>19861</v>
      </c>
      <c r="F4833" s="3" t="s">
        <v>19862</v>
      </c>
      <c r="G4833" s="3" t="str">
        <f ca="1">IFERROR(__xludf.DUMMYFUNCTION("googletranslate(D4833,""en"",""ja"")"),"T リンパ球ヘルパー 1/T リンパ球ヘルパー; TLym ヘルプ 1/TLym ヘルプ")</f>
        <v>T リンパ球ヘルパー 1/T リンパ球ヘルパー; TLym ヘルプ 1/TLym ヘルプ</v>
      </c>
      <c r="H4833" s="3" t="str">
        <f ca="1">IFERROR(__xludf.DUMMYFUNCTION("googletranslate(E4833,""en"",""ja"")"),"生物学的検体中の総ヘルパー T リンパ球に対するヘルパー 1 T リンパ球の相対測定値 (比率またはパーセンテージ)。")</f>
        <v>生物学的検体中の総ヘルパー T リンパ球に対するヘルパー 1 T リンパ球の相対測定値 (比率またはパーセンテージ)。</v>
      </c>
      <c r="I4833" s="3" t="str">
        <f ca="1">IFERROR(__xludf.DUMMYFUNCTION("googletranslate(F4833,""en"",""ja"")"),"ヘルパー 1 T リンパ球とヘルパー T リンパ球の比率の測定")</f>
        <v>ヘルパー 1 T リンパ球とヘルパー T リンパ球の比率の測定</v>
      </c>
    </row>
    <row r="4834" spans="1:9" ht="45">
      <c r="A4834" s="3" t="s">
        <v>103</v>
      </c>
      <c r="B4834" s="3" t="s">
        <v>19863</v>
      </c>
      <c r="C4834" s="3" t="s">
        <v>19864</v>
      </c>
      <c r="D4834" s="3" t="s">
        <v>19865</v>
      </c>
      <c r="E4834" s="3" t="s">
        <v>19866</v>
      </c>
      <c r="F4834" s="3" t="s">
        <v>19867</v>
      </c>
      <c r="G4834" s="3" t="str">
        <f ca="1">IFERROR(__xludf.DUMMYFUNCTION("googletranslate(D4834,""en"",""ja"")"),"T リンパ球ヘルパー 22 サブ集団/T リンパ球ヘルパー 22; TLym ヘルプ 22 Sub/TLymH22")</f>
        <v>T リンパ球ヘルパー 22 サブ集団/T リンパ球ヘルパー 22; TLym ヘルプ 22 Sub/TLymH22</v>
      </c>
      <c r="H4834" s="3" t="str">
        <f ca="1">IFERROR(__xludf.DUMMYFUNCTION("googletranslate(E4834,""en"",""ja"")"),"生物学的検体中の総ヘルパー 22 T リンパ球に対するヘルパー 22 T リンパ球の部分集団の相対測定値 (比率またはパーセンテージ)。")</f>
        <v>生物学的検体中の総ヘルパー 22 T リンパ球に対するヘルパー 22 T リンパ球の部分集団の相対測定値 (比率またはパーセンテージ)。</v>
      </c>
      <c r="I4834" s="3" t="str">
        <f ca="1">IFERROR(__xludf.DUMMYFUNCTION("googletranslate(F4834,""en"",""ja"")"),"ヘルパー 22 T リンパ球部分集団とヘルパー 22 T リンパ球の比率の測定")</f>
        <v>ヘルパー 22 T リンパ球部分集団とヘルパー 22 T リンパ球の比率の測定</v>
      </c>
    </row>
    <row r="4835" spans="1:9" ht="45">
      <c r="A4835" s="3" t="s">
        <v>103</v>
      </c>
      <c r="B4835" s="3" t="s">
        <v>19868</v>
      </c>
      <c r="C4835" s="3" t="s">
        <v>19869</v>
      </c>
      <c r="D4835" s="3" t="s">
        <v>19870</v>
      </c>
      <c r="E4835" s="3" t="s">
        <v>19871</v>
      </c>
      <c r="F4835" s="3" t="s">
        <v>19872</v>
      </c>
      <c r="G4835" s="3" t="str">
        <f ca="1">IFERROR(__xludf.DUMMYFUNCTION("googletranslate(D4835,""en"",""ja"")"),"T リンパ球ヘルパー 22 サブ集団/T リンパ球ヘルパー; TLym ヘルプ 22 Sub/TLym ヘルプ")</f>
        <v>T リンパ球ヘルパー 22 サブ集団/T リンパ球ヘルパー; TLym ヘルプ 22 Sub/TLym ヘルプ</v>
      </c>
      <c r="H4835" s="3" t="str">
        <f ca="1">IFERROR(__xludf.DUMMYFUNCTION("googletranslate(E4835,""en"",""ja"")"),"生物学的検体中の総ヘルパー T リンパ球に対するヘルパー 22 T リンパ球の部分集団の相対測定値 (比率またはパーセンテージ)。")</f>
        <v>生物学的検体中の総ヘルパー T リンパ球に対するヘルパー 22 T リンパ球の部分集団の相対測定値 (比率またはパーセンテージ)。</v>
      </c>
      <c r="I4835" s="3" t="str">
        <f ca="1">IFERROR(__xludf.DUMMYFUNCTION("googletranslate(F4835,""en"",""ja"")"),"ヘルパー 22 T リンパ球部分集団とヘルパー T リンパ球の比率の測定")</f>
        <v>ヘルパー 22 T リンパ球部分集団とヘルパー T リンパ球の比率の測定</v>
      </c>
    </row>
    <row r="4836" spans="1:9" ht="45">
      <c r="A4836" s="3" t="s">
        <v>103</v>
      </c>
      <c r="B4836" s="3" t="s">
        <v>19873</v>
      </c>
      <c r="C4836" s="3" t="s">
        <v>19874</v>
      </c>
      <c r="D4836" s="3" t="s">
        <v>19875</v>
      </c>
      <c r="E4836" s="3" t="s">
        <v>19876</v>
      </c>
      <c r="F4836" s="3" t="s">
        <v>19877</v>
      </c>
      <c r="G4836" s="3" t="str">
        <f ca="1">IFERROR(__xludf.DUMMYFUNCTION("googletranslate(D4836,""en"",""ja"")"),"T リンパ球ヘルパー 22/T リンパ球ヘルパー; TLym ヘルプ 22/TLym ヘルプ")</f>
        <v>T リンパ球ヘルパー 22/T リンパ球ヘルパー; TLym ヘルプ 22/TLym ヘルプ</v>
      </c>
      <c r="H4836" s="3" t="str">
        <f ca="1">IFERROR(__xludf.DUMMYFUNCTION("googletranslate(E4836,""en"",""ja"")"),"生物学的検体中の総ヘルパー T リンパ球に対するヘルパー 22 T リンパ球の相対測定値 (比率またはパーセンテージ)。")</f>
        <v>生物学的検体中の総ヘルパー T リンパ球に対するヘルパー 22 T リンパ球の相対測定値 (比率またはパーセンテージ)。</v>
      </c>
      <c r="I4836" s="3" t="str">
        <f ca="1">IFERROR(__xludf.DUMMYFUNCTION("googletranslate(F4836,""en"",""ja"")"),"ヘルパー 22 T リンパ球とヘルパー T リンパ球の比率の測定")</f>
        <v>ヘルパー 22 T リンパ球とヘルパー T リンパ球の比率の測定</v>
      </c>
    </row>
    <row r="4837" spans="1:9" ht="45">
      <c r="A4837" s="3" t="s">
        <v>103</v>
      </c>
      <c r="B4837" s="3" t="s">
        <v>19878</v>
      </c>
      <c r="C4837" s="3" t="s">
        <v>19879</v>
      </c>
      <c r="D4837" s="3" t="s">
        <v>19880</v>
      </c>
      <c r="E4837" s="3" t="s">
        <v>19881</v>
      </c>
      <c r="F4837" s="3" t="s">
        <v>19882</v>
      </c>
      <c r="G4837" s="3" t="str">
        <f ca="1">IFERROR(__xludf.DUMMYFUNCTION("googletranslate(D4837,""en"",""ja"")"),"T リンパ球ヘルパー 2 サブ集団/T リンパ球ヘルパー 2; TLym ヘルプ 2 サブ/TLymH2")</f>
        <v>T リンパ球ヘルパー 2 サブ集団/T リンパ球ヘルパー 2; TLym ヘルプ 2 サブ/TLymH2</v>
      </c>
      <c r="H4837" s="3" t="str">
        <f ca="1">IFERROR(__xludf.DUMMYFUNCTION("googletranslate(E4837,""en"",""ja"")"),"生物学的検体中の総ヘルパー 2 T リンパ球に対するヘルパー 2 T リンパ球の部分集団の相対測定値 (比率またはパーセンテージ)。")</f>
        <v>生物学的検体中の総ヘルパー 2 T リンパ球に対するヘルパー 2 T リンパ球の部分集団の相対測定値 (比率またはパーセンテージ)。</v>
      </c>
      <c r="I4837" s="3" t="str">
        <f ca="1">IFERROR(__xludf.DUMMYFUNCTION("googletranslate(F4837,""en"",""ja"")"),"ヘルパー 2 T リンパ球部分集団とヘルパー 2 T リンパ球の比率の測定")</f>
        <v>ヘルパー 2 T リンパ球部分集団とヘルパー 2 T リンパ球の比率の測定</v>
      </c>
    </row>
    <row r="4838" spans="1:9" ht="45">
      <c r="A4838" s="3" t="s">
        <v>103</v>
      </c>
      <c r="B4838" s="3" t="s">
        <v>19883</v>
      </c>
      <c r="C4838" s="3" t="s">
        <v>19884</v>
      </c>
      <c r="D4838" s="3" t="s">
        <v>19885</v>
      </c>
      <c r="E4838" s="3" t="s">
        <v>19886</v>
      </c>
      <c r="F4838" s="3" t="s">
        <v>19887</v>
      </c>
      <c r="G4838" s="3" t="str">
        <f ca="1">IFERROR(__xludf.DUMMYFUNCTION("googletranslate(D4838,""en"",""ja"")"),"T リンパ球ヘルパー 2 サブ集団/T リンパ球ヘルパー; TLym ヘルプ 2 サブ/TLym ヘルプ")</f>
        <v>T リンパ球ヘルパー 2 サブ集団/T リンパ球ヘルパー; TLym ヘルプ 2 サブ/TLym ヘルプ</v>
      </c>
      <c r="H4838" s="3" t="str">
        <f ca="1">IFERROR(__xludf.DUMMYFUNCTION("googletranslate(E4838,""en"",""ja"")"),"生物学的検体中の総ヘルパー T リンパ球に対するヘルパー 2 T リンパ球の部分集団の相対測定値 (比率またはパーセンテージ)。")</f>
        <v>生物学的検体中の総ヘルパー T リンパ球に対するヘルパー 2 T リンパ球の部分集団の相対測定値 (比率またはパーセンテージ)。</v>
      </c>
      <c r="I4838" s="3" t="str">
        <f ca="1">IFERROR(__xludf.DUMMYFUNCTION("googletranslate(F4838,""en"",""ja"")"),"ヘルパー 2 T リンパ球部分集団とヘルパー T リンパ球の比率の測定")</f>
        <v>ヘルパー 2 T リンパ球部分集団とヘルパー T リンパ球の比率の測定</v>
      </c>
    </row>
    <row r="4839" spans="1:9" ht="45">
      <c r="A4839" s="3" t="s">
        <v>103</v>
      </c>
      <c r="B4839" s="3" t="s">
        <v>19888</v>
      </c>
      <c r="C4839" s="3" t="s">
        <v>19889</v>
      </c>
      <c r="D4839" s="3" t="s">
        <v>19890</v>
      </c>
      <c r="E4839" s="3" t="s">
        <v>19891</v>
      </c>
      <c r="F4839" s="3" t="s">
        <v>19892</v>
      </c>
      <c r="G4839" s="3" t="str">
        <f ca="1">IFERROR(__xludf.DUMMYFUNCTION("googletranslate(D4839,""en"",""ja"")"),"T リンパ球ヘルパー 2/T リンパ球ヘルパー; TLym ヘルプ 2/TLym ヘルプ")</f>
        <v>T リンパ球ヘルパー 2/T リンパ球ヘルパー; TLym ヘルプ 2/TLym ヘルプ</v>
      </c>
      <c r="H4839" s="3" t="str">
        <f ca="1">IFERROR(__xludf.DUMMYFUNCTION("googletranslate(E4839,""en"",""ja"")"),"生物学的検体中の総ヘルパー T リンパ球に対するヘルパー 2 T リンパ球の相対測定値 (比率またはパーセンテージ)。")</f>
        <v>生物学的検体中の総ヘルパー T リンパ球に対するヘルパー 2 T リンパ球の相対測定値 (比率またはパーセンテージ)。</v>
      </c>
      <c r="I4839" s="3" t="str">
        <f ca="1">IFERROR(__xludf.DUMMYFUNCTION("googletranslate(F4839,""en"",""ja"")"),"ヘルパー 2 T リンパ球とヘルパー T リンパ球の比率の測定")</f>
        <v>ヘルパー 2 T リンパ球とヘルパー T リンパ球の比率の測定</v>
      </c>
    </row>
    <row r="4840" spans="1:9" ht="45">
      <c r="A4840" s="3" t="s">
        <v>103</v>
      </c>
      <c r="B4840" s="3" t="s">
        <v>19893</v>
      </c>
      <c r="C4840" s="3" t="s">
        <v>19894</v>
      </c>
      <c r="D4840" s="3" t="s">
        <v>19895</v>
      </c>
      <c r="E4840" s="3" t="s">
        <v>19896</v>
      </c>
      <c r="F4840" s="3" t="s">
        <v>19897</v>
      </c>
      <c r="G4840" s="3" t="str">
        <f ca="1">IFERROR(__xludf.DUMMYFUNCTION("googletranslate(D4840,""en"",""ja"")"),"T リンパ球ヘルパー 9 サブ集団/T リンパ球ヘルパー 9; TLym ヘルプ 9 Sub/TLymH9")</f>
        <v>T リンパ球ヘルパー 9 サブ集団/T リンパ球ヘルパー 9; TLym ヘルプ 9 Sub/TLymH9</v>
      </c>
      <c r="H4840" s="3" t="str">
        <f ca="1">IFERROR(__xludf.DUMMYFUNCTION("googletranslate(E4840,""en"",""ja"")"),"生物学的検体中の総ヘルパー 9 T リンパ球に対するヘルパー 9 T リンパ球の部分集団の相対測定値 (比率またはパーセンテージ)。")</f>
        <v>生物学的検体中の総ヘルパー 9 T リンパ球に対するヘルパー 9 T リンパ球の部分集団の相対測定値 (比率またはパーセンテージ)。</v>
      </c>
      <c r="I4840" s="3" t="str">
        <f ca="1">IFERROR(__xludf.DUMMYFUNCTION("googletranslate(F4840,""en"",""ja"")"),"ヘルパー 9 T リンパ球部分集団とヘルパー 9 T リンパ球の比率の測定")</f>
        <v>ヘルパー 9 T リンパ球部分集団とヘルパー 9 T リンパ球の比率の測定</v>
      </c>
    </row>
    <row r="4841" spans="1:9" ht="45">
      <c r="A4841" s="3" t="s">
        <v>103</v>
      </c>
      <c r="B4841" s="3" t="s">
        <v>19898</v>
      </c>
      <c r="C4841" s="3" t="s">
        <v>19899</v>
      </c>
      <c r="D4841" s="3" t="s">
        <v>19900</v>
      </c>
      <c r="E4841" s="3" t="s">
        <v>19901</v>
      </c>
      <c r="F4841" s="3" t="s">
        <v>19902</v>
      </c>
      <c r="G4841" s="3" t="str">
        <f ca="1">IFERROR(__xludf.DUMMYFUNCTION("googletranslate(D4841,""en"",""ja"")"),"T リンパ球ヘルパー 9 サブ集団/T リンパ球ヘルパー; TLym ヘルプ 9 Sub/TLym ヘルプ")</f>
        <v>T リンパ球ヘルパー 9 サブ集団/T リンパ球ヘルパー; TLym ヘルプ 9 Sub/TLym ヘルプ</v>
      </c>
      <c r="H4841" s="3" t="str">
        <f ca="1">IFERROR(__xludf.DUMMYFUNCTION("googletranslate(E4841,""en"",""ja"")"),"生物学的検体中の総ヘルパー T リンパ球に対するヘルパー 9 T リンパ球の部分集団の相対測定値 (比率またはパーセンテージ)。")</f>
        <v>生物学的検体中の総ヘルパー T リンパ球に対するヘルパー 9 T リンパ球の部分集団の相対測定値 (比率またはパーセンテージ)。</v>
      </c>
      <c r="I4841" s="3" t="str">
        <f ca="1">IFERROR(__xludf.DUMMYFUNCTION("googletranslate(F4841,""en"",""ja"")"),"ヘルパー 9 T リンパ球部分集団とヘルパー T リンパ球の比率の測定")</f>
        <v>ヘルパー 9 T リンパ球部分集団とヘルパー T リンパ球の比率の測定</v>
      </c>
    </row>
    <row r="4842" spans="1:9" ht="45">
      <c r="A4842" s="3" t="s">
        <v>103</v>
      </c>
      <c r="B4842" s="3" t="s">
        <v>19903</v>
      </c>
      <c r="C4842" s="3" t="s">
        <v>19904</v>
      </c>
      <c r="D4842" s="3" t="s">
        <v>19905</v>
      </c>
      <c r="E4842" s="3" t="s">
        <v>19906</v>
      </c>
      <c r="F4842" s="3" t="s">
        <v>19907</v>
      </c>
      <c r="G4842" s="3" t="str">
        <f ca="1">IFERROR(__xludf.DUMMYFUNCTION("googletranslate(D4842,""en"",""ja"")"),"T リンパ球ヘルパー 9/T リンパ球ヘルパー; TLym ヘルプ 9/TLym ヘルプ")</f>
        <v>T リンパ球ヘルパー 9/T リンパ球ヘルパー; TLym ヘルプ 9/TLym ヘルプ</v>
      </c>
      <c r="H4842" s="3" t="str">
        <f ca="1">IFERROR(__xludf.DUMMYFUNCTION("googletranslate(E4842,""en"",""ja"")"),"生物学的検体中の総ヘルパー T リンパ球に対するヘルパー 9 T リンパ球の相対測定値 (比率またはパーセンテージ)。")</f>
        <v>生物学的検体中の総ヘルパー T リンパ球に対するヘルパー 9 T リンパ球の相対測定値 (比率またはパーセンテージ)。</v>
      </c>
      <c r="I4842" s="3" t="str">
        <f ca="1">IFERROR(__xludf.DUMMYFUNCTION("googletranslate(F4842,""en"",""ja"")"),"ヘルパー 9 T リンパ球とヘルパー T リンパ球の比率の測定")</f>
        <v>ヘルパー 9 T リンパ球とヘルパー T リンパ球の比率の測定</v>
      </c>
    </row>
    <row r="4843" spans="1:9" ht="30">
      <c r="A4843" s="3" t="s">
        <v>6</v>
      </c>
      <c r="B4843" s="3" t="s">
        <v>19908</v>
      </c>
      <c r="C4843" s="3" t="s">
        <v>19909</v>
      </c>
      <c r="D4843" s="3" t="s">
        <v>19910</v>
      </c>
      <c r="E4843" s="3" t="s">
        <v>19911</v>
      </c>
      <c r="F4843" s="3" t="s">
        <v>19912</v>
      </c>
      <c r="G4843" s="3" t="str">
        <f ca="1">IFERROR(__xludf.DUMMYFUNCTION("googletranslate(D4843,""en"",""ja"")"),"BDCA3;トロンボモジュリン")</f>
        <v>BDCA3;トロンボモジュリン</v>
      </c>
      <c r="H4843" s="3" t="str">
        <f ca="1">IFERROR(__xludf.DUMMYFUNCTION("googletranslate(E4843,""en"",""ja"")"),"生物学的標本中のトロンボモジュリンの測定。")</f>
        <v>生物学的標本中のトロンボモジュリンの測定。</v>
      </c>
      <c r="I4843" s="3" t="str">
        <f ca="1">IFERROR(__xludf.DUMMYFUNCTION("googletranslate(F4843,""en"",""ja"")"),"トロンボモジュリン測定")</f>
        <v>トロンボモジュリン測定</v>
      </c>
    </row>
    <row r="4844" spans="1:9" ht="45">
      <c r="A4844" s="3" t="s">
        <v>6</v>
      </c>
      <c r="B4844" s="3" t="s">
        <v>19913</v>
      </c>
      <c r="C4844" s="3" t="s">
        <v>19914</v>
      </c>
      <c r="D4844" s="3" t="s">
        <v>19915</v>
      </c>
      <c r="E4844" s="3" t="s">
        <v>19916</v>
      </c>
      <c r="F4844" s="3" t="s">
        <v>19917</v>
      </c>
      <c r="G4844" s="3" t="str">
        <f ca="1">IFERROR(__xludf.DUMMYFUNCTION("googletranslate(D4844,""en"",""ja"")"),"デルタ-9-テトラヒドロカンナビノール;テトラヒドロカンナビノール; THC")</f>
        <v>デルタ-9-テトラヒドロカンナビノール;テトラヒドロカンナビノール; THC</v>
      </c>
      <c r="H4844" s="3" t="str">
        <f ca="1">IFERROR(__xludf.DUMMYFUNCTION("googletranslate(E4844,""en"",""ja"")"),"生物学的標本中のテトラヒドロカンナビノールの測定。")</f>
        <v>生物学的標本中のテトラヒドロカンナビノールの測定。</v>
      </c>
      <c r="I4844" s="3" t="str">
        <f ca="1">IFERROR(__xludf.DUMMYFUNCTION("googletranslate(F4844,""en"",""ja"")"),"テトラヒドロカンナビノールの測定")</f>
        <v>テトラヒドロカンナビノールの測定</v>
      </c>
    </row>
    <row r="4845" spans="1:9" ht="30">
      <c r="A4845" s="3" t="s">
        <v>6</v>
      </c>
      <c r="B4845" s="3" t="s">
        <v>19918</v>
      </c>
      <c r="C4845" s="3" t="s">
        <v>19919</v>
      </c>
      <c r="D4845" s="3" t="s">
        <v>19920</v>
      </c>
      <c r="E4845" s="3" t="s">
        <v>19921</v>
      </c>
      <c r="F4845" s="3" t="s">
        <v>19922</v>
      </c>
      <c r="G4845" s="3" t="str">
        <f ca="1">IFERROR(__xludf.DUMMYFUNCTION("googletranslate(D4845,""en"",""ja"")"),"11-ノル-デルタ9-THC-9-カルボン酸; THC-COOH")</f>
        <v>11-ノル-デルタ9-THC-9-カルボン酸; THC-COOH</v>
      </c>
      <c r="H4845" s="3" t="str">
        <f ca="1">IFERROR(__xludf.DUMMYFUNCTION("googletranslate(E4845,""en"",""ja"")"),"生物学的標本中に存在する 11-ノル-デルタ-9-テトラヒドロカンナビノール-9-カルボン酸の測定。")</f>
        <v>生物学的標本中に存在する 11-ノル-デルタ-9-テトラヒドロカンナビノール-9-カルボン酸の測定。</v>
      </c>
      <c r="I4845" s="3" t="str">
        <f ca="1">IFERROR(__xludf.DUMMYFUNCTION("googletranslate(F4845,""en"",""ja"")"),"11-ノル-デルタ9-THC-9-カルボン酸の測定")</f>
        <v>11-ノル-デルタ9-THC-9-カルボン酸の測定</v>
      </c>
    </row>
    <row r="4846" spans="1:9" ht="45">
      <c r="A4846" s="3" t="s">
        <v>81</v>
      </c>
      <c r="B4846" s="3" t="s">
        <v>19923</v>
      </c>
      <c r="C4846" s="3" t="s">
        <v>19924</v>
      </c>
      <c r="D4846" s="3" t="s">
        <v>19925</v>
      </c>
      <c r="E4846" s="3" t="s">
        <v>19926</v>
      </c>
      <c r="F4846" s="3" t="s">
        <v>19927</v>
      </c>
      <c r="G4846" s="3" t="str">
        <f ca="1">IFERROR(__xludf.DUMMYFUNCTION("googletranslate(D4846,""en"",""ja"")"),"クロス秒厚さ、EVD;断面厚さ、心室拡張末期")</f>
        <v>クロス秒厚さ、EVD;断面厚さ、心室拡張末期</v>
      </c>
      <c r="H4846" s="3" t="str">
        <f ca="1">IFERROR(__xludf.DUMMYFUNCTION("googletranslate(E4846,""en"",""ja"")"),"心室拡張末期で測定される心臓血管構造の断面の厚さ。")</f>
        <v>心室拡張末期で測定される心臓血管構造の断面の厚さ。</v>
      </c>
      <c r="I4846" s="3" t="str">
        <f ca="1">IFERROR(__xludf.DUMMYFUNCTION("googletranslate(F4846,""en"",""ja"")"),"心室拡張末期の断面厚さ")</f>
        <v>心室拡張末期の断面厚さ</v>
      </c>
    </row>
    <row r="4847" spans="1:9" ht="45">
      <c r="A4847" s="3" t="s">
        <v>81</v>
      </c>
      <c r="B4847" s="3" t="s">
        <v>19928</v>
      </c>
      <c r="C4847" s="3" t="s">
        <v>19929</v>
      </c>
      <c r="D4847" s="3" t="s">
        <v>19930</v>
      </c>
      <c r="E4847" s="3" t="s">
        <v>19931</v>
      </c>
      <c r="F4847" s="3" t="s">
        <v>19932</v>
      </c>
      <c r="G4847" s="3" t="str">
        <f ca="1">IFERROR(__xludf.DUMMYFUNCTION("googletranslate(D4847,""en"",""ja"")"),"クロス秒厚さ、EVS;断面の厚さ、心室収縮末期")</f>
        <v>クロス秒厚さ、EVS;断面の厚さ、心室収縮末期</v>
      </c>
      <c r="H4847" s="3" t="str">
        <f ca="1">IFERROR(__xludf.DUMMYFUNCTION("googletranslate(E4847,""en"",""ja"")"),"心室収縮末期に測定される心血管構造の断面の厚さ。")</f>
        <v>心室収縮末期に測定される心血管構造の断面の厚さ。</v>
      </c>
      <c r="I4847" s="3" t="str">
        <f ca="1">IFERROR(__xludf.DUMMYFUNCTION("googletranslate(F4847,""en"",""ja"")"),"心室収縮末期の断面厚さ")</f>
        <v>心室収縮末期の断面厚さ</v>
      </c>
    </row>
    <row r="4848" spans="1:9" ht="45">
      <c r="A4848" s="3" t="s">
        <v>103</v>
      </c>
      <c r="B4848" s="3" t="s">
        <v>19933</v>
      </c>
      <c r="C4848" s="3" t="s">
        <v>19934</v>
      </c>
      <c r="D4848" s="3" t="s">
        <v>19935</v>
      </c>
      <c r="E4848" s="3" t="s">
        <v>19936</v>
      </c>
      <c r="F4848" s="3" t="s">
        <v>19937</v>
      </c>
      <c r="G4848" s="3" t="str">
        <f ca="1">IFERROR(__xludf.DUMMYFUNCTION("googletranslate(D4848,""en"",""ja"")"),"T リンパ球ヘルパー中枢記憶腸ホーミング。 TLym ヘルプ Cen Mem GH")</f>
        <v>T リンパ球ヘルパー中枢記憶腸ホーミング。 TLym ヘルプ Cen Mem GH</v>
      </c>
      <c r="H4848" s="3" t="str">
        <f ca="1">IFERROR(__xludf.DUMMYFUNCTION("googletranslate(E4848,""en"",""ja"")"),"生物学的標本中の腸ホーミングヘルパー中央記憶 T リンパ球の測定。")</f>
        <v>生物学的標本中の腸ホーミングヘルパー中央記憶 T リンパ球の測定。</v>
      </c>
      <c r="I4848" s="3" t="str">
        <f ca="1">IFERROR(__xludf.DUMMYFUNCTION("googletranslate(F4848,""en"",""ja"")"),"腸ホーミングヘルパー セントラルメモリー Tリンパ球数")</f>
        <v>腸ホーミングヘルパー セントラルメモリー Tリンパ球数</v>
      </c>
    </row>
    <row r="4849" spans="1:9" ht="105">
      <c r="A4849" s="3" t="s">
        <v>103</v>
      </c>
      <c r="B4849" s="3" t="s">
        <v>19938</v>
      </c>
      <c r="C4849" s="3" t="s">
        <v>19939</v>
      </c>
      <c r="D4849" s="3" t="s">
        <v>19940</v>
      </c>
      <c r="E4849" s="3" t="s">
        <v>19941</v>
      </c>
      <c r="F4849" s="3" t="s">
        <v>19942</v>
      </c>
      <c r="G4849" s="3" t="str">
        <f ca="1">IFERROR(__xludf.DUMMYFUNCTION("googletranslate(D4849,""en"",""ja"")"),"T リンパ球ヘルパー中枢記憶腸ホーミング サブ集団/T リンパ球ヘルパー中枢記憶腸ホーミング; TLym ヘルプ Cen Mem GH サブ/TLym ヘルプ Cen Mem GH; TLym ヘルプ Cen Mem GH サブ/TLymHCMGH")</f>
        <v>T リンパ球ヘルパー中枢記憶腸ホーミング サブ集団/T リンパ球ヘルパー中枢記憶腸ホーミング; TLym ヘルプ Cen Mem GH サブ/TLym ヘルプ Cen Mem GH; TLym ヘルプ Cen Mem GH サブ/TLymHCMGH</v>
      </c>
      <c r="H4849" s="3" t="str">
        <f ca="1">IFERROR(__xludf.DUMMYFUNCTION("googletranslate(E4849,""en"",""ja"")"),"生物学的標本中の腸ホーミングヘルパーセントラルメモリー T リンパ球の総腸管ホーミングヘルパーセントラルメモリー T リンパ球に対する部分集団の相対測定値 (比率またはパーセンテージ)。")</f>
        <v>生物学的標本中の腸ホーミングヘルパーセントラルメモリー T リンパ球の総腸管ホーミングヘルパーセントラルメモリー T リンパ球に対する部分集団の相対測定値 (比率またはパーセンテージ)。</v>
      </c>
      <c r="I4849" s="3" t="str">
        <f ca="1">IFERROR(__xludf.DUMMYFUNCTION("googletranslate(F4849,""en"",""ja"")"),"ガットホーミングヘルパーセントラルメモリーTリンパ球部分集団とガットホーミングヘルパーセントラルメモリーTリンパ球の比率測定")</f>
        <v>ガットホーミングヘルパーセントラルメモリーTリンパ球部分集団とガットホーミングヘルパーセントラルメモリーTリンパ球の比率測定</v>
      </c>
    </row>
    <row r="4850" spans="1:9" ht="60">
      <c r="A4850" s="3" t="s">
        <v>103</v>
      </c>
      <c r="B4850" s="3" t="s">
        <v>19943</v>
      </c>
      <c r="C4850" s="3" t="s">
        <v>19944</v>
      </c>
      <c r="D4850" s="3" t="s">
        <v>19945</v>
      </c>
      <c r="E4850" s="3" t="s">
        <v>19946</v>
      </c>
      <c r="F4850" s="3" t="s">
        <v>19947</v>
      </c>
      <c r="G4850" s="3" t="str">
        <f ca="1">IFERROR(__xludf.DUMMYFUNCTION("googletranslate(D4850,""en"",""ja"")"),"T リンパ球は中枢記憶の腸ホーミングを助けます。 TLym ヘルプ Cen Mem GH サブ")</f>
        <v>T リンパ球は中枢記憶の腸ホーミングを助けます。 TLym ヘルプ Cen Mem GH サブ</v>
      </c>
      <c r="H4850" s="3" t="str">
        <f ca="1">IFERROR(__xludf.DUMMYFUNCTION("googletranslate(E4850,""en"",""ja"")"),"生物学的標本中の腸ホーミングヘルパー中央記憶 T リンパ球の部分集団の測定。")</f>
        <v>生物学的標本中の腸ホーミングヘルパー中央記憶 T リンパ球の部分集団の測定。</v>
      </c>
      <c r="I4850" s="3" t="str">
        <f ca="1">IFERROR(__xludf.DUMMYFUNCTION("googletranslate(F4850,""en"",""ja"")"),"腸ホーミングヘルパー セントラルメモリー Tリンパ球部分集団数")</f>
        <v>腸ホーミングヘルパー セントラルメモリー Tリンパ球部分集団数</v>
      </c>
    </row>
    <row r="4851" spans="1:9" ht="75">
      <c r="A4851" s="3" t="s">
        <v>103</v>
      </c>
      <c r="B4851" s="3" t="s">
        <v>19948</v>
      </c>
      <c r="C4851" s="3" t="s">
        <v>19949</v>
      </c>
      <c r="D4851" s="3" t="s">
        <v>19950</v>
      </c>
      <c r="E4851" s="3" t="s">
        <v>19951</v>
      </c>
      <c r="F4851" s="3" t="s">
        <v>19952</v>
      </c>
      <c r="G4851" s="3" t="str">
        <f ca="1">IFERROR(__xludf.DUMMYFUNCTION("googletranslate(D4851,""en"",""ja"")"),"T リンパ球ヘルパー 中枢記憶腸ホーミング/T リンパ球ヘルパー; TLym ヘルプ Cen Mem GH/TLym ヘルプ; TLym ヘルプ Cen Mem GH/TLymH")</f>
        <v>T リンパ球ヘルパー 中枢記憶腸ホーミング/T リンパ球ヘルパー; TLym ヘルプ Cen Mem GH/TLym ヘルプ; TLym ヘルプ Cen Mem GH/TLymH</v>
      </c>
      <c r="H4851" s="3" t="str">
        <f ca="1">IFERROR(__xludf.DUMMYFUNCTION("googletranslate(E4851,""en"",""ja"")"),"生物学的検体中の総ヘルパー T リンパ球に対する腸ホーミングヘルパー中央記憶 T リンパ球の相対測定値 (比率またはパーセンテージ)。")</f>
        <v>生物学的検体中の総ヘルパー T リンパ球に対する腸ホーミングヘルパー中央記憶 T リンパ球の相対測定値 (比率またはパーセンテージ)。</v>
      </c>
      <c r="I4851" s="3" t="str">
        <f ca="1">IFERROR(__xludf.DUMMYFUNCTION("googletranslate(F4851,""en"",""ja"")"),"ガットホーミングヘルパーセントラルメモリーTリンパ球とヘルパーTリンパ球の比率測定")</f>
        <v>ガットホーミングヘルパーセントラルメモリーTリンパ球とヘルパーTリンパ球の比率測定</v>
      </c>
    </row>
    <row r="4852" spans="1:9" ht="45">
      <c r="A4852" s="3" t="s">
        <v>103</v>
      </c>
      <c r="B4852" s="3" t="s">
        <v>19953</v>
      </c>
      <c r="C4852" s="3" t="s">
        <v>19954</v>
      </c>
      <c r="D4852" s="3" t="s">
        <v>19955</v>
      </c>
      <c r="E4852" s="3" t="s">
        <v>19956</v>
      </c>
      <c r="F4852" s="3" t="s">
        <v>19957</v>
      </c>
      <c r="G4852" s="3" t="str">
        <f ca="1">IFERROR(__xludf.DUMMYFUNCTION("googletranslate(D4852,""en"",""ja"")"),"T リンパ球ヘルパー中枢記憶皮膚ホーミング; TLym ヘルプ Cen Mem SH")</f>
        <v>T リンパ球ヘルパー中枢記憶皮膚ホーミング; TLym ヘルプ Cen Mem SH</v>
      </c>
      <c r="H4852" s="3" t="str">
        <f ca="1">IFERROR(__xludf.DUMMYFUNCTION("googletranslate(E4852,""en"",""ja"")"),"生体標本中の皮膚ホーミングヘルパーの中央記憶 T リンパ球の測定。")</f>
        <v>生体標本中の皮膚ホーミングヘルパーの中央記憶 T リンパ球の測定。</v>
      </c>
      <c r="I4852" s="3" t="str">
        <f ca="1">IFERROR(__xludf.DUMMYFUNCTION("googletranslate(F4852,""en"",""ja"")"),"スキンホーミングヘルパー セントラルメモリー Tリンパ球数")</f>
        <v>スキンホーミングヘルパー セントラルメモリー Tリンパ球数</v>
      </c>
    </row>
    <row r="4853" spans="1:9" ht="60">
      <c r="A4853" s="3" t="s">
        <v>103</v>
      </c>
      <c r="B4853" s="3" t="s">
        <v>19958</v>
      </c>
      <c r="C4853" s="3" t="s">
        <v>19959</v>
      </c>
      <c r="D4853" s="3" t="s">
        <v>19960</v>
      </c>
      <c r="E4853" s="3" t="s">
        <v>19961</v>
      </c>
      <c r="F4853" s="3" t="s">
        <v>19962</v>
      </c>
      <c r="G4853" s="3" t="str">
        <f ca="1">IFERROR(__xludf.DUMMYFUNCTION("googletranslate(D4853,""en"",""ja"")"),"T リンパ球ヘルパー中央記憶皮膚ホーミング亜集団。 TLym ヘルプ Cen Mem SH サブ")</f>
        <v>T リンパ球ヘルパー中央記憶皮膚ホーミング亜集団。 TLym ヘルプ Cen Mem SH サブ</v>
      </c>
      <c r="H4853" s="3" t="str">
        <f ca="1">IFERROR(__xludf.DUMMYFUNCTION("googletranslate(E4853,""en"",""ja"")"),"生物学的標本中の皮膚ホーミングヘルパー中央記憶 T リンパ球の部分集団の測定。")</f>
        <v>生物学的標本中の皮膚ホーミングヘルパー中央記憶 T リンパ球の部分集団の測定。</v>
      </c>
      <c r="I4853" s="3" t="str">
        <f ca="1">IFERROR(__xludf.DUMMYFUNCTION("googletranslate(F4853,""en"",""ja"")"),"スキンホーミングヘルパー セントラルメモリー Tリンパ球部分集団数")</f>
        <v>スキンホーミングヘルパー セントラルメモリー Tリンパ球部分集団数</v>
      </c>
    </row>
    <row r="4854" spans="1:9" ht="120">
      <c r="A4854" s="3" t="s">
        <v>103</v>
      </c>
      <c r="B4854" s="3" t="s">
        <v>19963</v>
      </c>
      <c r="C4854" s="3" t="s">
        <v>19964</v>
      </c>
      <c r="D4854" s="3" t="s">
        <v>19965</v>
      </c>
      <c r="E4854" s="3" t="s">
        <v>19966</v>
      </c>
      <c r="F4854" s="3" t="s">
        <v>19967</v>
      </c>
      <c r="G4854" s="3" t="str">
        <f ca="1">IFERROR(__xludf.DUMMYFUNCTION("googletranslate(D4854,""en"",""ja"")"),"T リンパ球ヘルパー セントラル メモリー スキン ホーミング サブ集団/T リンパ球 ヘルパー セントラル メモリー スキン ホーミング; TLym Help Cen Mem SH Sub/TLym Help Cen Mem SH; TLym ヘルプ Cen Mem SH Sub/TLymHCMSH")</f>
        <v>T リンパ球ヘルパー セントラル メモリー スキン ホーミング サブ集団/T リンパ球 ヘルパー セントラル メモリー スキン ホーミング; TLym Help Cen Mem SH Sub/TLym Help Cen Mem SH; TLym ヘルプ Cen Mem SH Sub/TLymHCMSH</v>
      </c>
      <c r="H4854" s="3" t="str">
        <f ca="1">IFERROR(__xludf.DUMMYFUNCTION("googletranslate(E4854,""en"",""ja"")"),"生物学的標本中の皮膚ホーミングヘルパーセントラルメモリー T リンパ球の総数に対するスキンホーミングヘルパーセントラルメモリー T リンパ球の部分集団の相対測定値 (比率またはパーセンテージ)。")</f>
        <v>生物学的標本中の皮膚ホーミングヘルパーセントラルメモリー T リンパ球の総数に対するスキンホーミングヘルパーセントラルメモリー T リンパ球の部分集団の相対測定値 (比率またはパーセンテージ)。</v>
      </c>
      <c r="I4854" s="3" t="str">
        <f ca="1">IFERROR(__xludf.DUMMYFUNCTION("googletranslate(F4854,""en"",""ja"")"),"スキンホーミングヘルパーセントラルメモリーTリンパ球部分集団とスキンホーミングヘルパーセントラルメモリーTリンパ球の比率測定")</f>
        <v>スキンホーミングヘルパーセントラルメモリーTリンパ球部分集団とスキンホーミングヘルパーセントラルメモリーTリンパ球の比率測定</v>
      </c>
    </row>
    <row r="4855" spans="1:9" ht="75">
      <c r="A4855" s="3" t="s">
        <v>103</v>
      </c>
      <c r="B4855" s="3" t="s">
        <v>19968</v>
      </c>
      <c r="C4855" s="3" t="s">
        <v>19969</v>
      </c>
      <c r="D4855" s="3" t="s">
        <v>19970</v>
      </c>
      <c r="E4855" s="3" t="s">
        <v>19971</v>
      </c>
      <c r="F4855" s="3" t="s">
        <v>19972</v>
      </c>
      <c r="G4855" s="3" t="str">
        <f ca="1">IFERROR(__xludf.DUMMYFUNCTION("googletranslate(D4855,""en"",""ja"")"),"T リンパ球ヘルパー セントラル メモリー スキンホーミング/T リンパ球ヘルパー; TLym ヘルプ Cen Mem SH/TLym ヘルプ; TLym ヘルプ Cen Mem SH/TLymH")</f>
        <v>T リンパ球ヘルパー セントラル メモリー スキンホーミング/T リンパ球ヘルパー; TLym ヘルプ Cen Mem SH/TLym ヘルプ; TLym ヘルプ Cen Mem SH/TLymH</v>
      </c>
      <c r="H4855" s="3" t="str">
        <f ca="1">IFERROR(__xludf.DUMMYFUNCTION("googletranslate(E4855,""en"",""ja"")"),"生物学的標本中の総ヘルパー T リンパ球に対する皮膚ホーミングヘルパー中央記憶 T リンパ球の相対測定値 (比率またはパーセンテージ)。")</f>
        <v>生物学的標本中の総ヘルパー T リンパ球に対する皮膚ホーミングヘルパー中央記憶 T リンパ球の相対測定値 (比率またはパーセンテージ)。</v>
      </c>
      <c r="I4855" s="3" t="str">
        <f ca="1">IFERROR(__xludf.DUMMYFUNCTION("googletranslate(F4855,""en"",""ja"")"),"スキンホーミングヘルパーセントラルメモリーTリンパ球とヘルパーTリンパ球の比率測定")</f>
        <v>スキンホーミングヘルパーセントラルメモリーTリンパ球とヘルパーTリンパ球の比率測定</v>
      </c>
    </row>
    <row r="4856" spans="1:9" ht="30">
      <c r="A4856" s="3" t="s">
        <v>6</v>
      </c>
      <c r="B4856" s="3" t="s">
        <v>19973</v>
      </c>
      <c r="C4856" s="3" t="s">
        <v>19974</v>
      </c>
      <c r="D4856" s="3" t="s">
        <v>19974</v>
      </c>
      <c r="E4856" s="3" t="s">
        <v>19975</v>
      </c>
      <c r="F4856" s="3" t="s">
        <v>19976</v>
      </c>
      <c r="G4856" s="3" t="str">
        <f ca="1">IFERROR(__xludf.DUMMYFUNCTION("googletranslate(D4856,""en"",""ja"")"),"5-アルファ テトラヒドロコルチゾール")</f>
        <v>5-アルファ テトラヒドロコルチゾール</v>
      </c>
      <c r="H4856" s="3" t="str">
        <f ca="1">IFERROR(__xludf.DUMMYFUNCTION("googletranslate(E4856,""en"",""ja"")"),"生物学的標本中の 5-α テトラヒドロコルチゾールの測定。")</f>
        <v>生物学的標本中の 5-α テトラヒドロコルチゾールの測定。</v>
      </c>
      <c r="I4856" s="3" t="str">
        <f ca="1">IFERROR(__xludf.DUMMYFUNCTION("googletranslate(F4856,""en"",""ja"")"),"5-アルファ テトラヒドロコルチゾールの測定")</f>
        <v>5-アルファ テトラヒドロコルチゾールの測定</v>
      </c>
    </row>
    <row r="4857" spans="1:9">
      <c r="A4857" s="3" t="s">
        <v>6</v>
      </c>
      <c r="B4857" s="3" t="s">
        <v>19977</v>
      </c>
      <c r="C4857" s="3" t="s">
        <v>19978</v>
      </c>
      <c r="D4857" s="3" t="s">
        <v>19978</v>
      </c>
      <c r="E4857" s="3" t="s">
        <v>19979</v>
      </c>
      <c r="F4857" s="3" t="s">
        <v>19980</v>
      </c>
      <c r="G4857" s="3" t="str">
        <f ca="1">IFERROR(__xludf.DUMMYFUNCTION("googletranslate(D4857,""en"",""ja"")"),"テバイン")</f>
        <v>テバイン</v>
      </c>
      <c r="H4857" s="3" t="str">
        <f ca="1">IFERROR(__xludf.DUMMYFUNCTION("googletranslate(E4857,""en"",""ja"")"),"生物学的標本中のテバインの測定。")</f>
        <v>生物学的標本中のテバインの測定。</v>
      </c>
      <c r="I4857" s="3" t="str">
        <f ca="1">IFERROR(__xludf.DUMMYFUNCTION("googletranslate(F4857,""en"",""ja"")"),"テバイン測定")</f>
        <v>テバイン測定</v>
      </c>
    </row>
    <row r="4858" spans="1:9" ht="45">
      <c r="A4858" s="3" t="s">
        <v>103</v>
      </c>
      <c r="B4858" s="3" t="s">
        <v>19981</v>
      </c>
      <c r="C4858" s="3" t="s">
        <v>19982</v>
      </c>
      <c r="D4858" s="3" t="s">
        <v>19983</v>
      </c>
      <c r="E4858" s="3" t="s">
        <v>19984</v>
      </c>
      <c r="F4858" s="3" t="s">
        <v>19985</v>
      </c>
      <c r="G4858" s="3" t="str">
        <f ca="1">IFERROR(__xludf.DUMMYFUNCTION("googletranslate(D4858,""en"",""ja"")"),"Tリンパ球ヘルパーエフェクター記憶腸ホーミング; Tlym ヘルプ Eff Mem GH")</f>
        <v>Tリンパ球ヘルパーエフェクター記憶腸ホーミング; Tlym ヘルプ Eff Mem GH</v>
      </c>
      <c r="H4858" s="3" t="str">
        <f ca="1">IFERROR(__xludf.DUMMYFUNCTION("googletranslate(E4858,""en"",""ja"")"),"生物学的標本中の腸ホーミングヘルパーエフェクター記憶 T リンパ球の測定。")</f>
        <v>生物学的標本中の腸ホーミングヘルパーエフェクター記憶 T リンパ球の測定。</v>
      </c>
      <c r="I4858" s="3" t="str">
        <f ca="1">IFERROR(__xludf.DUMMYFUNCTION("googletranslate(F4858,""en"",""ja"")"),"ガットホーミングヘルパーエフェクター記憶Tリンパ球数")</f>
        <v>ガットホーミングヘルパーエフェクター記憶Tリンパ球数</v>
      </c>
    </row>
    <row r="4859" spans="1:9" ht="60">
      <c r="A4859" s="3" t="s">
        <v>103</v>
      </c>
      <c r="B4859" s="3" t="s">
        <v>19986</v>
      </c>
      <c r="C4859" s="3" t="s">
        <v>19987</v>
      </c>
      <c r="D4859" s="3" t="s">
        <v>19988</v>
      </c>
      <c r="E4859" s="3" t="s">
        <v>19989</v>
      </c>
      <c r="F4859" s="3" t="s">
        <v>19990</v>
      </c>
      <c r="G4859" s="3" t="str">
        <f ca="1">IFERROR(__xludf.DUMMYFUNCTION("googletranslate(D4859,""en"",""ja"")"),"Tリンパ球ヘルパーエフェクター記憶腸ホーミング亜集団。 Tlym ヘルプ Eff Mem GH サブ")</f>
        <v>Tリンパ球ヘルパーエフェクター記憶腸ホーミング亜集団。 Tlym ヘルプ Eff Mem GH サブ</v>
      </c>
      <c r="H4859" s="3" t="str">
        <f ca="1">IFERROR(__xludf.DUMMYFUNCTION("googletranslate(E4859,""en"",""ja"")"),"生物学的標本中の腸ホーミングヘルパーエフェクター記憶 T リンパ球の部分集団の測定。")</f>
        <v>生物学的標本中の腸ホーミングヘルパーエフェクター記憶 T リンパ球の部分集団の測定。</v>
      </c>
      <c r="I4859" s="3" t="str">
        <f ca="1">IFERROR(__xludf.DUMMYFUNCTION("googletranslate(F4859,""en"",""ja"")"),"腸ホーミング ヘルパー エフェクター 記憶 T リンパ球部分集団数")</f>
        <v>腸ホーミング ヘルパー エフェクター 記憶 T リンパ球部分集団数</v>
      </c>
    </row>
    <row r="4860" spans="1:9" ht="105">
      <c r="A4860" s="3" t="s">
        <v>103</v>
      </c>
      <c r="B4860" s="3" t="s">
        <v>19991</v>
      </c>
      <c r="C4860" s="3" t="s">
        <v>19992</v>
      </c>
      <c r="D4860" s="3" t="s">
        <v>19993</v>
      </c>
      <c r="E4860" s="3" t="s">
        <v>19994</v>
      </c>
      <c r="F4860" s="3" t="s">
        <v>19995</v>
      </c>
      <c r="G4860" s="3" t="str">
        <f ca="1">IFERROR(__xludf.DUMMYFUNCTION("googletranslate(D4860,""en"",""ja"")"),"T リンパ球ヘルパー エフェクター記憶腸ホーミング亜集団/T リンパ球ヘルパー エフェクター記憶腸ホーミング; TLym ヘルプ Eff Mem GH サブ/TLym ヘルプ Eff Mem GH; TLym ヘルプ Eff Mem GH Sub/TLymHEMGH")</f>
        <v>T リンパ球ヘルパー エフェクター記憶腸ホーミング亜集団/T リンパ球ヘルパー エフェクター記憶腸ホーミング; TLym ヘルプ Eff Mem GH サブ/TLym ヘルプ Eff Mem GH; TLym ヘルプ Eff Mem GH Sub/TLymHEMGH</v>
      </c>
      <c r="H4860" s="3" t="str">
        <f ca="1">IFERROR(__xludf.DUMMYFUNCTION("googletranslate(E4860,""en"",""ja"")"),"生物学的検体中の総腸ホーミングヘルパーエフェクターメモリー T リンパ球に対する腸ホーミングヘルパーエフェクターメモリー T リンパ球の部分集団の相対測定値 (比率またはパーセンテージ)。")</f>
        <v>生物学的検体中の総腸ホーミングヘルパーエフェクターメモリー T リンパ球に対する腸ホーミングヘルパーエフェクターメモリー T リンパ球の部分集団の相対測定値 (比率またはパーセンテージ)。</v>
      </c>
      <c r="I4860" s="3" t="str">
        <f ca="1">IFERROR(__xludf.DUMMYFUNCTION("googletranslate(F4860,""en"",""ja"")"),"ガットホーミングヘルパーエフェクターメモリーTリンパ球部分集団とガットホーミングヘルパーエフェクターメモリーTリンパ球の比率の測定")</f>
        <v>ガットホーミングヘルパーエフェクターメモリーTリンパ球部分集団とガットホーミングヘルパーエフェクターメモリーTリンパ球の比率の測定</v>
      </c>
    </row>
    <row r="4861" spans="1:9" ht="75">
      <c r="A4861" s="3" t="s">
        <v>103</v>
      </c>
      <c r="B4861" s="3" t="s">
        <v>19996</v>
      </c>
      <c r="C4861" s="3" t="s">
        <v>19997</v>
      </c>
      <c r="D4861" s="3" t="s">
        <v>19998</v>
      </c>
      <c r="E4861" s="3" t="s">
        <v>19999</v>
      </c>
      <c r="F4861" s="3" t="s">
        <v>20000</v>
      </c>
      <c r="G4861" s="3" t="str">
        <f ca="1">IFERROR(__xludf.DUMMYFUNCTION("googletranslate(D4861,""en"",""ja"")"),"T リンパ球ヘルパー エフェクター 記憶腸ホーミング/T リンパ球ヘルパー; TLym ヘルプ Eff Mem GH/TLym ヘルプ; TLym ヘルプ Eff Mem GH/TLymH")</f>
        <v>T リンパ球ヘルパー エフェクター 記憶腸ホーミング/T リンパ球ヘルパー; TLym ヘルプ Eff Mem GH/TLym ヘルプ; TLym ヘルプ Eff Mem GH/TLymH</v>
      </c>
      <c r="H4861" s="3" t="str">
        <f ca="1">IFERROR(__xludf.DUMMYFUNCTION("googletranslate(E4861,""en"",""ja"")"),"生物学的検体中の総ヘルパー T リンパ球に対する腸ホーミング ヘルパー エフェクター メモリー T リンパ球の相対測定値 (比率またはパーセンテージ)。")</f>
        <v>生物学的検体中の総ヘルパー T リンパ球に対する腸ホーミング ヘルパー エフェクター メモリー T リンパ球の相対測定値 (比率またはパーセンテージ)。</v>
      </c>
      <c r="I4861" s="3" t="str">
        <f ca="1">IFERROR(__xludf.DUMMYFUNCTION("googletranslate(F4861,""en"",""ja"")"),"ガットホーミングヘルパーエフェクターメモリーTリンパ球とヘルパーTリンパ球の比率測定")</f>
        <v>ガットホーミングヘルパーエフェクターメモリーTリンパ球とヘルパーTリンパ球の比率測定</v>
      </c>
    </row>
    <row r="4862" spans="1:9" ht="45">
      <c r="A4862" s="3" t="s">
        <v>103</v>
      </c>
      <c r="B4862" s="3" t="s">
        <v>20001</v>
      </c>
      <c r="C4862" s="3" t="s">
        <v>20002</v>
      </c>
      <c r="D4862" s="3" t="s">
        <v>20003</v>
      </c>
      <c r="E4862" s="3" t="s">
        <v>20004</v>
      </c>
      <c r="F4862" s="3" t="s">
        <v>20005</v>
      </c>
      <c r="G4862" s="3" t="str">
        <f ca="1">IFERROR(__xludf.DUMMYFUNCTION("googletranslate(D4862,""en"",""ja"")"),"Tリンパ球ヘルパーエフェクターメモリースキンホーミング; TLym ヘルプ エフ メム SH")</f>
        <v>Tリンパ球ヘルパーエフェクターメモリースキンホーミング; TLym ヘルプ エフ メム SH</v>
      </c>
      <c r="H4862" s="3" t="str">
        <f ca="1">IFERROR(__xludf.DUMMYFUNCTION("googletranslate(E4862,""en"",""ja"")"),"生物学的標本中の皮膚ホーミングヘルパーエフェクター記憶 T リンパ球の測定。")</f>
        <v>生物学的標本中の皮膚ホーミングヘルパーエフェクター記憶 T リンパ球の測定。</v>
      </c>
      <c r="I4862" s="3" t="str">
        <f ca="1">IFERROR(__xludf.DUMMYFUNCTION("googletranslate(F4862,""en"",""ja"")"),"スキンホーミングヘルパーエフェクター記憶Tリンパ球数")</f>
        <v>スキンホーミングヘルパーエフェクター記憶Tリンパ球数</v>
      </c>
    </row>
    <row r="4863" spans="1:9" ht="60">
      <c r="A4863" s="3" t="s">
        <v>103</v>
      </c>
      <c r="B4863" s="3" t="s">
        <v>20006</v>
      </c>
      <c r="C4863" s="3" t="s">
        <v>20007</v>
      </c>
      <c r="D4863" s="3" t="s">
        <v>20008</v>
      </c>
      <c r="E4863" s="3" t="s">
        <v>20009</v>
      </c>
      <c r="F4863" s="3" t="s">
        <v>20010</v>
      </c>
      <c r="G4863" s="3" t="str">
        <f ca="1">IFERROR(__xludf.DUMMYFUNCTION("googletranslate(D4863,""en"",""ja"")"),"Tリンパ球ヘルパーエフェクターメモリースキンホーミング亜集団。 TLym ヘルプ Eff Mem SH Sub")</f>
        <v>Tリンパ球ヘルパーエフェクターメモリースキンホーミング亜集団。 TLym ヘルプ Eff Mem SH Sub</v>
      </c>
      <c r="H4863" s="3" t="str">
        <f ca="1">IFERROR(__xludf.DUMMYFUNCTION("googletranslate(E4863,""en"",""ja"")"),"生物学的標本中の皮膚ホーミングヘルパーエフェクター記憶 T リンパ球の部分集団の測定。")</f>
        <v>生物学的標本中の皮膚ホーミングヘルパーエフェクター記憶 T リンパ球の部分集団の測定。</v>
      </c>
      <c r="I4863" s="3" t="str">
        <f ca="1">IFERROR(__xludf.DUMMYFUNCTION("googletranslate(F4863,""en"",""ja"")"),"スキンホーミングヘルパーエフェクター記憶Tリンパ球部分集団数")</f>
        <v>スキンホーミングヘルパーエフェクター記憶Tリンパ球部分集団数</v>
      </c>
    </row>
    <row r="4864" spans="1:9" ht="120">
      <c r="A4864" s="3" t="s">
        <v>103</v>
      </c>
      <c r="B4864" s="3" t="s">
        <v>20011</v>
      </c>
      <c r="C4864" s="3" t="s">
        <v>20012</v>
      </c>
      <c r="D4864" s="3" t="s">
        <v>20013</v>
      </c>
      <c r="E4864" s="3" t="s">
        <v>20014</v>
      </c>
      <c r="F4864" s="3" t="s">
        <v>20015</v>
      </c>
      <c r="G4864" s="3" t="str">
        <f ca="1">IFERROR(__xludf.DUMMYFUNCTION("googletranslate(D4864,""en"",""ja"")"),"T リンパ球ヘルパー エフェクター メモリー スキン ホーミング サブ集団/T リンパ球ヘルパー エフェクター メモリー スキン ホーミング; TLym ヘルプ Eff Mem SH サブ/TLym ヘルプ Eff Mem SH; TLym ヘルプ Eff Mem SH Sub/TLymHEMSH")</f>
        <v>T リンパ球ヘルパー エフェクター メモリー スキン ホーミング サブ集団/T リンパ球ヘルパー エフェクター メモリー スキン ホーミング; TLym ヘルプ Eff Mem SH サブ/TLym ヘルプ Eff Mem SH; TLym ヘルプ Eff Mem SH Sub/TLymHEMSH</v>
      </c>
      <c r="H4864" s="3" t="str">
        <f ca="1">IFERROR(__xludf.DUMMYFUNCTION("googletranslate(E4864,""en"",""ja"")"),"生物学的標本中の皮膚ホーミングヘルパーエフェクターメモリー T リンパ球の総数に対する皮膚ホーミングヘルパーエフェクターメモリー T リンパ球の部分集団の相対測定値 (比率またはパーセンテージ)。")</f>
        <v>生物学的標本中の皮膚ホーミングヘルパーエフェクターメモリー T リンパ球の総数に対する皮膚ホーミングヘルパーエフェクターメモリー T リンパ球の部分集団の相対測定値 (比率またはパーセンテージ)。</v>
      </c>
      <c r="I4864" s="3" t="str">
        <f ca="1">IFERROR(__xludf.DUMMYFUNCTION("googletranslate(F4864,""en"",""ja"")"),"スキンホーミングヘルパーエフェクターメモリーTリンパ球部分集団とスキンホーミングヘルパーエフェクターメモリーTリンパ球の比率の測定")</f>
        <v>スキンホーミングヘルパーエフェクターメモリーTリンパ球部分集団とスキンホーミングヘルパーエフェクターメモリーTリンパ球の比率の測定</v>
      </c>
    </row>
    <row r="4865" spans="1:9" ht="75">
      <c r="A4865" s="3" t="s">
        <v>103</v>
      </c>
      <c r="B4865" s="3" t="s">
        <v>20016</v>
      </c>
      <c r="C4865" s="3" t="s">
        <v>20017</v>
      </c>
      <c r="D4865" s="3" t="s">
        <v>20018</v>
      </c>
      <c r="E4865" s="3" t="s">
        <v>20019</v>
      </c>
      <c r="F4865" s="3" t="s">
        <v>20020</v>
      </c>
      <c r="G4865" s="3" t="str">
        <f ca="1">IFERROR(__xludf.DUMMYFUNCTION("googletranslate(D4865,""en"",""ja"")"),"T リンパ球ヘルパー エフェクター メモリー スキン ホーミング/T リンパ球ヘルパー; TLym ヘルプ Eff Mem SH/TLym ヘルプ; TLym ヘルプ Eff Mem SH/TLymH")</f>
        <v>T リンパ球ヘルパー エフェクター メモリー スキン ホーミング/T リンパ球ヘルパー; TLym ヘルプ Eff Mem SH/TLym ヘルプ; TLym ヘルプ Eff Mem SH/TLymH</v>
      </c>
      <c r="H4865" s="3" t="str">
        <f ca="1">IFERROR(__xludf.DUMMYFUNCTION("googletranslate(E4865,""en"",""ja"")"),"生物学的検体中の総ヘルパー T リンパ球に対する皮膚ホーミング ヘルパー エフェクター メモリー T リンパ球の相対測定値 (比率またはパーセンテージ)。")</f>
        <v>生物学的検体中の総ヘルパー T リンパ球に対する皮膚ホーミング ヘルパー エフェクター メモリー T リンパ球の相対測定値 (比率またはパーセンテージ)。</v>
      </c>
      <c r="I4865" s="3" t="str">
        <f ca="1">IFERROR(__xludf.DUMMYFUNCTION("googletranslate(F4865,""en"",""ja"")"),"スキンホーミングヘルパーエフェクターメモリーTリンパ球とヘルパーTリンパ球の比率の測定")</f>
        <v>スキンホーミングヘルパーエフェクターメモリーTリンパ球とヘルパーTリンパ球の比率の測定</v>
      </c>
    </row>
    <row r="4866" spans="1:9" ht="30">
      <c r="A4866" s="3" t="s">
        <v>6</v>
      </c>
      <c r="B4866" s="3" t="s">
        <v>20021</v>
      </c>
      <c r="C4866" s="3" t="s">
        <v>20022</v>
      </c>
      <c r="D4866" s="3" t="s">
        <v>20022</v>
      </c>
      <c r="E4866" s="3" t="s">
        <v>20023</v>
      </c>
      <c r="F4866" s="3" t="s">
        <v>20024</v>
      </c>
      <c r="G4866" s="3" t="str">
        <f ca="1">IFERROR(__xludf.DUMMYFUNCTION("googletranslate(D4866,""en"",""ja"")"),"テオフィリン")</f>
        <v>テオフィリン</v>
      </c>
      <c r="H4866" s="3" t="str">
        <f ca="1">IFERROR(__xludf.DUMMYFUNCTION("googletranslate(E4866,""en"",""ja"")"),"生物学的標本中に存在するテオフィリンの測定。")</f>
        <v>生物学的標本中に存在するテオフィリンの測定。</v>
      </c>
      <c r="I4866" s="3" t="str">
        <f ca="1">IFERROR(__xludf.DUMMYFUNCTION("googletranslate(F4866,""en"",""ja"")"),"テオフィリンの測定")</f>
        <v>テオフィリンの測定</v>
      </c>
    </row>
    <row r="4867" spans="1:9" ht="60">
      <c r="A4867" s="3" t="s">
        <v>103</v>
      </c>
      <c r="B4867" s="3" t="s">
        <v>20025</v>
      </c>
      <c r="C4867" s="3" t="s">
        <v>20026</v>
      </c>
      <c r="D4867" s="3" t="s">
        <v>20027</v>
      </c>
      <c r="E4867" s="3" t="s">
        <v>20028</v>
      </c>
      <c r="F4867" s="3" t="s">
        <v>20029</v>
      </c>
      <c r="G4867" s="3" t="str">
        <f ca="1">IFERROR(__xludf.DUMMYFUNCTION("googletranslate(D4867,""en"",""ja"")"),"T リンパ球ヘルパー濾胞サブ集団/T リンパ球ヘルパー サブ集団; TLym ヘルプ フォル サブ/TLym ヘルプ サブ")</f>
        <v>T リンパ球ヘルパー濾胞サブ集団/T リンパ球ヘルパー サブ集団; TLym ヘルプ フォル サブ/TLym ヘルプ サブ</v>
      </c>
      <c r="H4867" s="3" t="str">
        <f ca="1">IFERROR(__xludf.DUMMYFUNCTION("googletranslate(E4867,""en"",""ja"")"),"生物学的標本中のヘルパー T リンパ球の部分集団に対するヘルパー濾胞性 T リンパ球の部分集団の相対測定値 (比率またはパーセンテージ)。")</f>
        <v>生物学的標本中のヘルパー T リンパ球の部分集団に対するヘルパー濾胞性 T リンパ球の部分集団の相対測定値 (比率またはパーセンテージ)。</v>
      </c>
      <c r="I4867" s="3" t="str">
        <f ca="1">IFERROR(__xludf.DUMMYFUNCTION("googletranslate(F4867,""en"",""ja"")"),"濾胞性ヘルパーTリンパ球部分集団とヘルパーTリンパ球部分集団の比率の測定")</f>
        <v>濾胞性ヘルパーTリンパ球部分集団とヘルパーTリンパ球部分集団の比率の測定</v>
      </c>
    </row>
    <row r="4868" spans="1:9" ht="60">
      <c r="A4868" s="3" t="s">
        <v>103</v>
      </c>
      <c r="B4868" s="3" t="s">
        <v>20030</v>
      </c>
      <c r="C4868" s="3" t="s">
        <v>20031</v>
      </c>
      <c r="D4868" s="3" t="s">
        <v>20032</v>
      </c>
      <c r="E4868" s="3" t="s">
        <v>20033</v>
      </c>
      <c r="F4868" s="3" t="s">
        <v>20034</v>
      </c>
      <c r="G4868" s="3" t="str">
        <f ca="1">IFERROR(__xludf.DUMMYFUNCTION("googletranslate(D4868,""en"",""ja"")"),"Tリンパ球ヘルパー濾胞サブ集団/Tリンパ球メモリーサブ集団; TLym ヘルプ Foll Sub/TLym Mem Sub")</f>
        <v>Tリンパ球ヘルパー濾胞サブ集団/Tリンパ球メモリーサブ集団; TLym ヘルプ Foll Sub/TLym Mem Sub</v>
      </c>
      <c r="H4868" s="3" t="str">
        <f ca="1">IFERROR(__xludf.DUMMYFUNCTION("googletranslate(E4868,""en"",""ja"")"),"生物学的標本中のメモリー T リンパ球の部分集団に対するヘルパー濾胞性 T リンパ球の部分集団の相対測定値 (比率またはパーセンテージ)。")</f>
        <v>生物学的標本中のメモリー T リンパ球の部分集団に対するヘルパー濾胞性 T リンパ球の部分集団の相対測定値 (比率またはパーセンテージ)。</v>
      </c>
      <c r="I4868" s="3" t="str">
        <f ca="1">IFERROR(__xludf.DUMMYFUNCTION("googletranslate(F4868,""en"",""ja"")"),"濾胞性ヘルパーTリンパ球部分集団とメモリーTリンパ球部分集団の比率の測定")</f>
        <v>濾胞性ヘルパーTリンパ球部分集団とメモリーTリンパ球部分集団の比率の測定</v>
      </c>
    </row>
    <row r="4869" spans="1:9" ht="30">
      <c r="A4869" s="3" t="s">
        <v>6</v>
      </c>
      <c r="B4869" s="3" t="s">
        <v>20035</v>
      </c>
      <c r="C4869" s="3" t="s">
        <v>20036</v>
      </c>
      <c r="D4869" s="3" t="s">
        <v>20036</v>
      </c>
      <c r="E4869" s="3" t="s">
        <v>20037</v>
      </c>
      <c r="F4869" s="3" t="s">
        <v>20038</v>
      </c>
      <c r="G4869" s="3" t="str">
        <f ca="1">IFERROR(__xludf.DUMMYFUNCTION("googletranslate(D4869,""en"",""ja"")"),"テトラヒドロゲストリノン")</f>
        <v>テトラヒドロゲストリノン</v>
      </c>
      <c r="H4869" s="3" t="str">
        <f ca="1">IFERROR(__xludf.DUMMYFUNCTION("googletranslate(E4869,""en"",""ja"")"),"生物学的標本中のテトラヒドロゲストリノンの測定。")</f>
        <v>生物学的標本中のテトラヒドロゲストリノンの測定。</v>
      </c>
      <c r="I4869" s="3" t="str">
        <f ca="1">IFERROR(__xludf.DUMMYFUNCTION("googletranslate(F4869,""en"",""ja"")"),"テトラヒドロゲストリノンの測定")</f>
        <v>テトラヒドロゲストリノンの測定</v>
      </c>
    </row>
    <row r="4870" spans="1:9" ht="30">
      <c r="A4870" s="3" t="s">
        <v>33</v>
      </c>
      <c r="B4870" s="3" t="s">
        <v>20039</v>
      </c>
      <c r="C4870" s="3" t="s">
        <v>20040</v>
      </c>
      <c r="D4870" s="3" t="s">
        <v>20040</v>
      </c>
      <c r="E4870" s="3" t="s">
        <v>20041</v>
      </c>
      <c r="F4870" s="3" t="s">
        <v>20040</v>
      </c>
      <c r="G4870" s="3" t="str">
        <f ca="1">IFERROR(__xludf.DUMMYFUNCTION("googletranslate(D4870,""en"",""ja"")"),"厚さ")</f>
        <v>厚さ</v>
      </c>
      <c r="H4870" s="3" t="str">
        <f ca="1">IFERROR(__xludf.DUMMYFUNCTION("googletranslate(E4870,""en"",""ja"")"),"オブジェクトの 2 つの表面の間の寸法。通常、幅や長さに対する最小寸法。")</f>
        <v>オブジェクトの 2 つの表面の間の寸法。通常、幅や長さに対する最小寸法。</v>
      </c>
      <c r="I4870" s="3" t="str">
        <f ca="1">IFERROR(__xludf.DUMMYFUNCTION("googletranslate(F4870,""en"",""ja"")"),"厚さ")</f>
        <v>厚さ</v>
      </c>
    </row>
    <row r="4871" spans="1:9" ht="30">
      <c r="A4871" s="3" t="s">
        <v>142</v>
      </c>
      <c r="B4871" s="3" t="s">
        <v>20039</v>
      </c>
      <c r="C4871" s="3" t="s">
        <v>20040</v>
      </c>
      <c r="D4871" s="3" t="s">
        <v>20040</v>
      </c>
      <c r="E4871" s="3" t="s">
        <v>20041</v>
      </c>
      <c r="F4871" s="3" t="s">
        <v>20040</v>
      </c>
      <c r="G4871" s="3" t="str">
        <f ca="1">IFERROR(__xludf.DUMMYFUNCTION("googletranslate(D4871,""en"",""ja"")"),"厚さ")</f>
        <v>厚さ</v>
      </c>
      <c r="H4871" s="3" t="str">
        <f ca="1">IFERROR(__xludf.DUMMYFUNCTION("googletranslate(E4871,""en"",""ja"")"),"オブジェクトの 2 つの表面の間の寸法。通常、幅や長さに対する最小寸法。")</f>
        <v>オブジェクトの 2 つの表面の間の寸法。通常、幅や長さに対する最小寸法。</v>
      </c>
      <c r="I4871" s="3" t="str">
        <f ca="1">IFERROR(__xludf.DUMMYFUNCTION("googletranslate(F4871,""en"",""ja"")"),"厚さ")</f>
        <v>厚さ</v>
      </c>
    </row>
    <row r="4872" spans="1:9" ht="30">
      <c r="A4872" s="3" t="s">
        <v>1557</v>
      </c>
      <c r="B4872" s="3" t="s">
        <v>20039</v>
      </c>
      <c r="C4872" s="3" t="s">
        <v>20040</v>
      </c>
      <c r="D4872" s="3" t="s">
        <v>20040</v>
      </c>
      <c r="E4872" s="3" t="s">
        <v>20041</v>
      </c>
      <c r="F4872" s="3" t="s">
        <v>20040</v>
      </c>
      <c r="G4872" s="3" t="str">
        <f ca="1">IFERROR(__xludf.DUMMYFUNCTION("googletranslate(D4872,""en"",""ja"")"),"厚さ")</f>
        <v>厚さ</v>
      </c>
      <c r="H4872" s="3" t="str">
        <f ca="1">IFERROR(__xludf.DUMMYFUNCTION("googletranslate(E4872,""en"",""ja"")"),"オブジェクトの 2 つの表面の間の寸法。通常、幅や長さに対する最小寸法。")</f>
        <v>オブジェクトの 2 つの表面の間の寸法。通常、幅や長さに対する最小寸法。</v>
      </c>
      <c r="I4872" s="3" t="str">
        <f ca="1">IFERROR(__xludf.DUMMYFUNCTION("googletranslate(F4872,""en"",""ja"")"),"厚さ")</f>
        <v>厚さ</v>
      </c>
    </row>
    <row r="4873" spans="1:9" ht="30">
      <c r="A4873" s="3" t="s">
        <v>159</v>
      </c>
      <c r="B4873" s="3" t="s">
        <v>20039</v>
      </c>
      <c r="C4873" s="3" t="s">
        <v>20040</v>
      </c>
      <c r="D4873" s="3" t="s">
        <v>20040</v>
      </c>
      <c r="E4873" s="3" t="s">
        <v>20041</v>
      </c>
      <c r="F4873" s="3" t="s">
        <v>20040</v>
      </c>
      <c r="G4873" s="3" t="str">
        <f ca="1">IFERROR(__xludf.DUMMYFUNCTION("googletranslate(D4873,""en"",""ja"")"),"厚さ")</f>
        <v>厚さ</v>
      </c>
      <c r="H4873" s="3" t="str">
        <f ca="1">IFERROR(__xludf.DUMMYFUNCTION("googletranslate(E4873,""en"",""ja"")"),"オブジェクトの 2 つの表面の間の寸法。通常、幅や長さに対する最小寸法。")</f>
        <v>オブジェクトの 2 つの表面の間の寸法。通常、幅や長さに対する最小寸法。</v>
      </c>
      <c r="I4873" s="3" t="str">
        <f ca="1">IFERROR(__xludf.DUMMYFUNCTION("googletranslate(F4873,""en"",""ja"")"),"厚さ")</f>
        <v>厚さ</v>
      </c>
    </row>
    <row r="4874" spans="1:9" ht="30">
      <c r="A4874" s="3" t="s">
        <v>1557</v>
      </c>
      <c r="B4874" s="3" t="s">
        <v>20042</v>
      </c>
      <c r="C4874" s="3" t="s">
        <v>20043</v>
      </c>
      <c r="D4874" s="3" t="s">
        <v>20043</v>
      </c>
      <c r="E4874" s="3" t="s">
        <v>20044</v>
      </c>
      <c r="F4874" s="3" t="s">
        <v>20045</v>
      </c>
      <c r="G4874" s="3" t="str">
        <f ca="1">IFERROR(__xludf.DUMMYFUNCTION("googletranslate(D4874,""en"",""ja"")"),"厚さ、最大値")</f>
        <v>厚さ、最大値</v>
      </c>
      <c r="H4874" s="3" t="str">
        <f ca="1">IFERROR(__xludf.DUMMYFUNCTION("googletranslate(E4874,""en"",""ja"")"),"オブジェクトの厚さを表す値のグループの最大数。")</f>
        <v>オブジェクトの厚さを表す値のグループの最大数。</v>
      </c>
      <c r="I4874" s="3" t="str">
        <f ca="1">IFERROR(__xludf.DUMMYFUNCTION("googletranslate(F4874,""en"",""ja"")"),"最大厚さ")</f>
        <v>最大厚さ</v>
      </c>
    </row>
    <row r="4875" spans="1:9" ht="30">
      <c r="A4875" s="3" t="s">
        <v>1557</v>
      </c>
      <c r="B4875" s="3" t="s">
        <v>20046</v>
      </c>
      <c r="C4875" s="3" t="s">
        <v>20047</v>
      </c>
      <c r="D4875" s="3" t="s">
        <v>20047</v>
      </c>
      <c r="E4875" s="3" t="s">
        <v>20048</v>
      </c>
      <c r="F4875" s="3" t="s">
        <v>20049</v>
      </c>
      <c r="G4875" s="3" t="str">
        <f ca="1">IFERROR(__xludf.DUMMYFUNCTION("googletranslate(D4875,""en"",""ja"")"),"厚さ、最小値")</f>
        <v>厚さ、最小値</v>
      </c>
      <c r="H4875" s="3" t="str">
        <f ca="1">IFERROR(__xludf.DUMMYFUNCTION("googletranslate(E4875,""en"",""ja"")"),"オブジェクトの厚さを表す値のグループの最小数。")</f>
        <v>オブジェクトの厚さを表す値のグループの最小数。</v>
      </c>
      <c r="I4875" s="3" t="str">
        <f ca="1">IFERROR(__xludf.DUMMYFUNCTION("googletranslate(F4875,""en"",""ja"")"),"最小厚さ")</f>
        <v>最小厚さ</v>
      </c>
    </row>
    <row r="4876" spans="1:9" ht="30">
      <c r="A4876" s="3" t="s">
        <v>1557</v>
      </c>
      <c r="B4876" s="3" t="s">
        <v>20050</v>
      </c>
      <c r="C4876" s="3" t="s">
        <v>20051</v>
      </c>
      <c r="D4876" s="3" t="s">
        <v>20051</v>
      </c>
      <c r="E4876" s="3" t="s">
        <v>20052</v>
      </c>
      <c r="F4876" s="3" t="s">
        <v>20053</v>
      </c>
      <c r="G4876" s="3" t="str">
        <f ca="1">IFERROR(__xludf.DUMMYFUNCTION("googletranslate(D4876,""en"",""ja"")"),"厚さ、平均")</f>
        <v>厚さ、平均</v>
      </c>
      <c r="H4876" s="3" t="str">
        <f ca="1">IFERROR(__xludf.DUMMYFUNCTION("googletranslate(E4876,""en"",""ja"")"),"オブジェクトの厚さを表す値のグループの平均数値。")</f>
        <v>オブジェクトの厚さを表す値のグループの平均数値。</v>
      </c>
      <c r="I4876" s="3" t="str">
        <f ca="1">IFERROR(__xludf.DUMMYFUNCTION("googletranslate(F4876,""en"",""ja"")"),"平均厚さ")</f>
        <v>平均厚さ</v>
      </c>
    </row>
    <row r="4877" spans="1:9" ht="30">
      <c r="A4877" s="3" t="s">
        <v>2904</v>
      </c>
      <c r="B4877" s="3" t="s">
        <v>20054</v>
      </c>
      <c r="C4877" s="3" t="s">
        <v>20040</v>
      </c>
      <c r="D4877" s="3" t="s">
        <v>20040</v>
      </c>
      <c r="E4877" s="3" t="s">
        <v>20041</v>
      </c>
      <c r="F4877" s="3" t="s">
        <v>20040</v>
      </c>
      <c r="G4877" s="3" t="str">
        <f ca="1">IFERROR(__xludf.DUMMYFUNCTION("googletranslate(D4877,""en"",""ja"")"),"厚さ")</f>
        <v>厚さ</v>
      </c>
      <c r="H4877" s="3" t="str">
        <f ca="1">IFERROR(__xludf.DUMMYFUNCTION("googletranslate(E4877,""en"",""ja"")"),"オブジェクトの 2 つの表面の間の寸法。通常、幅や長さに対する最小寸法。")</f>
        <v>オブジェクトの 2 つの表面の間の寸法。通常、幅や長さに対する最小寸法。</v>
      </c>
      <c r="I4877" s="3" t="str">
        <f ca="1">IFERROR(__xludf.DUMMYFUNCTION("googletranslate(F4877,""en"",""ja"")"),"厚さ")</f>
        <v>厚さ</v>
      </c>
    </row>
    <row r="4878" spans="1:9" ht="30">
      <c r="A4878" s="3" t="s">
        <v>1557</v>
      </c>
      <c r="B4878" s="3" t="s">
        <v>20055</v>
      </c>
      <c r="C4878" s="3" t="s">
        <v>20056</v>
      </c>
      <c r="D4878" s="3" t="s">
        <v>20056</v>
      </c>
      <c r="E4878" s="3" t="s">
        <v>20057</v>
      </c>
      <c r="F4878" s="3" t="s">
        <v>20058</v>
      </c>
      <c r="G4878" s="3" t="str">
        <f ca="1">IFERROR(__xludf.DUMMYFUNCTION("googletranslate(D4878,""en"",""ja"")"),"厚さ、標準偏差")</f>
        <v>厚さ、標準偏差</v>
      </c>
      <c r="H4878" s="3" t="str">
        <f ca="1">IFERROR(__xludf.DUMMYFUNCTION("googletranslate(E4878,""en"",""ja"")"),"オブジェクトの厚さを表す値のグループの標準偏差。")</f>
        <v>オブジェクトの厚さを表す値のグループの標準偏差。</v>
      </c>
      <c r="I4878" s="3" t="str">
        <f ca="1">IFERROR(__xludf.DUMMYFUNCTION("googletranslate(F4878,""en"",""ja"")"),"厚さの標準偏差")</f>
        <v>厚さの標準偏差</v>
      </c>
    </row>
    <row r="4879" spans="1:9">
      <c r="A4879" s="3" t="s">
        <v>6</v>
      </c>
      <c r="B4879" s="3" t="s">
        <v>20059</v>
      </c>
      <c r="C4879" s="3" t="s">
        <v>20060</v>
      </c>
      <c r="D4879" s="3" t="s">
        <v>20060</v>
      </c>
      <c r="E4879" s="3" t="s">
        <v>20061</v>
      </c>
      <c r="F4879" s="3" t="s">
        <v>20062</v>
      </c>
      <c r="G4879" s="3" t="str">
        <f ca="1">IFERROR(__xludf.DUMMYFUNCTION("googletranslate(D4879,""en"",""ja"")"),"チペンタール")</f>
        <v>チペンタール</v>
      </c>
      <c r="H4879" s="3" t="str">
        <f ca="1">IFERROR(__xludf.DUMMYFUNCTION("googletranslate(E4879,""en"",""ja"")"),"生物学的標本中のチオペンタールの測定。")</f>
        <v>生物学的標本中のチオペンタールの測定。</v>
      </c>
      <c r="I4879" s="3" t="str">
        <f ca="1">IFERROR(__xludf.DUMMYFUNCTION("googletranslate(F4879,""en"",""ja"")"),"チオペンタールの測定")</f>
        <v>チオペンタールの測定</v>
      </c>
    </row>
    <row r="4880" spans="1:9">
      <c r="A4880" s="3" t="s">
        <v>6</v>
      </c>
      <c r="B4880" s="3" t="s">
        <v>20063</v>
      </c>
      <c r="C4880" s="3" t="s">
        <v>20064</v>
      </c>
      <c r="D4880" s="3" t="s">
        <v>20064</v>
      </c>
      <c r="E4880" s="3" t="s">
        <v>20065</v>
      </c>
      <c r="F4880" s="3" t="s">
        <v>20066</v>
      </c>
      <c r="G4880" s="3" t="str">
        <f ca="1">IFERROR(__xludf.DUMMYFUNCTION("googletranslate(D4880,""en"",""ja"")"),"チオリダジン")</f>
        <v>チオリダジン</v>
      </c>
      <c r="H4880" s="3" t="str">
        <f ca="1">IFERROR(__xludf.DUMMYFUNCTION("googletranslate(E4880,""en"",""ja"")"),"生物学的標本中のチオリダジンの測定。")</f>
        <v>生物学的標本中のチオリダジンの測定。</v>
      </c>
      <c r="I4880" s="3" t="str">
        <f ca="1">IFERROR(__xludf.DUMMYFUNCTION("googletranslate(F4880,""en"",""ja"")"),"チオリダジンの測定")</f>
        <v>チオリダジンの測定</v>
      </c>
    </row>
    <row r="4881" spans="1:9">
      <c r="A4881" s="3" t="s">
        <v>6</v>
      </c>
      <c r="B4881" s="3" t="s">
        <v>20067</v>
      </c>
      <c r="C4881" s="3" t="s">
        <v>20068</v>
      </c>
      <c r="D4881" s="3" t="s">
        <v>20068</v>
      </c>
      <c r="E4881" s="3" t="s">
        <v>20069</v>
      </c>
      <c r="F4881" s="3" t="s">
        <v>20070</v>
      </c>
      <c r="G4881" s="3" t="str">
        <f ca="1">IFERROR(__xludf.DUMMYFUNCTION("googletranslate(D4881,""en"",""ja"")"),"チオチキセン")</f>
        <v>チオチキセン</v>
      </c>
      <c r="H4881" s="3" t="str">
        <f ca="1">IFERROR(__xludf.DUMMYFUNCTION("googletranslate(E4881,""en"",""ja"")"),"生物学的標本中のチオチキセンの測定。")</f>
        <v>生物学的標本中のチオチキセンの測定。</v>
      </c>
      <c r="I4881" s="3" t="str">
        <f ca="1">IFERROR(__xludf.DUMMYFUNCTION("googletranslate(F4881,""en"",""ja"")"),"チオチキセンの測定")</f>
        <v>チオチキセンの測定</v>
      </c>
    </row>
    <row r="4882" spans="1:9">
      <c r="A4882" s="3" t="s">
        <v>142</v>
      </c>
      <c r="B4882" s="3" t="s">
        <v>20071</v>
      </c>
      <c r="C4882" s="3" t="s">
        <v>20072</v>
      </c>
      <c r="D4882" s="3" t="s">
        <v>20072</v>
      </c>
      <c r="E4882" s="3" t="s">
        <v>20073</v>
      </c>
      <c r="F4882" s="3" t="s">
        <v>20072</v>
      </c>
      <c r="G4882" s="3" t="str">
        <f ca="1">IFERROR(__xludf.DUMMYFUNCTION("googletranslate(D4882,""en"",""ja"")"),"テラルシュ・エイジ")</f>
        <v>テラルシュ・エイジ</v>
      </c>
      <c r="H4882" s="3" t="str">
        <f ca="1">IFERROR(__xludf.DUMMYFUNCTION("googletranslate(E4882,""en"",""ja"")"),"乳房の発育が始まる年齢。")</f>
        <v>乳房の発育が始まる年齢。</v>
      </c>
      <c r="I4882" s="3" t="str">
        <f ca="1">IFERROR(__xludf.DUMMYFUNCTION("googletranslate(F4882,""en"",""ja"")"),"テラルシュ・エイジ")</f>
        <v>テラルシュ・エイジ</v>
      </c>
    </row>
    <row r="4883" spans="1:9" ht="60">
      <c r="A4883" s="3" t="s">
        <v>6</v>
      </c>
      <c r="B4883" s="3" t="s">
        <v>20074</v>
      </c>
      <c r="C4883" s="3" t="s">
        <v>20075</v>
      </c>
      <c r="D4883" s="3" t="s">
        <v>20076</v>
      </c>
      <c r="E4883" s="3" t="s">
        <v>20077</v>
      </c>
      <c r="F4883" s="3" t="s">
        <v>20078</v>
      </c>
      <c r="G4883" s="3" t="str">
        <f ca="1">IFERROR(__xludf.DUMMYFUNCTION("googletranslate(D4883,""en"",""ja"")"),"トロンビン活性の実際/対照。トロンビン活性は実際/正常。トロンビン活性実際/トロンビン活性制御")</f>
        <v>トロンビン活性の実際/対照。トロンビン活性は実際/正常。トロンビン活性実際/トロンビン活性制御</v>
      </c>
      <c r="H4883" s="3" t="str">
        <f ca="1">IFERROR(__xludf.DUMMYFUNCTION("googletranslate(E4883,""en"",""ja"")"),"対象の検体におけるトロンビン依存性凝固の生物学的活性を、対照検体における同じ活性と比較したときの相対測定値（比率またはパーセンテージ）。")</f>
        <v>対象の検体におけるトロンビン依存性凝固の生物学的活性を、対照検体における同じ活性と比較したときの相対測定値（比率またはパーセンテージ）。</v>
      </c>
      <c r="I4883" s="3" t="str">
        <f ca="1">IFERROR(__xludf.DUMMYFUNCTION("googletranslate(F4883,""en"",""ja"")"),"トロンビン活性の実際対対照比の測定")</f>
        <v>トロンビン活性の実際対対照比の測定</v>
      </c>
    </row>
    <row r="4884" spans="1:9" ht="30">
      <c r="A4884" s="3" t="s">
        <v>103</v>
      </c>
      <c r="B4884" s="3" t="s">
        <v>20079</v>
      </c>
      <c r="C4884" s="3" t="s">
        <v>20080</v>
      </c>
      <c r="D4884" s="3" t="s">
        <v>20081</v>
      </c>
      <c r="E4884" s="3" t="s">
        <v>19650</v>
      </c>
      <c r="F4884" s="3" t="s">
        <v>20082</v>
      </c>
      <c r="G4884" s="3" t="str">
        <f ca="1">IFERROR(__xludf.DUMMYFUNCTION("googletranslate(D4884,""en"",""ja"")"),"Tリンパ球ヘルパー記憶腸ホーミング; Tlym ヘルプ メム GH")</f>
        <v>Tリンパ球ヘルパー記憶腸ホーミング; Tlym ヘルプ メム GH</v>
      </c>
      <c r="H4884" s="3" t="str">
        <f ca="1">IFERROR(__xludf.DUMMYFUNCTION("googletranslate(E4884,""en"",""ja"")"),"生物学的標本中の腸ホーミングヘルパー記憶 T リンパ球の測定。")</f>
        <v>生物学的標本中の腸ホーミングヘルパー記憶 T リンパ球の測定。</v>
      </c>
      <c r="I4884" s="3" t="str">
        <f ca="1">IFERROR(__xludf.DUMMYFUNCTION("googletranslate(F4884,""en"",""ja"")"),"腸ホーミングヘルパー記憶 T リンパ球数")</f>
        <v>腸ホーミングヘルパー記憶 T リンパ球数</v>
      </c>
    </row>
    <row r="4885" spans="1:9" ht="45">
      <c r="A4885" s="3" t="s">
        <v>103</v>
      </c>
      <c r="B4885" s="3" t="s">
        <v>20083</v>
      </c>
      <c r="C4885" s="3" t="s">
        <v>20084</v>
      </c>
      <c r="D4885" s="3" t="s">
        <v>20085</v>
      </c>
      <c r="E4885" s="3" t="s">
        <v>20086</v>
      </c>
      <c r="F4885" s="3" t="s">
        <v>20087</v>
      </c>
      <c r="G4885" s="3" t="str">
        <f ca="1">IFERROR(__xludf.DUMMYFUNCTION("googletranslate(D4885,""en"",""ja"")"),"Tリンパ球ヘルパー記憶腸ホーミング亜集団。 TLym ヘルプ メム GH サブ")</f>
        <v>Tリンパ球ヘルパー記憶腸ホーミング亜集団。 TLym ヘルプ メム GH サブ</v>
      </c>
      <c r="H4885" s="3" t="str">
        <f ca="1">IFERROR(__xludf.DUMMYFUNCTION("googletranslate(E4885,""en"",""ja"")"),"生物学的標本中の腸ホーミングヘルパーメモリー T リンパ球の部分集団の測定。")</f>
        <v>生物学的標本中の腸ホーミングヘルパーメモリー T リンパ球の部分集団の測定。</v>
      </c>
      <c r="I4885" s="3" t="str">
        <f ca="1">IFERROR(__xludf.DUMMYFUNCTION("googletranslate(F4885,""en"",""ja"")"),"腸ホーミングヘルパー記憶 T リンパ球部分集団数")</f>
        <v>腸ホーミングヘルパー記憶 T リンパ球部分集団数</v>
      </c>
    </row>
    <row r="4886" spans="1:9" ht="90">
      <c r="A4886" s="3" t="s">
        <v>103</v>
      </c>
      <c r="B4886" s="3" t="s">
        <v>20088</v>
      </c>
      <c r="C4886" s="3" t="s">
        <v>20089</v>
      </c>
      <c r="D4886" s="3" t="s">
        <v>20090</v>
      </c>
      <c r="E4886" s="3" t="s">
        <v>20091</v>
      </c>
      <c r="F4886" s="3" t="s">
        <v>20092</v>
      </c>
      <c r="G4886" s="3" t="str">
        <f ca="1">IFERROR(__xludf.DUMMYFUNCTION("googletranslate(D4886,""en"",""ja"")"),"T リンパ球ヘルパー記憶腸ホーミング亜集団/T リンパ球ヘルパー記憶腸ホーミング; TLym ヘルプ メム GH サブ/TLym ヘルプ メム GH; TLym ヘルプ メム GH サブ/TLymHMGH")</f>
        <v>T リンパ球ヘルパー記憶腸ホーミング亜集団/T リンパ球ヘルパー記憶腸ホーミング; TLym ヘルプ メム GH サブ/TLym ヘルプ メム GH; TLym ヘルプ メム GH サブ/TLymHMGH</v>
      </c>
      <c r="H4886" s="3" t="str">
        <f ca="1">IFERROR(__xludf.DUMMYFUNCTION("googletranslate(E4886,""en"",""ja"")"),"生物学的標本中の総ガットホーミングヘルパーメモリー T リンパ球に対するガットホーミングヘルパーメモリー T リンパ球の部分集団の相対測定値 (比率またはパーセンテージ)。")</f>
        <v>生物学的標本中の総ガットホーミングヘルパーメモリー T リンパ球に対するガットホーミングヘルパーメモリー T リンパ球の部分集団の相対測定値 (比率またはパーセンテージ)。</v>
      </c>
      <c r="I4886" s="3" t="str">
        <f ca="1">IFERROR(__xludf.DUMMYFUNCTION("googletranslate(F4886,""en"",""ja"")"),"ガットホーミングヘルパーメモリー T リンパ球部分集団とガットホーミングヘルパーメモリー T リンパ球の比率の測定")</f>
        <v>ガットホーミングヘルパーメモリー T リンパ球部分集団とガットホーミングヘルパーメモリー T リンパ球の比率の測定</v>
      </c>
    </row>
    <row r="4887" spans="1:9" ht="75">
      <c r="A4887" s="3" t="s">
        <v>103</v>
      </c>
      <c r="B4887" s="3" t="s">
        <v>20093</v>
      </c>
      <c r="C4887" s="3" t="s">
        <v>20094</v>
      </c>
      <c r="D4887" s="3" t="s">
        <v>20095</v>
      </c>
      <c r="E4887" s="3" t="s">
        <v>20096</v>
      </c>
      <c r="F4887" s="3" t="s">
        <v>20097</v>
      </c>
      <c r="G4887" s="3" t="str">
        <f ca="1">IFERROR(__xludf.DUMMYFUNCTION("googletranslate(D4887,""en"",""ja"")"),"T リンパ球ヘルパー記憶腸ホーミング亜集団/T リンパ球ヘルパー; TLym ヘルプ Mem GH Sub/TLym ヘルプ; TLym ヘルプ メム GH サブ/TLymH")</f>
        <v>T リンパ球ヘルパー記憶腸ホーミング亜集団/T リンパ球ヘルパー; TLym ヘルプ Mem GH Sub/TLym ヘルプ; TLym ヘルプ メム GH サブ/TLymH</v>
      </c>
      <c r="H4887" s="3" t="str">
        <f ca="1">IFERROR(__xludf.DUMMYFUNCTION("googletranslate(E4887,""en"",""ja"")"),"生物学的標本中の総ヘルパー T リンパ球に対する腸ホーミング ヘルパー メモリー T リンパ球の部分集団の相対測定値 (比率またはパーセンテージ)。")</f>
        <v>生物学的標本中の総ヘルパー T リンパ球に対する腸ホーミング ヘルパー メモリー T リンパ球の部分集団の相対測定値 (比率またはパーセンテージ)。</v>
      </c>
      <c r="I4887" s="3" t="str">
        <f ca="1">IFERROR(__xludf.DUMMYFUNCTION("googletranslate(F4887,""en"",""ja"")"),"ガットホーミングヘルパーメモリー T リンパ球部分集団とヘルパー T リンパ球の比率の測定")</f>
        <v>ガットホーミングヘルパーメモリー T リンパ球部分集団とヘルパー T リンパ球の比率の測定</v>
      </c>
    </row>
    <row r="4888" spans="1:9" ht="60">
      <c r="A4888" s="3" t="s">
        <v>103</v>
      </c>
      <c r="B4888" s="3" t="s">
        <v>20098</v>
      </c>
      <c r="C4888" s="3" t="s">
        <v>20099</v>
      </c>
      <c r="D4888" s="3" t="s">
        <v>20100</v>
      </c>
      <c r="E4888" s="3" t="s">
        <v>20101</v>
      </c>
      <c r="F4888" s="3" t="s">
        <v>20102</v>
      </c>
      <c r="G4888" s="3" t="str">
        <f ca="1">IFERROR(__xludf.DUMMYFUNCTION("googletranslate(D4888,""en"",""ja"")"),"T リンパ球ヘルパー 記憶腸ホーミング/T リンパ球ヘルパー; TLym ヘルプ Mem GH/TLym ヘルプ; TLym ヘルプ メム GH/TLymH")</f>
        <v>T リンパ球ヘルパー 記憶腸ホーミング/T リンパ球ヘルパー; TLym ヘルプ Mem GH/TLym ヘルプ; TLym ヘルプ メム GH/TLymH</v>
      </c>
      <c r="H4888" s="3" t="str">
        <f ca="1">IFERROR(__xludf.DUMMYFUNCTION("googletranslate(E4888,""en"",""ja"")"),"生物学的検体中の総ヘルパー T リンパ球に対する腸ホーミング ヘルパー メモリー T リンパ球の相対測定値 (比率またはパーセンテージ)。")</f>
        <v>生物学的検体中の総ヘルパー T リンパ球に対する腸ホーミング ヘルパー メモリー T リンパ球の相対測定値 (比率またはパーセンテージ)。</v>
      </c>
      <c r="I4888" s="3" t="str">
        <f ca="1">IFERROR(__xludf.DUMMYFUNCTION("googletranslate(F4888,""en"",""ja"")"),"ガットホーミングヘルパーメモリーTリンパ球とヘルパーTリンパ球の比率測定")</f>
        <v>ガットホーミングヘルパーメモリーTリンパ球とヘルパーTリンパ球の比率測定</v>
      </c>
    </row>
    <row r="4889" spans="1:9" ht="90">
      <c r="A4889" s="3" t="s">
        <v>103</v>
      </c>
      <c r="B4889" s="3" t="s">
        <v>20103</v>
      </c>
      <c r="C4889" s="3" t="s">
        <v>20104</v>
      </c>
      <c r="D4889" s="3" t="s">
        <v>20105</v>
      </c>
      <c r="E4889" s="3" t="s">
        <v>20106</v>
      </c>
      <c r="F4889" s="3" t="s">
        <v>20107</v>
      </c>
      <c r="G4889" s="3" t="str">
        <f ca="1">IFERROR(__xludf.DUMMYFUNCTION("googletranslate(D4889,""en"",""ja"")"),"T リンパ球ヘルパー記憶 腸ホーミング/T リンパ球ヘルパー記憶 腸ホーミング/T リンパ球ヘルパー記憶。 TLym ヘルプ・ミー GH/TLym ヘルプ・ミー; TLym ヘルプ メム GH/TLymHM")</f>
        <v>T リンパ球ヘルパー記憶 腸ホーミング/T リンパ球ヘルパー記憶 腸ホーミング/T リンパ球ヘルパー記憶。 TLym ヘルプ・ミー GH/TLym ヘルプ・ミー; TLym ヘルプ メム GH/TLymHM</v>
      </c>
      <c r="H4889" s="3" t="str">
        <f ca="1">IFERROR(__xludf.DUMMYFUNCTION("googletranslate(E4889,""en"",""ja"")"),"生物学的標本中の総ヘルパー メモリー T リンパ球に対する腸ホーミング ヘルパー メモリー T リンパ球の相対測定値 (比率またはパーセンテージ)。")</f>
        <v>生物学的標本中の総ヘルパー メモリー T リンパ球に対する腸ホーミング ヘルパー メモリー T リンパ球の相対測定値 (比率またはパーセンテージ)。</v>
      </c>
      <c r="I4889" s="3" t="str">
        <f ca="1">IFERROR(__xludf.DUMMYFUNCTION("googletranslate(F4889,""en"",""ja"")"),"ガットホーミングヘルパーメモリーTリンパ球対ヘルパーメモリーTリンパ球比測定")</f>
        <v>ガットホーミングヘルパーメモリーTリンパ球対ヘルパーメモリーTリンパ球比測定</v>
      </c>
    </row>
    <row r="4890" spans="1:9" ht="45">
      <c r="A4890" s="3" t="s">
        <v>103</v>
      </c>
      <c r="B4890" s="3" t="s">
        <v>20108</v>
      </c>
      <c r="C4890" s="3" t="s">
        <v>20109</v>
      </c>
      <c r="D4890" s="3" t="s">
        <v>20110</v>
      </c>
      <c r="E4890" s="3" t="s">
        <v>20111</v>
      </c>
      <c r="F4890" s="3" t="s">
        <v>20112</v>
      </c>
      <c r="G4890" s="3" t="str">
        <f ca="1">IFERROR(__xludf.DUMMYFUNCTION("googletranslate(D4890,""en"",""ja"")"),"Tリンパ球ヘルパー記憶皮膚ホーミング; TLym ヘルプ メム SH")</f>
        <v>Tリンパ球ヘルパー記憶皮膚ホーミング; TLym ヘルプ メム SH</v>
      </c>
      <c r="H4890" s="3" t="str">
        <f ca="1">IFERROR(__xludf.DUMMYFUNCTION("googletranslate(E4890,""en"",""ja"")"),"生体標本中の皮膚ホーミングヘルパーメモリー T リンパ球の測定。")</f>
        <v>生体標本中の皮膚ホーミングヘルパーメモリー T リンパ球の測定。</v>
      </c>
      <c r="I4890" s="3" t="str">
        <f ca="1">IFERROR(__xludf.DUMMYFUNCTION("googletranslate(F4890,""en"",""ja"")"),"スキンホーミングヘルパーメモリーTリンパ球数")</f>
        <v>スキンホーミングヘルパーメモリーTリンパ球数</v>
      </c>
    </row>
    <row r="4891" spans="1:9" ht="45">
      <c r="A4891" s="3" t="s">
        <v>103</v>
      </c>
      <c r="B4891" s="3" t="s">
        <v>20113</v>
      </c>
      <c r="C4891" s="3" t="s">
        <v>20114</v>
      </c>
      <c r="D4891" s="3" t="s">
        <v>20115</v>
      </c>
      <c r="E4891" s="3" t="s">
        <v>20116</v>
      </c>
      <c r="F4891" s="3" t="s">
        <v>20117</v>
      </c>
      <c r="G4891" s="3" t="str">
        <f ca="1">IFERROR(__xludf.DUMMYFUNCTION("googletranslate(D4891,""en"",""ja"")"),"T リンパ球ヘルパー記憶皮膚ホーミング亜集団。 TLym ヘルプ メム SH サブ")</f>
        <v>T リンパ球ヘルパー記憶皮膚ホーミング亜集団。 TLym ヘルプ メム SH サブ</v>
      </c>
      <c r="H4891" s="3" t="str">
        <f ca="1">IFERROR(__xludf.DUMMYFUNCTION("googletranslate(E4891,""en"",""ja"")"),"生物学的標本中の皮膚ホーミングヘルパーメモリー T リンパ球の部分集団の測定。")</f>
        <v>生物学的標本中の皮膚ホーミングヘルパーメモリー T リンパ球の部分集団の測定。</v>
      </c>
      <c r="I4891" s="3" t="str">
        <f ca="1">IFERROR(__xludf.DUMMYFUNCTION("googletranslate(F4891,""en"",""ja"")"),"スキンホーミングヘルパーメモリーTリンパ球部分集団")</f>
        <v>スキンホーミングヘルパーメモリーTリンパ球部分集団</v>
      </c>
    </row>
    <row r="4892" spans="1:9" ht="105">
      <c r="A4892" s="3" t="s">
        <v>103</v>
      </c>
      <c r="B4892" s="3" t="s">
        <v>20118</v>
      </c>
      <c r="C4892" s="3" t="s">
        <v>20119</v>
      </c>
      <c r="D4892" s="3" t="s">
        <v>20120</v>
      </c>
      <c r="E4892" s="3" t="s">
        <v>20121</v>
      </c>
      <c r="F4892" s="3" t="s">
        <v>20122</v>
      </c>
      <c r="G4892" s="3" t="str">
        <f ca="1">IFERROR(__xludf.DUMMYFUNCTION("googletranslate(D4892,""en"",""ja"")"),"T リンパ球ヘルパー メモリー スキン ホーミング サブ集団/T リンパ球 ヘルパー メモリー スキン ホーミング; TLym ヘルプ メム SH サブ/TLym ヘルプ メム SH; TLym ヘルプ メム SH サブ/TLymHMSH")</f>
        <v>T リンパ球ヘルパー メモリー スキン ホーミング サブ集団/T リンパ球 ヘルパー メモリー スキン ホーミング; TLym ヘルプ メム SH サブ/TLym ヘルプ メム SH; TLym ヘルプ メム SH サブ/TLymHMSH</v>
      </c>
      <c r="H4892" s="3" t="str">
        <f ca="1">IFERROR(__xludf.DUMMYFUNCTION("googletranslate(E4892,""en"",""ja"")"),"生物学的標本中の総スキンホーミングヘルパーメモリー T リンパ球に対するスキンホーミングヘルパーメモリー T リンパ球の部分集団の相対測定値 (比率またはパーセンテージ)。")</f>
        <v>生物学的標本中の総スキンホーミングヘルパーメモリー T リンパ球に対するスキンホーミングヘルパーメモリー T リンパ球の部分集団の相対測定値 (比率またはパーセンテージ)。</v>
      </c>
      <c r="I4892" s="3" t="str">
        <f ca="1">IFERROR(__xludf.DUMMYFUNCTION("googletranslate(F4892,""en"",""ja"")"),"スキンホーミングヘルパーメモリーTリンパ球部分集団とスキンホーミングヘルパーメモリーTリンパ球の比率の測定")</f>
        <v>スキンホーミングヘルパーメモリーTリンパ球部分集団とスキンホーミングヘルパーメモリーTリンパ球の比率の測定</v>
      </c>
    </row>
    <row r="4893" spans="1:9" ht="75">
      <c r="A4893" s="3" t="s">
        <v>103</v>
      </c>
      <c r="B4893" s="3" t="s">
        <v>20123</v>
      </c>
      <c r="C4893" s="3" t="s">
        <v>20124</v>
      </c>
      <c r="D4893" s="3" t="s">
        <v>20125</v>
      </c>
      <c r="E4893" s="3" t="s">
        <v>20126</v>
      </c>
      <c r="F4893" s="3" t="s">
        <v>20127</v>
      </c>
      <c r="G4893" s="3" t="str">
        <f ca="1">IFERROR(__xludf.DUMMYFUNCTION("googletranslate(D4893,""en"",""ja"")"),"T リンパ球ヘルパー メモリー スキンホーミング サブ集団/T リンパ球ヘルパー; TLym ヘルプ Mem SH Sub/TLym ヘルプ; TLym ヘルプ メム SH サブ/TLymH")</f>
        <v>T リンパ球ヘルパー メモリー スキンホーミング サブ集団/T リンパ球ヘルパー; TLym ヘルプ Mem SH Sub/TLym ヘルプ; TLym ヘルプ メム SH サブ/TLymH</v>
      </c>
      <c r="H4893" s="3" t="str">
        <f ca="1">IFERROR(__xludf.DUMMYFUNCTION("googletranslate(E4893,""en"",""ja"")"),"生物学的標本中の総ヘルパー T リンパ球に対する皮膚ホーミング ヘルパー メモリー T リンパ球の部分集団の相対測定値 (比率またはパーセンテージ)。")</f>
        <v>生物学的標本中の総ヘルパー T リンパ球に対する皮膚ホーミング ヘルパー メモリー T リンパ球の部分集団の相対測定値 (比率またはパーセンテージ)。</v>
      </c>
      <c r="I4893" s="3" t="str">
        <f ca="1">IFERROR(__xludf.DUMMYFUNCTION("googletranslate(F4893,""en"",""ja"")"),"スキンホーミングヘルパーメモリー T リンパ球部分集団とヘルパー T リンパ球の比率の測定")</f>
        <v>スキンホーミングヘルパーメモリー T リンパ球部分集団とヘルパー T リンパ球の比率の測定</v>
      </c>
    </row>
    <row r="4894" spans="1:9" ht="75">
      <c r="A4894" s="3" t="s">
        <v>103</v>
      </c>
      <c r="B4894" s="3" t="s">
        <v>20128</v>
      </c>
      <c r="C4894" s="3" t="s">
        <v>20129</v>
      </c>
      <c r="D4894" s="3" t="s">
        <v>20130</v>
      </c>
      <c r="E4894" s="3" t="s">
        <v>20131</v>
      </c>
      <c r="F4894" s="3" t="s">
        <v>20132</v>
      </c>
      <c r="G4894" s="3" t="str">
        <f ca="1">IFERROR(__xludf.DUMMYFUNCTION("googletranslate(D4894,""en"",""ja"")"),"T リンパ球ヘルパー メモリー スキンホーミング/T リンパ球ヘルパー; TLym ヘルプ Mem SH/TLym ヘルプ; TLym ヘルプ メム SH/TLymH")</f>
        <v>T リンパ球ヘルパー メモリー スキンホーミング/T リンパ球ヘルパー; TLym ヘルプ Mem SH/TLym ヘルプ; TLym ヘルプ メム SH/TLymH</v>
      </c>
      <c r="H4894" s="3" t="str">
        <f ca="1">IFERROR(__xludf.DUMMYFUNCTION("googletranslate(E4894,""en"",""ja"")"),"生物学的標本中の総ヘルパー T リンパ球に対する皮膚ホーミング ヘルパー メモリー T リンパ球の相対測定値 (比率またはパーセンテージ)。")</f>
        <v>生物学的標本中の総ヘルパー T リンパ球に対する皮膚ホーミング ヘルパー メモリー T リンパ球の相対測定値 (比率またはパーセンテージ)。</v>
      </c>
      <c r="I4894" s="3" t="str">
        <f ca="1">IFERROR(__xludf.DUMMYFUNCTION("googletranslate(F4894,""en"",""ja"")"),"スキンホーミングヘルパーメモリーTリンパ球とヘルパーTリンパ球の比率測定")</f>
        <v>スキンホーミングヘルパーメモリーTリンパ球とヘルパーTリンパ球の比率測定</v>
      </c>
    </row>
    <row r="4895" spans="1:9" ht="75">
      <c r="A4895" s="3" t="s">
        <v>103</v>
      </c>
      <c r="B4895" s="3" t="s">
        <v>20133</v>
      </c>
      <c r="C4895" s="3" t="s">
        <v>20134</v>
      </c>
      <c r="D4895" s="3" t="s">
        <v>20135</v>
      </c>
      <c r="E4895" s="3" t="s">
        <v>20136</v>
      </c>
      <c r="F4895" s="3" t="s">
        <v>20137</v>
      </c>
      <c r="G4895" s="3" t="str">
        <f ca="1">IFERROR(__xludf.DUMMYFUNCTION("googletranslate(D4895,""en"",""ja"")"),"Tリンパ球ヘルパーメモリー スキンホーミング/Tリンパ球ヘルパーメモリー; TLym 助けてください SH/TLym 助けてください; TLym ヘルプ メム SH/TLymHM")</f>
        <v>Tリンパ球ヘルパーメモリー スキンホーミング/Tリンパ球ヘルパーメモリー; TLym 助けてください SH/TLym 助けてください; TLym ヘルプ メム SH/TLymHM</v>
      </c>
      <c r="H4895" s="3" t="str">
        <f ca="1">IFERROR(__xludf.DUMMYFUNCTION("googletranslate(E4895,""en"",""ja"")"),"生物学的標本中の総ヘルパー メモリー T リンパ球に対する皮膚ホーミング ヘルパー メモリー T リンパ球の相対測定値 (比率またはパーセンテージ)。")</f>
        <v>生物学的標本中の総ヘルパー メモリー T リンパ球に対する皮膚ホーミング ヘルパー メモリー T リンパ球の相対測定値 (比率またはパーセンテージ)。</v>
      </c>
      <c r="I4895" s="3" t="str">
        <f ca="1">IFERROR(__xludf.DUMMYFUNCTION("googletranslate(F4895,""en"",""ja"")"),"スキンホーミングヘルパーメモリーTリンパ球対ヘルパーメモリーTリンパ球比測定")</f>
        <v>スキンホーミングヘルパーメモリーTリンパ球対ヘルパーメモリーTリンパ球比測定</v>
      </c>
    </row>
    <row r="4896" spans="1:9">
      <c r="A4896" s="3" t="s">
        <v>6</v>
      </c>
      <c r="B4896" s="3" t="s">
        <v>20138</v>
      </c>
      <c r="C4896" s="3" t="s">
        <v>20139</v>
      </c>
      <c r="D4896" s="3" t="s">
        <v>20139</v>
      </c>
      <c r="E4896" s="3" t="s">
        <v>20140</v>
      </c>
      <c r="F4896" s="3" t="s">
        <v>20141</v>
      </c>
      <c r="G4896" s="3" t="str">
        <f ca="1">IFERROR(__xludf.DUMMYFUNCTION("googletranslate(D4896,""en"",""ja"")"),"チアミラール")</f>
        <v>チアミラール</v>
      </c>
      <c r="H4896" s="3" t="str">
        <f ca="1">IFERROR(__xludf.DUMMYFUNCTION("googletranslate(E4896,""en"",""ja"")"),"生物学的標本中のチアミラールの測定。")</f>
        <v>生物学的標本中のチアミラールの測定。</v>
      </c>
      <c r="I4896" s="3" t="str">
        <f ca="1">IFERROR(__xludf.DUMMYFUNCTION("googletranslate(F4896,""en"",""ja"")"),"チアミラールの測定")</f>
        <v>チアミラールの測定</v>
      </c>
    </row>
    <row r="4897" spans="1:9">
      <c r="A4897" s="3" t="s">
        <v>6</v>
      </c>
      <c r="B4897" s="3" t="s">
        <v>20142</v>
      </c>
      <c r="C4897" s="3" t="s">
        <v>20143</v>
      </c>
      <c r="D4897" s="3" t="s">
        <v>20143</v>
      </c>
      <c r="E4897" s="3" t="s">
        <v>20144</v>
      </c>
      <c r="F4897" s="3" t="s">
        <v>20145</v>
      </c>
      <c r="G4897" s="3" t="str">
        <f ca="1">IFERROR(__xludf.DUMMYFUNCTION("googletranslate(D4897,""en"",""ja"")"),"スレオニン")</f>
        <v>スレオニン</v>
      </c>
      <c r="H4897" s="3" t="str">
        <f ca="1">IFERROR(__xludf.DUMMYFUNCTION("googletranslate(E4897,""en"",""ja"")"),"生物学的標本中のスレオニンの測定。")</f>
        <v>生物学的標本中のスレオニンの測定。</v>
      </c>
      <c r="I4897" s="3" t="str">
        <f ca="1">IFERROR(__xludf.DUMMYFUNCTION("googletranslate(F4897,""en"",""ja"")"),"スレオニンの測定")</f>
        <v>スレオニンの測定</v>
      </c>
    </row>
    <row r="4898" spans="1:9" ht="30">
      <c r="A4898" s="3" t="s">
        <v>6</v>
      </c>
      <c r="B4898" s="3" t="s">
        <v>20146</v>
      </c>
      <c r="C4898" s="3" t="s">
        <v>20147</v>
      </c>
      <c r="D4898" s="3" t="s">
        <v>20147</v>
      </c>
      <c r="E4898" s="3" t="s">
        <v>20148</v>
      </c>
      <c r="F4898" s="3" t="s">
        <v>20149</v>
      </c>
      <c r="G4898" s="3" t="str">
        <f ca="1">IFERROR(__xludf.DUMMYFUNCTION("googletranslate(D4898,""en"",""ja"")"),"スレオニン/クレアチニン")</f>
        <v>スレオニン/クレアチニン</v>
      </c>
      <c r="H4898" s="3" t="str">
        <f ca="1">IFERROR(__xludf.DUMMYFUNCTION("googletranslate(E4898,""en"",""ja"")"),"生物学的標本におけるクレアチニンに対するスレオニンの相対測定値 (比)。")</f>
        <v>生物学的標本におけるクレアチニンに対するスレオニンの相対測定値 (比)。</v>
      </c>
      <c r="I4898" s="3" t="str">
        <f ca="1">IFERROR(__xludf.DUMMYFUNCTION("googletranslate(F4898,""en"",""ja"")"),"スレオニンとクレアチニンの比率の測定")</f>
        <v>スレオニンとクレアチニンの比率の測定</v>
      </c>
    </row>
    <row r="4899" spans="1:9" ht="90">
      <c r="A4899" s="3" t="s">
        <v>103</v>
      </c>
      <c r="B4899" s="3" t="s">
        <v>20150</v>
      </c>
      <c r="C4899" s="3" t="s">
        <v>20151</v>
      </c>
      <c r="D4899" s="3" t="s">
        <v>20152</v>
      </c>
      <c r="E4899" s="3" t="s">
        <v>20153</v>
      </c>
      <c r="F4899" s="3" t="s">
        <v>20154</v>
      </c>
      <c r="G4899" s="3" t="str">
        <f ca="1">IFERROR(__xludf.DUMMYFUNCTION("googletranslate(D4899,""en"",""ja"")"),"T リンパ球ヘルパー制御エフェクター サブ集団/T リンパ球ヘルパー制御エフェクター; TLym ヘルプ Reg Eff Sub/TLym ヘルプ Reg Eff; TLym ヘルプ Reg Eff Sub/TLymHRE")</f>
        <v>T リンパ球ヘルパー制御エフェクター サブ集団/T リンパ球ヘルパー制御エフェクター; TLym ヘルプ Reg Eff Sub/TLym ヘルプ Reg Eff; TLym ヘルプ Reg Eff Sub/TLymHRE</v>
      </c>
      <c r="H4899" s="3" t="str">
        <f ca="1">IFERROR(__xludf.DUMMYFUNCTION("googletranslate(E4899,""en"",""ja"")"),"生物学的検体中の総ヘルパー制御エフェクター T リンパ球に対するヘルパー制御エフェクター T リンパ球の部分集団の相対測定値 (比率またはパーセンテージ)。")</f>
        <v>生物学的検体中の総ヘルパー制御エフェクター T リンパ球に対するヘルパー制御エフェクター T リンパ球の部分集団の相対測定値 (比率またはパーセンテージ)。</v>
      </c>
      <c r="I4899" s="3" t="str">
        <f ca="1">IFERROR(__xludf.DUMMYFUNCTION("googletranslate(F4899,""en"",""ja"")"),"調節エフェクターヘルパー T リンパ球部分集団と調節エフェクター ヘルパー T リンパ球の比率の測定")</f>
        <v>調節エフェクターヘルパー T リンパ球部分集団と調節エフェクター ヘルパー T リンパ球の比率の測定</v>
      </c>
    </row>
    <row r="4900" spans="1:9" ht="45">
      <c r="A4900" s="3" t="s">
        <v>103</v>
      </c>
      <c r="B4900" s="3" t="s">
        <v>20155</v>
      </c>
      <c r="C4900" s="3" t="s">
        <v>20156</v>
      </c>
      <c r="D4900" s="3" t="s">
        <v>20157</v>
      </c>
      <c r="E4900" s="3" t="s">
        <v>20158</v>
      </c>
      <c r="F4900" s="3" t="s">
        <v>20159</v>
      </c>
      <c r="G4900" s="3" t="str">
        <f ca="1">IFERROR(__xludf.DUMMYFUNCTION("googletranslate(D4900,""en"",""ja"")"),"T リンパ球ヘルパー調節/白血球; TLym ヘルプ Reg/Leuk")</f>
        <v>T リンパ球ヘルパー調節/白血球; TLym ヘルプ Reg/Leuk</v>
      </c>
      <c r="H4900" s="3" t="str">
        <f ca="1">IFERROR(__xludf.DUMMYFUNCTION("googletranslate(E4900,""en"",""ja"")"),"生物学的標本中の白血球に対するヘルパー制御性 T リンパ球の相対測定値 (比率またはパーセンテージ)。")</f>
        <v>生物学的標本中の白血球に対するヘルパー制御性 T リンパ球の相対測定値 (比率またはパーセンテージ)。</v>
      </c>
      <c r="I4900" s="3" t="str">
        <f ca="1">IFERROR(__xludf.DUMMYFUNCTION("googletranslate(F4900,""en"",""ja"")"),"調節ヘルパーTリンパ球と白血球の比率の測定")</f>
        <v>調節ヘルパーTリンパ球と白血球の比率の測定</v>
      </c>
    </row>
    <row r="4901" spans="1:9" ht="45">
      <c r="A4901" s="3" t="s">
        <v>103</v>
      </c>
      <c r="B4901" s="3" t="s">
        <v>20160</v>
      </c>
      <c r="C4901" s="3" t="s">
        <v>20161</v>
      </c>
      <c r="D4901" s="3" t="s">
        <v>20162</v>
      </c>
      <c r="E4901" s="3" t="s">
        <v>20163</v>
      </c>
      <c r="F4901" s="3" t="s">
        <v>20164</v>
      </c>
      <c r="G4901" s="3" t="str">
        <f ca="1">IFERROR(__xludf.DUMMYFUNCTION("googletranslate(D4901,""en"",""ja"")"),"T リンパ球ヘルパー制御/T リンパ球; TLym ヘルプ登録/TLym")</f>
        <v>T リンパ球ヘルパー制御/T リンパ球; TLym ヘルプ登録/TLym</v>
      </c>
      <c r="H4901" s="3" t="str">
        <f ca="1">IFERROR(__xludf.DUMMYFUNCTION("googletranslate(E4901,""en"",""ja"")"),"生物学的検体中の総 T リンパ球に対するヘルパー制御性 T リンパ球の相対測定値 (比率またはパーセンテージ)。")</f>
        <v>生物学的検体中の総 T リンパ球に対するヘルパー制御性 T リンパ球の相対測定値 (比率またはパーセンテージ)。</v>
      </c>
      <c r="I4901" s="3" t="str">
        <f ca="1">IFERROR(__xludf.DUMMYFUNCTION("googletranslate(F4901,""en"",""ja"")"),"調節ヘルパー T リンパ球と T リンパ球の比率の測定")</f>
        <v>調節ヘルパー T リンパ球と T リンパ球の比率の測定</v>
      </c>
    </row>
    <row r="4902" spans="1:9" ht="30">
      <c r="A4902" s="3" t="s">
        <v>6</v>
      </c>
      <c r="B4902" s="3" t="s">
        <v>20165</v>
      </c>
      <c r="C4902" s="3" t="s">
        <v>20166</v>
      </c>
      <c r="D4902" s="3" t="s">
        <v>20166</v>
      </c>
      <c r="E4902" s="3" t="s">
        <v>20167</v>
      </c>
      <c r="F4902" s="3" t="s">
        <v>20168</v>
      </c>
      <c r="G4902" s="3" t="str">
        <f ca="1">IFERROR(__xludf.DUMMYFUNCTION("googletranslate(D4902,""en"",""ja"")"),"トロンボポエチン")</f>
        <v>トロンボポエチン</v>
      </c>
      <c r="H4902" s="3" t="str">
        <f ca="1">IFERROR(__xludf.DUMMYFUNCTION("googletranslate(E4902,""en"",""ja"")"),"生物学的標本中のトロンボポエチン ホルモンの測定。")</f>
        <v>生物学的標本中のトロンボポエチン ホルモンの測定。</v>
      </c>
      <c r="I4902" s="3" t="str">
        <f ca="1">IFERROR(__xludf.DUMMYFUNCTION("googletranslate(F4902,""en"",""ja"")"),"トロンボポエチンの測定")</f>
        <v>トロンボポエチンの測定</v>
      </c>
    </row>
    <row r="4903" spans="1:9" ht="60">
      <c r="A4903" s="3" t="s">
        <v>103</v>
      </c>
      <c r="B4903" s="3" t="s">
        <v>20169</v>
      </c>
      <c r="C4903" s="3" t="s">
        <v>20170</v>
      </c>
      <c r="D4903" s="3" t="s">
        <v>20171</v>
      </c>
      <c r="E4903" s="3" t="s">
        <v>20172</v>
      </c>
      <c r="F4903" s="3" t="s">
        <v>20173</v>
      </c>
      <c r="G4903" s="3" t="str">
        <f ca="1">IFERROR(__xludf.DUMMYFUNCTION("googletranslate(D4903,""en"",""ja"")"),"T リンパ球ヘルパー制御 ナイーブ サブ集団/T リンパ球ヘルパー制御; TLym ヘルプ Reg Naive Sub/TLymHR")</f>
        <v>T リンパ球ヘルパー制御 ナイーブ サブ集団/T リンパ球ヘルパー制御; TLym ヘルプ Reg Naive Sub/TLymHR</v>
      </c>
      <c r="H4903" s="3" t="str">
        <f ca="1">IFERROR(__xludf.DUMMYFUNCTION("googletranslate(E4903,""en"",""ja"")"),"生物学的検体中の総ヘルパー制御性 T リンパ球に対するヘルパー制御性ナイーブ T リンパ球の部分集団の相対測定値 (比率またはパーセンテージ)。")</f>
        <v>生物学的検体中の総ヘルパー制御性 T リンパ球に対するヘルパー制御性ナイーブ T リンパ球の部分集団の相対測定値 (比率またはパーセンテージ)。</v>
      </c>
      <c r="I4903" s="3" t="str">
        <f ca="1">IFERROR(__xludf.DUMMYFUNCTION("googletranslate(F4903,""en"",""ja"")"),"ナイーブヘルパー制御性 T リンパ球部分集団とヘルパー制御性 T リンパ球の比率の測定")</f>
        <v>ナイーブヘルパー制御性 T リンパ球部分集団とヘルパー制御性 T リンパ球の比率の測定</v>
      </c>
    </row>
    <row r="4904" spans="1:9" ht="45">
      <c r="A4904" s="3" t="s">
        <v>6</v>
      </c>
      <c r="B4904" s="3" t="s">
        <v>20174</v>
      </c>
      <c r="C4904" s="3" t="s">
        <v>20175</v>
      </c>
      <c r="D4904" s="3" t="s">
        <v>20176</v>
      </c>
      <c r="E4904" s="3" t="s">
        <v>20177</v>
      </c>
      <c r="F4904" s="3" t="s">
        <v>20178</v>
      </c>
      <c r="G4904" s="3" t="str">
        <f ca="1">IFERROR(__xludf.DUMMYFUNCTION("googletranslate(D4904,""en"",""ja"")"),"有核血小板;血小板")</f>
        <v>有核血小板;血小板</v>
      </c>
      <c r="H4904" s="3" t="str">
        <f ca="1">IFERROR(__xludf.DUMMYFUNCTION("googletranslate(E4904,""en"",""ja"")"),"生物学的標本中の有核血小板、つまり血小板の測定。これは通常、鳥類や他の非哺乳類の脊椎動物で測定されます。")</f>
        <v>生物学的標本中の有核血小板、つまり血小板の測定。これは通常、鳥類や他の非哺乳類の脊椎動物で測定されます。</v>
      </c>
      <c r="I4904" s="3" t="str">
        <f ca="1">IFERROR(__xludf.DUMMYFUNCTION("googletranslate(F4904,""en"",""ja"")"),"有核血小板数")</f>
        <v>有核血小板数</v>
      </c>
    </row>
    <row r="4905" spans="1:9" ht="105">
      <c r="A4905" s="3" t="s">
        <v>2904</v>
      </c>
      <c r="B4905" s="3" t="s">
        <v>20179</v>
      </c>
      <c r="C4905" s="3" t="s">
        <v>20180</v>
      </c>
      <c r="D4905" s="3" t="s">
        <v>20181</v>
      </c>
      <c r="E4905" s="3" t="s">
        <v>20182</v>
      </c>
      <c r="F4905" s="3" t="s">
        <v>20180</v>
      </c>
      <c r="G4905" s="3" t="str">
        <f ca="1">IFERROR(__xludf.DUMMYFUNCTION("googletranslate(D4905,""en"",""ja"")"),"Cp番号;交差点番号;セント; Ct 番号;サイクルしきい値。サイクルしきい値 #;サイクルしきい値番号。エルボ値;離陸点番号;閾値サイクル;閾値サイクル数。 TOP番号")</f>
        <v>Cp番号;交差点番号;セント; Ct 番号;サイクルしきい値。サイクルしきい値 #;サイクルしきい値番号。エルボ値;離陸点番号;閾値サイクル;閾値サイクル数。 TOP番号</v>
      </c>
      <c r="H4905" s="3" t="str">
        <f ca="1">IFERROR(__xludf.DUMMYFUNCTION("googletranslate(E4905,""en"",""ja"")"),"ターゲットの蛍光がバックグラウンド信号または事前に設定された閾値を超えて検出されるサイクル数。この値は、ポリメラーゼ連鎖反応 (PCR) におけるターゲットの濃度の計算に使用できます。")</f>
        <v>ターゲットの蛍光がバックグラウンド信号または事前に設定された閾値を超えて検出されるサイクル数。この値は、ポリメラーゼ連鎖反応 (PCR) におけるターゲットの濃度の計算に使用できます。</v>
      </c>
      <c r="I4905" s="3" t="str">
        <f ca="1">IFERROR(__xludf.DUMMYFUNCTION("googletranslate(F4905,""en"",""ja"")"),"閾値サイクル")</f>
        <v>閾値サイクル</v>
      </c>
    </row>
    <row r="4906" spans="1:9" ht="60">
      <c r="A4906" s="3" t="s">
        <v>103</v>
      </c>
      <c r="B4906" s="3" t="s">
        <v>20183</v>
      </c>
      <c r="C4906" s="3" t="s">
        <v>20184</v>
      </c>
      <c r="D4906" s="3" t="s">
        <v>20185</v>
      </c>
      <c r="E4906" s="3" t="s">
        <v>20186</v>
      </c>
      <c r="F4906" s="3" t="s">
        <v>20187</v>
      </c>
      <c r="G4906" s="3" t="str">
        <f ca="1">IFERROR(__xludf.DUMMYFUNCTION("googletranslate(D4906,""en"",""ja"")"),"T リンパ球ヘルパー 幹細胞記憶サブ集団/T リンパ球ヘルパー; TLym ヘルプ SC Mem Sub/TLym ヘルプ")</f>
        <v>T リンパ球ヘルパー 幹細胞記憶サブ集団/T リンパ球ヘルパー; TLym ヘルプ SC Mem Sub/TLym ヘルプ</v>
      </c>
      <c r="H4906" s="3" t="str">
        <f ca="1">IFERROR(__xludf.DUMMYFUNCTION("googletranslate(E4906,""en"",""ja"")"),"生物学的標本中の総ヘルパー T リンパ球に対するヘルパー幹細胞メモリー T リンパ球の部分集団の相対測定値 (比率またはパーセンテージ)。")</f>
        <v>生物学的標本中の総ヘルパー T リンパ球に対するヘルパー幹細胞メモリー T リンパ球の部分集団の相対測定値 (比率またはパーセンテージ)。</v>
      </c>
      <c r="I4906" s="3" t="str">
        <f ca="1">IFERROR(__xludf.DUMMYFUNCTION("googletranslate(F4906,""en"",""ja"")"),"幹細胞記憶ヘルパー T リンパ球部分集団とヘルパー T リンパ球の比率の測定")</f>
        <v>幹細胞記憶ヘルパー T リンパ球部分集団とヘルパー T リンパ球の比率の測定</v>
      </c>
    </row>
    <row r="4907" spans="1:9" ht="60">
      <c r="A4907" s="3" t="s">
        <v>103</v>
      </c>
      <c r="B4907" s="3" t="s">
        <v>20188</v>
      </c>
      <c r="C4907" s="3" t="s">
        <v>20189</v>
      </c>
      <c r="D4907" s="3" t="s">
        <v>20190</v>
      </c>
      <c r="E4907" s="3" t="s">
        <v>20191</v>
      </c>
      <c r="F4907" s="3" t="s">
        <v>20192</v>
      </c>
      <c r="G4907" s="3" t="str">
        <f ca="1">IFERROR(__xludf.DUMMYFUNCTION("googletranslate(D4907,""en"",""ja"")"),"T リンパ球ヘルパー 幹細胞記憶/T リンパ球ヘルパー ナイーブ; TLym ヘルプ SC Mem/TLymHN")</f>
        <v>T リンパ球ヘルパー 幹細胞記憶/T リンパ球ヘルパー ナイーブ; TLym ヘルプ SC Mem/TLymHN</v>
      </c>
      <c r="H4907" s="3" t="str">
        <f ca="1">IFERROR(__xludf.DUMMYFUNCTION("googletranslate(E4907,""en"",""ja"")"),"生物学的検体中の総ヘルパーナイーブ T リンパ球に対するヘルパー幹細胞メモリー T リンパ球の相対測定値 (比率またはパーセンテージ)。")</f>
        <v>生物学的検体中の総ヘルパーナイーブ T リンパ球に対するヘルパー幹細胞メモリー T リンパ球の相対測定値 (比率またはパーセンテージ)。</v>
      </c>
      <c r="I4907" s="3" t="str">
        <f ca="1">IFERROR(__xludf.DUMMYFUNCTION("googletranslate(F4907,""en"",""ja"")"),"幹細胞記憶ヘルパー T リンパ球部分集団とナイーブ ヘルパー T リンパ球の比率の測定")</f>
        <v>幹細胞記憶ヘルパー T リンパ球部分集団とナイーブ ヘルパー T リンパ球の比率の測定</v>
      </c>
    </row>
    <row r="4908" spans="1:9" ht="60">
      <c r="A4908" s="3" t="s">
        <v>103</v>
      </c>
      <c r="B4908" s="3" t="s">
        <v>20193</v>
      </c>
      <c r="C4908" s="3" t="s">
        <v>20194</v>
      </c>
      <c r="D4908" s="3" t="s">
        <v>20195</v>
      </c>
      <c r="E4908" s="3" t="s">
        <v>20196</v>
      </c>
      <c r="F4908" s="3" t="s">
        <v>20197</v>
      </c>
      <c r="G4908" s="3" t="str">
        <f ca="1">IFERROR(__xludf.DUMMYFUNCTION("googletranslate(D4908,""en"",""ja"")"),"T リンパ球ヘルパー サブ集団/T リンパ球ヘルパー サブ集団; TLym ヘルプ サブ/TLym ヘルプ サブ")</f>
        <v>T リンパ球ヘルパー サブ集団/T リンパ球ヘルパー サブ集団; TLym ヘルプ サブ/TLym ヘルプ サブ</v>
      </c>
      <c r="H4908" s="3" t="str">
        <f ca="1">IFERROR(__xludf.DUMMYFUNCTION("googletranslate(E4908,""en"",""ja"")"),"生物学的標本中のヘルパー T リンパ球の部分集団に対するヘルパー T リンパ球の部分集団の相対的な測定値 (比率またはパーセンテージ)。")</f>
        <v>生物学的標本中のヘルパー T リンパ球の部分集団に対するヘルパー T リンパ球の部分集団の相対的な測定値 (比率またはパーセンテージ)。</v>
      </c>
      <c r="I4908" s="3" t="str">
        <f ca="1">IFERROR(__xludf.DUMMYFUNCTION("googletranslate(F4908,""en"",""ja"")"),"ヘルパー T リンパ球部分集団とヘルパー T リンパ球部分集団の比率の測定")</f>
        <v>ヘルパー T リンパ球部分集団とヘルパー T リンパ球部分集団の比率の測定</v>
      </c>
    </row>
    <row r="4909" spans="1:9" ht="60">
      <c r="A4909" s="3" t="s">
        <v>103</v>
      </c>
      <c r="B4909" s="3" t="s">
        <v>20198</v>
      </c>
      <c r="C4909" s="3" t="s">
        <v>20199</v>
      </c>
      <c r="D4909" s="3" t="s">
        <v>20200</v>
      </c>
      <c r="E4909" s="3" t="s">
        <v>20201</v>
      </c>
      <c r="F4909" s="3" t="s">
        <v>20202</v>
      </c>
      <c r="G4909" s="3" t="str">
        <f ca="1">IFERROR(__xludf.DUMMYFUNCTION("googletranslate(D4909,""en"",""ja"")"),"T リンパ球ヘルパー サブ集団/T リンパ球サブ集団; TLym ヘルプ サブ/TLym サブ")</f>
        <v>T リンパ球ヘルパー サブ集団/T リンパ球サブ集団; TLym ヘルプ サブ/TLym サブ</v>
      </c>
      <c r="H4909" s="3" t="str">
        <f ca="1">IFERROR(__xludf.DUMMYFUNCTION("googletranslate(E4909,""en"",""ja"")"),"生物学的標本中の T リンパ球の部分集団に対するヘルパー T リンパ球の部分集団の相対的な測定値 (比率またはパーセンテージ)。")</f>
        <v>生物学的標本中の T リンパ球の部分集団に対するヘルパー T リンパ球の部分集団の相対的な測定値 (比率またはパーセンテージ)。</v>
      </c>
      <c r="I4909" s="3" t="str">
        <f ca="1">IFERROR(__xludf.DUMMYFUNCTION("googletranslate(F4909,""en"",""ja"")"),"ヘルパー T リンパ球部分集団と T リンパ球部分集団の比率の測定")</f>
        <v>ヘルパー T リンパ球部分集団と T リンパ球部分集団の比率の測定</v>
      </c>
    </row>
    <row r="4910" spans="1:9" ht="45">
      <c r="A4910" s="3" t="s">
        <v>103</v>
      </c>
      <c r="B4910" s="3" t="s">
        <v>20203</v>
      </c>
      <c r="C4910" s="3" t="s">
        <v>20204</v>
      </c>
      <c r="D4910" s="3" t="s">
        <v>20205</v>
      </c>
      <c r="E4910" s="3" t="s">
        <v>20206</v>
      </c>
      <c r="F4910" s="3" t="s">
        <v>20207</v>
      </c>
      <c r="G4910" s="3" t="str">
        <f ca="1">IFERROR(__xludf.DUMMYFUNCTION("googletranslate(D4910,""en"",""ja"")"),"Tリンパ球ヘルパーターミナルの記憶腸ホーミング。 Tlym ヘルプ ターム Mem GH")</f>
        <v>Tリンパ球ヘルパーターミナルの記憶腸ホーミング。 Tlym ヘルプ ターム Mem GH</v>
      </c>
      <c r="H4910" s="3" t="str">
        <f ca="1">IFERROR(__xludf.DUMMYFUNCTION("googletranslate(E4910,""en"",""ja"")"),"生体標本中の腸ホーミングヘルパー末端記憶 T リンパ球の測定。")</f>
        <v>生体標本中の腸ホーミングヘルパー末端記憶 T リンパ球の測定。</v>
      </c>
      <c r="I4910" s="3" t="str">
        <f ca="1">IFERROR(__xludf.DUMMYFUNCTION("googletranslate(F4910,""en"",""ja"")"),"腸ホーミングヘルパーターミナルの記憶 T リンパ球数")</f>
        <v>腸ホーミングヘルパーターミナルの記憶 T リンパ球数</v>
      </c>
    </row>
    <row r="4911" spans="1:9" ht="60">
      <c r="A4911" s="3" t="s">
        <v>103</v>
      </c>
      <c r="B4911" s="3" t="s">
        <v>20208</v>
      </c>
      <c r="C4911" s="3" t="s">
        <v>20209</v>
      </c>
      <c r="D4911" s="3" t="s">
        <v>20210</v>
      </c>
      <c r="E4911" s="3" t="s">
        <v>20211</v>
      </c>
      <c r="F4911" s="3" t="s">
        <v>20212</v>
      </c>
      <c r="G4911" s="3" t="str">
        <f ca="1">IFERROR(__xludf.DUMMYFUNCTION("googletranslate(D4911,""en"",""ja"")"),"Tリンパ球ヘルパーターミナル記憶腸ホーミング亜集団。 TLym ヘルプ ターム Mem GH Sub")</f>
        <v>Tリンパ球ヘルパーターミナル記憶腸ホーミング亜集団。 TLym ヘルプ ターム Mem GH Sub</v>
      </c>
      <c r="H4911" s="3" t="str">
        <f ca="1">IFERROR(__xludf.DUMMYFUNCTION("googletranslate(E4911,""en"",""ja"")"),"生物学的標本中の腸ホーミングヘルパーターミナルメモリー T リンパ球の部分集団の測定。")</f>
        <v>生物学的標本中の腸ホーミングヘルパーターミナルメモリー T リンパ球の部分集団の測定。</v>
      </c>
      <c r="I4911" s="3" t="str">
        <f ca="1">IFERROR(__xludf.DUMMYFUNCTION("googletranslate(F4911,""en"",""ja"")"),"腸ホーミングヘルパーターミナルの記憶 T リンパ球部分集団数")</f>
        <v>腸ホーミングヘルパーターミナルの記憶 T リンパ球部分集団数</v>
      </c>
    </row>
    <row r="4912" spans="1:9" ht="105">
      <c r="A4912" s="3" t="s">
        <v>103</v>
      </c>
      <c r="B4912" s="3" t="s">
        <v>20213</v>
      </c>
      <c r="C4912" s="3" t="s">
        <v>20214</v>
      </c>
      <c r="D4912" s="3" t="s">
        <v>20215</v>
      </c>
      <c r="E4912" s="3" t="s">
        <v>20216</v>
      </c>
      <c r="F4912" s="3" t="s">
        <v>20217</v>
      </c>
      <c r="G4912" s="3" t="str">
        <f ca="1">IFERROR(__xludf.DUMMYFUNCTION("googletranslate(D4912,""en"",""ja"")"),"T リンパ球ヘルパーターミナル記憶腸ホーミング亜集団/T リンパ球ヘルパーターミナル記憶腸ホーミング; TLym ヘルプ ターム Mem GH サブ/TLym ヘルプ ターム Mem GH; TLym ヘルプ用語 Mem GH Sub/TLymHTMGH")</f>
        <v>T リンパ球ヘルパーターミナル記憶腸ホーミング亜集団/T リンパ球ヘルパーターミナル記憶腸ホーミング; TLym ヘルプ ターム Mem GH サブ/TLym ヘルプ ターム Mem GH; TLym ヘルプ用語 Mem GH Sub/TLymHTMGH</v>
      </c>
      <c r="H4912" s="3" t="str">
        <f ca="1">IFERROR(__xludf.DUMMYFUNCTION("googletranslate(E4912,""en"",""ja"")"),"生物学的検体中の総腸管ホーミングヘルパー末端メモリー T リンパ球に対する腸ホーミングヘルパー末端メモリー T リンパ球の部分集団の相対測定値 (比率またはパーセンテージ)。")</f>
        <v>生物学的検体中の総腸管ホーミングヘルパー末端メモリー T リンパ球に対する腸ホーミングヘルパー末端メモリー T リンパ球の部分集団の相対測定値 (比率またはパーセンテージ)。</v>
      </c>
      <c r="I4912" s="3" t="str">
        <f ca="1">IFERROR(__xludf.DUMMYFUNCTION("googletranslate(F4912,""en"",""ja"")"),"腸ホーミングヘルパーターミナル記憶 T リンパ球部分集団と腸ホーミングヘルパーターミナル記憶 T リンパ球比の測定")</f>
        <v>腸ホーミングヘルパーターミナル記憶 T リンパ球部分集団と腸ホーミングヘルパーターミナル記憶 T リンパ球比の測定</v>
      </c>
    </row>
    <row r="4913" spans="1:9" ht="75">
      <c r="A4913" s="3" t="s">
        <v>103</v>
      </c>
      <c r="B4913" s="3" t="s">
        <v>20218</v>
      </c>
      <c r="C4913" s="3" t="s">
        <v>20219</v>
      </c>
      <c r="D4913" s="3" t="s">
        <v>20220</v>
      </c>
      <c r="E4913" s="3" t="s">
        <v>20221</v>
      </c>
      <c r="F4913" s="3" t="s">
        <v>20222</v>
      </c>
      <c r="G4913" s="3" t="str">
        <f ca="1">IFERROR(__xludf.DUMMYFUNCTION("googletranslate(D4913,""en"",""ja"")"),"T リンパ球ヘルパー ターミナル メモリー ガットホーミング/T リンパ球ヘルパー; TLym ヘルプ用語 Mem GH/TLym ヘルプ; TLym ヘルプ用語 Mem GH/TLymH")</f>
        <v>T リンパ球ヘルパー ターミナル メモリー ガットホーミング/T リンパ球ヘルパー; TLym ヘルプ用語 Mem GH/TLym ヘルプ; TLym ヘルプ用語 Mem GH/TLymH</v>
      </c>
      <c r="H4913" s="3" t="str">
        <f ca="1">IFERROR(__xludf.DUMMYFUNCTION("googletranslate(E4913,""en"",""ja"")"),"生物学的検体中の総ヘルパー T リンパ球に対する腸ホーミングヘルパーターミナルメモリー T リンパ球の相対測定値 (比率またはパーセンテージ)。")</f>
        <v>生物学的検体中の総ヘルパー T リンパ球に対する腸ホーミングヘルパーターミナルメモリー T リンパ球の相対測定値 (比率またはパーセンテージ)。</v>
      </c>
      <c r="I4913" s="3" t="str">
        <f ca="1">IFERROR(__xludf.DUMMYFUNCTION("googletranslate(F4913,""en"",""ja"")"),"ガットホーミングヘルパーターミナルメモリー T リンパ球とヘルパー T リンパ球の比率の測定")</f>
        <v>ガットホーミングヘルパーターミナルメモリー T リンパ球とヘルパー T リンパ球の比率の測定</v>
      </c>
    </row>
    <row r="4914" spans="1:9" ht="45">
      <c r="A4914" s="3" t="s">
        <v>103</v>
      </c>
      <c r="B4914" s="3" t="s">
        <v>20223</v>
      </c>
      <c r="C4914" s="3" t="s">
        <v>20224</v>
      </c>
      <c r="D4914" s="3" t="s">
        <v>20225</v>
      </c>
      <c r="E4914" s="3" t="s">
        <v>20226</v>
      </c>
      <c r="F4914" s="3" t="s">
        <v>20227</v>
      </c>
      <c r="G4914" s="3" t="str">
        <f ca="1">IFERROR(__xludf.DUMMYFUNCTION("googletranslate(D4914,""en"",""ja"")"),"Tリンパ球ヘルパーターミナル記憶皮膚ホーミング; TLym ヘルプ ターム Mem SH")</f>
        <v>Tリンパ球ヘルパーターミナル記憶皮膚ホーミング; TLym ヘルプ ターム Mem SH</v>
      </c>
      <c r="H4914" s="3" t="str">
        <f ca="1">IFERROR(__xludf.DUMMYFUNCTION("googletranslate(E4914,""en"",""ja"")"),"生体標本中の皮膚ホーミングヘルパー末端記憶 T リンパ球の測定。")</f>
        <v>生体標本中の皮膚ホーミングヘルパー末端記憶 T リンパ球の測定。</v>
      </c>
      <c r="I4914" s="3" t="str">
        <f ca="1">IFERROR(__xludf.DUMMYFUNCTION("googletranslate(F4914,""en"",""ja"")"),"スキンホーミングヘルパーターミナルの記憶Tリンパ球数")</f>
        <v>スキンホーミングヘルパーターミナルの記憶Tリンパ球数</v>
      </c>
    </row>
    <row r="4915" spans="1:9" ht="60">
      <c r="A4915" s="3" t="s">
        <v>103</v>
      </c>
      <c r="B4915" s="3" t="s">
        <v>20228</v>
      </c>
      <c r="C4915" s="3" t="s">
        <v>20229</v>
      </c>
      <c r="D4915" s="3" t="s">
        <v>20230</v>
      </c>
      <c r="E4915" s="3" t="s">
        <v>20231</v>
      </c>
      <c r="F4915" s="3" t="s">
        <v>20232</v>
      </c>
      <c r="G4915" s="3" t="str">
        <f ca="1">IFERROR(__xludf.DUMMYFUNCTION("googletranslate(D4915,""en"",""ja"")"),"T リンパ球ヘルパーターミナル記憶皮膚ホーミング亜集団。 TLym ヘルプ ターム Mem SH Sub")</f>
        <v>T リンパ球ヘルパーターミナル記憶皮膚ホーミング亜集団。 TLym ヘルプ ターム Mem SH Sub</v>
      </c>
      <c r="H4915" s="3" t="str">
        <f ca="1">IFERROR(__xludf.DUMMYFUNCTION("googletranslate(E4915,""en"",""ja"")"),"生物学的標本中の皮膚ホーミングヘルパーターミナルメモリー T リンパ球の部分集団の測定。")</f>
        <v>生物学的標本中の皮膚ホーミングヘルパーターミナルメモリー T リンパ球の部分集団の測定。</v>
      </c>
      <c r="I4915" s="3" t="str">
        <f ca="1">IFERROR(__xludf.DUMMYFUNCTION("googletranslate(F4915,""en"",""ja"")"),"皮膚ホーミングヘルパーターミナルの記憶 T リンパ球部分集団数")</f>
        <v>皮膚ホーミングヘルパーターミナルの記憶 T リンパ球部分集団数</v>
      </c>
    </row>
    <row r="4916" spans="1:9" ht="120">
      <c r="A4916" s="3" t="s">
        <v>103</v>
      </c>
      <c r="B4916" s="3" t="s">
        <v>20233</v>
      </c>
      <c r="C4916" s="3" t="s">
        <v>20234</v>
      </c>
      <c r="D4916" s="3" t="s">
        <v>20235</v>
      </c>
      <c r="E4916" s="3" t="s">
        <v>20236</v>
      </c>
      <c r="F4916" s="3" t="s">
        <v>20237</v>
      </c>
      <c r="G4916" s="3" t="str">
        <f ca="1">IFERROR(__xludf.DUMMYFUNCTION("googletranslate(D4916,""en"",""ja"")"),"T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f>
        <v>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v>
      </c>
      <c r="H4916" s="3" t="str">
        <f ca="1">IFERROR(__xludf.DUMMYFUNCTION("googletranslate(E4916,""en"",""ja"")"),"生物学的標本中の皮膚ホーミングヘルパー終末メモリー T リンパ球の総数に対する皮膚ホーミングヘルパー終末メモリー T リンパ球の部分集団の相対測定値 (比率またはパーセンテージ)。")</f>
        <v>生物学的標本中の皮膚ホーミングヘルパー終末メモリー T リンパ球の総数に対する皮膚ホーミングヘルパー終末メモリー T リンパ球の部分集団の相対測定値 (比率またはパーセンテージ)。</v>
      </c>
      <c r="I4916" s="3" t="str">
        <f ca="1">IFERROR(__xludf.DUMMYFUNCTION("googletranslate(F4916,""en"",""ja"")"),"スキンホーミングヘルパーターミナルの記憶 T リンパ球部分集団とスキンホーミングヘルパーターミナルの記憶 T リンパ球比の測定")</f>
        <v>スキンホーミングヘルパーターミナルの記憶 T リンパ球部分集団とスキンホーミングヘルパーターミナルの記憶 T リンパ球比の測定</v>
      </c>
    </row>
    <row r="4917" spans="1:9" ht="75">
      <c r="A4917" s="3" t="s">
        <v>103</v>
      </c>
      <c r="B4917" s="3" t="s">
        <v>20238</v>
      </c>
      <c r="C4917" s="3" t="s">
        <v>20239</v>
      </c>
      <c r="D4917" s="3" t="s">
        <v>20240</v>
      </c>
      <c r="E4917" s="3" t="s">
        <v>20241</v>
      </c>
      <c r="F4917" s="3" t="s">
        <v>20242</v>
      </c>
      <c r="G4917" s="3" t="str">
        <f ca="1">IFERROR(__xludf.DUMMYFUNCTION("googletranslate(D4917,""en"",""ja"")"),"Tリンパ球ヘルパーターミナルメモリースキンホーミング/Tリンパ球ヘルパー; TLym ヘルプ用語 Mem SH/TLym ヘルプ; TLym ヘルプ用語 Mem SH/TLymH")</f>
        <v>Tリンパ球ヘルパーターミナルメモリースキンホーミング/Tリンパ球ヘルパー; TLym ヘルプ用語 Mem SH/TLym ヘルプ; TLym ヘルプ用語 Mem SH/TLymH</v>
      </c>
      <c r="H4917" s="3" t="str">
        <f ca="1">IFERROR(__xludf.DUMMYFUNCTION("googletranslate(E4917,""en"",""ja"")"),"生物学的検体中の総ヘルパー T リンパ球に対する皮膚ホーミングヘルパーターミナルメモリー T リンパ球の相対測定値 (比率またはパーセンテージ)。")</f>
        <v>生物学的検体中の総ヘルパー T リンパ球に対する皮膚ホーミングヘルパーターミナルメモリー T リンパ球の相対測定値 (比率またはパーセンテージ)。</v>
      </c>
      <c r="I4917" s="3" t="str">
        <f ca="1">IFERROR(__xludf.DUMMYFUNCTION("googletranslate(F4917,""en"",""ja"")"),"スキンホーミングヘルパーターミナルメモリーTリンパ球とヘルパーTリンパ球の比率測定")</f>
        <v>スキンホーミングヘルパーターミナルメモリーTリンパ球とヘルパーTリンパ球の比率測定</v>
      </c>
    </row>
    <row r="4918" spans="1:9" ht="30">
      <c r="A4918" s="3" t="s">
        <v>6</v>
      </c>
      <c r="B4918" s="3" t="s">
        <v>20243</v>
      </c>
      <c r="C4918" s="3" t="s">
        <v>20244</v>
      </c>
      <c r="D4918" s="3" t="s">
        <v>20245</v>
      </c>
      <c r="E4918" s="3" t="s">
        <v>20246</v>
      </c>
      <c r="F4918" s="3" t="s">
        <v>20247</v>
      </c>
      <c r="G4918" s="3" t="str">
        <f ca="1">IFERROR(__xludf.DUMMYFUNCTION("googletranslate(D4918,""en"",""ja"")"),"甲状腺ペルオキシダーゼ;チロペルオキシダーゼ")</f>
        <v>甲状腺ペルオキシダーゼ;チロペルオキシダーゼ</v>
      </c>
      <c r="H4918" s="3" t="str">
        <f ca="1">IFERROR(__xludf.DUMMYFUNCTION("googletranslate(E4918,""en"",""ja"")"),"生物学的標本中のチロペルオキシダーゼの測定。")</f>
        <v>生物学的標本中のチロペルオキシダーゼの測定。</v>
      </c>
      <c r="I4918" s="3" t="str">
        <f ca="1">IFERROR(__xludf.DUMMYFUNCTION("googletranslate(F4918,""en"",""ja"")"),"チロペルオキシダーゼの測定")</f>
        <v>チロペルオキシダーゼの測定</v>
      </c>
    </row>
    <row r="4919" spans="1:9">
      <c r="A4919" s="3" t="s">
        <v>118</v>
      </c>
      <c r="B4919" s="3" t="s">
        <v>20248</v>
      </c>
      <c r="C4919" s="3" t="s">
        <v>20249</v>
      </c>
      <c r="D4919" s="3" t="s">
        <v>20249</v>
      </c>
      <c r="E4919" s="3" t="s">
        <v>20250</v>
      </c>
      <c r="F4919" s="3" t="s">
        <v>20249</v>
      </c>
      <c r="G4919" s="3" t="str">
        <f ca="1">IFERROR(__xludf.DUMMYFUNCTION("googletranslate(D4919,""en"",""ja"")"),"脛骨の長さ")</f>
        <v>脛骨の長さ</v>
      </c>
      <c r="H4919" s="3" t="str">
        <f ca="1">IFERROR(__xludf.DUMMYFUNCTION("googletranslate(E4919,""en"",""ja"")"),"脛骨の長さの測定値。")</f>
        <v>脛骨の長さの測定値。</v>
      </c>
      <c r="I4919" s="3" t="str">
        <f ca="1">IFERROR(__xludf.DUMMYFUNCTION("googletranslate(F4919,""en"",""ja"")"),"脛骨の長さ")</f>
        <v>脛骨の長さ</v>
      </c>
    </row>
    <row r="4920" spans="1:9" ht="45">
      <c r="A4920" s="3" t="s">
        <v>103</v>
      </c>
      <c r="B4920" s="3" t="s">
        <v>20251</v>
      </c>
      <c r="C4920" s="3" t="s">
        <v>20252</v>
      </c>
      <c r="D4920" s="3" t="s">
        <v>20253</v>
      </c>
      <c r="E4920" s="3" t="s">
        <v>20254</v>
      </c>
      <c r="F4920" s="3" t="s">
        <v>20255</v>
      </c>
      <c r="G4920" s="3" t="str">
        <f ca="1">IFERROR(__xludf.DUMMYFUNCTION("googletranslate(D4920,""en"",""ja"")"),"Ig および ITIM ドメインの発現を伴う T 細胞免疫受容体。ティギット式")</f>
        <v>Ig および ITIM ドメインの発現を伴う T 細胞免疫受容体。ティギット式</v>
      </c>
      <c r="H4920" s="3" t="str">
        <f ca="1">IFERROR(__xludf.DUMMYFUNCTION("googletranslate(E4920,""en"",""ja"")"),"生物学的標本における細胞 TIGIT 発現の測定。")</f>
        <v>生物学的標本における細胞 TIGIT 発現の測定。</v>
      </c>
      <c r="I4920" s="3" t="str">
        <f ca="1">IFERROR(__xludf.DUMMYFUNCTION("googletranslate(F4920,""en"",""ja"")"),"TIGIT発現測定")</f>
        <v>TIGIT発現測定</v>
      </c>
    </row>
    <row r="4921" spans="1:9" ht="45">
      <c r="A4921" s="3" t="s">
        <v>6</v>
      </c>
      <c r="B4921" s="3" t="s">
        <v>20256</v>
      </c>
      <c r="C4921" s="3" t="s">
        <v>20257</v>
      </c>
      <c r="D4921" s="3" t="s">
        <v>20258</v>
      </c>
      <c r="E4921" s="3" t="s">
        <v>20259</v>
      </c>
      <c r="F4921" s="3" t="s">
        <v>20260</v>
      </c>
      <c r="G4921" s="3" t="str">
        <f ca="1">IFERROR(__xludf.DUMMYFUNCTION("googletranslate(D4921,""en"",""ja"")"),"トランスロカーゼ ミトコンドリア内膜 10;ミトコンドリア内膜のトランスロカーゼ 10")</f>
        <v>トランスロカーゼ ミトコンドリア内膜 10;ミトコンドリア内膜のトランスロカーゼ 10</v>
      </c>
      <c r="H4921" s="3" t="str">
        <f ca="1">IFERROR(__xludf.DUMMYFUNCTION("googletranslate(E4921,""en"",""ja"")"),"生物学的標本におけるミトコンドリア内膜 10 のトランスロカーゼの測定。")</f>
        <v>生物学的標本におけるミトコンドリア内膜 10 のトランスロカーゼの測定。</v>
      </c>
      <c r="I4921" s="3" t="str">
        <f ca="1">IFERROR(__xludf.DUMMYFUNCTION("googletranslate(F4921,""en"",""ja"")"),"トランスロカーゼ ミトコンドリア内膜 10 の測定")</f>
        <v>トランスロカーゼ ミトコンドリア内膜 10 の測定</v>
      </c>
    </row>
    <row r="4922" spans="1:9" ht="75">
      <c r="A4922" s="3" t="s">
        <v>6</v>
      </c>
      <c r="B4922" s="3" t="s">
        <v>20261</v>
      </c>
      <c r="C4922" s="3" t="s">
        <v>20262</v>
      </c>
      <c r="D4922" s="3" t="s">
        <v>20263</v>
      </c>
      <c r="E4922" s="3" t="s">
        <v>20264</v>
      </c>
      <c r="F4922" s="3" t="s">
        <v>20265</v>
      </c>
      <c r="G4922" s="3" t="str">
        <f ca="1">IFERROR(__xludf.DUMMYFUNCTION("googletranslate(D4922,""en"",""ja"")"),"EPA;赤血球増強活性;線維芽細胞コラゲナーゼ阻害剤;メタロプロテイナーゼ阻害剤 1;組織メタロプロテイナーゼ阻害剤 1")</f>
        <v>EPA;赤血球増強活性;線維芽細胞コラゲナーゼ阻害剤;メタロプロテイナーゼ阻害剤 1;組織メタロプロテイナーゼ阻害剤 1</v>
      </c>
      <c r="H4922" s="3" t="str">
        <f ca="1">IFERROR(__xludf.DUMMYFUNCTION("googletranslate(E4922,""en"",""ja"")"),"生物学的標本中のメタロプロテイナーゼ 1 の組織阻害剤の測定。")</f>
        <v>生物学的標本中のメタロプロテイナーゼ 1 の組織阻害剤の測定。</v>
      </c>
      <c r="I4922" s="3" t="str">
        <f ca="1">IFERROR(__xludf.DUMMYFUNCTION("googletranslate(F4922,""en"",""ja"")"),"組織メタロプロテイナーゼ阻害剤 1 の測定")</f>
        <v>組織メタロプロテイナーゼ阻害剤 1 の測定</v>
      </c>
    </row>
    <row r="4923" spans="1:9" ht="45">
      <c r="A4923" s="3" t="s">
        <v>6</v>
      </c>
      <c r="B4923" s="3" t="s">
        <v>20266</v>
      </c>
      <c r="C4923" s="3" t="s">
        <v>20267</v>
      </c>
      <c r="D4923" s="3" t="s">
        <v>20268</v>
      </c>
      <c r="E4923" s="3" t="s">
        <v>20269</v>
      </c>
      <c r="F4923" s="3" t="s">
        <v>20270</v>
      </c>
      <c r="G4923" s="3" t="str">
        <f ca="1">IFERROR(__xludf.DUMMYFUNCTION("googletranslate(D4923,""en"",""ja"")"),"TIMP1/クレアチニン;メタロプロテイナーゼ 1/クレアチニンの組織阻害剤")</f>
        <v>TIMP1/クレアチニン;メタロプロテイナーゼ 1/クレアチニンの組織阻害剤</v>
      </c>
      <c r="H4923" s="3" t="str">
        <f ca="1">IFERROR(__xludf.DUMMYFUNCTION("googletranslate(E4923,""en"",""ja"")"),"サンプル中に存在するクレアチニンに対するメタロプロテイナーゼ 1 の組織阻害剤の相対測定値 (比率またはパーセンテージ)。")</f>
        <v>サンプル中に存在するクレアチニンに対するメタロプロテイナーゼ 1 の組織阻害剤の相対測定値 (比率またはパーセンテージ)。</v>
      </c>
      <c r="I4923" s="3" t="str">
        <f ca="1">IFERROR(__xludf.DUMMYFUNCTION("googletranslate(F4923,""en"",""ja"")"),"組織メタロプロテイナーゼ阻害剤 1 とクレアチニンの比率の測定")</f>
        <v>組織メタロプロテイナーゼ阻害剤 1 とクレアチニンの比率の測定</v>
      </c>
    </row>
    <row r="4924" spans="1:9" ht="45">
      <c r="A4924" s="3" t="s">
        <v>6</v>
      </c>
      <c r="B4924" s="3" t="s">
        <v>20271</v>
      </c>
      <c r="C4924" s="3" t="s">
        <v>20272</v>
      </c>
      <c r="D4924" s="3" t="s">
        <v>20273</v>
      </c>
      <c r="E4924" s="3" t="s">
        <v>20274</v>
      </c>
      <c r="F4924" s="3" t="s">
        <v>20275</v>
      </c>
      <c r="G4924" s="3" t="str">
        <f ca="1">IFERROR(__xludf.DUMMYFUNCTION("googletranslate(D4924,""en"",""ja"")"),"CSC-21K;メタロプロテイナーゼ阻害剤 2;メタロプロテイナーゼ 2 の組織阻害剤")</f>
        <v>CSC-21K;メタロプロテイナーゼ阻害剤 2;メタロプロテイナーゼ 2 の組織阻害剤</v>
      </c>
      <c r="H4924" s="3" t="str">
        <f ca="1">IFERROR(__xludf.DUMMYFUNCTION("googletranslate(E4924,""en"",""ja"")"),"生物学的標本中のメタロプロテイナーゼ 2 の組織阻害剤の測定。")</f>
        <v>生物学的標本中のメタロプロテイナーゼ 2 の組織阻害剤の測定。</v>
      </c>
      <c r="I4924" s="3" t="str">
        <f ca="1">IFERROR(__xludf.DUMMYFUNCTION("googletranslate(F4924,""en"",""ja"")"),"組織メタロプロテイナーゼ 2 阻害剤の測定")</f>
        <v>組織メタロプロテイナーゼ 2 阻害剤の測定</v>
      </c>
    </row>
    <row r="4925" spans="1:9" ht="60">
      <c r="A4925" s="3" t="s">
        <v>6</v>
      </c>
      <c r="B4925" s="3" t="s">
        <v>20276</v>
      </c>
      <c r="C4925" s="3" t="s">
        <v>20277</v>
      </c>
      <c r="D4925" s="3" t="s">
        <v>20278</v>
      </c>
      <c r="E4925" s="3" t="s">
        <v>20279</v>
      </c>
      <c r="F4925" s="3" t="s">
        <v>20280</v>
      </c>
      <c r="G4925" s="3" t="str">
        <f ca="1">IFERROR(__xludf.DUMMYFUNCTION("googletranslate(D4925,""en"",""ja"")"),"HSMRK222; K222; K222TA2;メタロプロテイナーゼ阻害剤 3;タンパク質MIG-5; SFD;メタロプロテイナーゼ 3 の組織阻害剤")</f>
        <v>HSMRK222; K222; K222TA2;メタロプロテイナーゼ阻害剤 3;タンパク質MIG-5; SFD;メタロプロテイナーゼ 3 の組織阻害剤</v>
      </c>
      <c r="H4925" s="3" t="str">
        <f ca="1">IFERROR(__xludf.DUMMYFUNCTION("googletranslate(E4925,""en"",""ja"")"),"生物学的標本中のメタロプロテイナーゼ 3 の組織阻害剤の測定。")</f>
        <v>生物学的標本中のメタロプロテイナーゼ 3 の組織阻害剤の測定。</v>
      </c>
      <c r="I4925" s="3" t="str">
        <f ca="1">IFERROR(__xludf.DUMMYFUNCTION("googletranslate(F4925,""en"",""ja"")"),"組織メタロプロテイナーゼ 3 阻害剤の測定")</f>
        <v>組織メタロプロテイナーゼ 3 阻害剤の測定</v>
      </c>
    </row>
    <row r="4926" spans="1:9" ht="30">
      <c r="A4926" s="3" t="s">
        <v>5519</v>
      </c>
      <c r="B4926" s="3" t="s">
        <v>20281</v>
      </c>
      <c r="C4926" s="3" t="s">
        <v>20282</v>
      </c>
      <c r="D4926" s="3" t="s">
        <v>20282</v>
      </c>
      <c r="E4926" s="3" t="s">
        <v>20283</v>
      </c>
      <c r="F4926" s="3" t="s">
        <v>20282</v>
      </c>
      <c r="G4926" s="3" t="str">
        <f ca="1">IFERROR(__xludf.DUMMYFUNCTION("googletranslate(D4926,""en"",""ja"")"),"目標指標")</f>
        <v>目標指標</v>
      </c>
      <c r="H4926" s="3" t="str">
        <f ca="1">IFERROR(__xludf.DUMMYFUNCTION("googletranslate(E4926,""en"",""ja"")"),"標的の腫瘍、病変、または疾患部位が存在するかどうかに関する指標。")</f>
        <v>標的の腫瘍、病変、または疾患部位が存在するかどうかに関する指標。</v>
      </c>
      <c r="I4926" s="3" t="str">
        <f ca="1">IFERROR(__xludf.DUMMYFUNCTION("googletranslate(F4926,""en"",""ja"")"),"目標指標")</f>
        <v>目標指標</v>
      </c>
    </row>
    <row r="4927" spans="1:9" ht="30">
      <c r="A4927" s="3" t="s">
        <v>33</v>
      </c>
      <c r="B4927" s="3" t="s">
        <v>20284</v>
      </c>
      <c r="C4927" s="3" t="s">
        <v>20285</v>
      </c>
      <c r="D4927" s="3" t="s">
        <v>20285</v>
      </c>
      <c r="E4927" s="3" t="s">
        <v>20286</v>
      </c>
      <c r="F4927" s="3" t="s">
        <v>20285</v>
      </c>
      <c r="G4927" s="3" t="str">
        <f ca="1">IFERROR(__xludf.DUMMYFUNCTION("googletranslate(D4927,""en"",""ja"")"),"標本内の組織サンプルの数")</f>
        <v>標本内の組織サンプルの数</v>
      </c>
      <c r="H4927" s="3" t="str">
        <f ca="1">IFERROR(__xludf.DUMMYFUNCTION("googletranslate(E4927,""en"",""ja"")"),"標本内の組織サンプルの総数。")</f>
        <v>標本内の組織サンプルの総数。</v>
      </c>
      <c r="I4927" s="3" t="str">
        <f ca="1">IFERROR(__xludf.DUMMYFUNCTION("googletranslate(F4927,""en"",""ja"")"),"標本内の組織サンプルの数")</f>
        <v>標本内の組織サンプルの数</v>
      </c>
    </row>
    <row r="4928" spans="1:9" ht="30">
      <c r="A4928" s="3" t="s">
        <v>6</v>
      </c>
      <c r="B4928" s="3" t="s">
        <v>20287</v>
      </c>
      <c r="C4928" s="3" t="s">
        <v>20288</v>
      </c>
      <c r="D4928" s="3" t="s">
        <v>20288</v>
      </c>
      <c r="E4928" s="3" t="s">
        <v>20289</v>
      </c>
      <c r="F4928" s="3" t="s">
        <v>20290</v>
      </c>
      <c r="G4928" s="3" t="str">
        <f ca="1">IFERROR(__xludf.DUMMYFUNCTION("googletranslate(D4928,""en"",""ja"")"),"チミジンキナーゼ")</f>
        <v>チミジンキナーゼ</v>
      </c>
      <c r="H4928" s="3" t="str">
        <f ca="1">IFERROR(__xludf.DUMMYFUNCTION("googletranslate(E4928,""en"",""ja"")"),"生物学的標本中の総チミジンキナーゼの測定。")</f>
        <v>生物学的標本中の総チミジンキナーゼの測定。</v>
      </c>
      <c r="I4928" s="3" t="str">
        <f ca="1">IFERROR(__xludf.DUMMYFUNCTION("googletranslate(F4928,""en"",""ja"")"),"チミジンキナーゼの測定")</f>
        <v>チミジンキナーゼの測定</v>
      </c>
    </row>
    <row r="4929" spans="1:9" ht="30">
      <c r="A4929" s="3" t="s">
        <v>6</v>
      </c>
      <c r="B4929" s="3" t="s">
        <v>20291</v>
      </c>
      <c r="C4929" s="3" t="s">
        <v>20292</v>
      </c>
      <c r="D4929" s="3" t="s">
        <v>20293</v>
      </c>
      <c r="E4929" s="3" t="s">
        <v>20294</v>
      </c>
      <c r="F4929" s="3" t="s">
        <v>20295</v>
      </c>
      <c r="G4929" s="3" t="str">
        <f ca="1">IFERROR(__xludf.DUMMYFUNCTION("googletranslate(D4929,""en"",""ja"")"),"チミジンキナーゼ 1;チミジンキナーゼ、サイトゾル")</f>
        <v>チミジンキナーゼ 1;チミジンキナーゼ、サイトゾル</v>
      </c>
      <c r="H4929" s="3" t="str">
        <f ca="1">IFERROR(__xludf.DUMMYFUNCTION("googletranslate(E4929,""en"",""ja"")"),"生体試料中のチミジンキナーゼ 1 の測定。")</f>
        <v>生体試料中のチミジンキナーゼ 1 の測定。</v>
      </c>
      <c r="I4929" s="3" t="str">
        <f ca="1">IFERROR(__xludf.DUMMYFUNCTION("googletranslate(F4929,""en"",""ja"")"),"チミジンキナーゼ 1 の測定")</f>
        <v>チミジンキナーゼ 1 の測定</v>
      </c>
    </row>
    <row r="4930" spans="1:9" ht="30">
      <c r="A4930" s="3" t="s">
        <v>6</v>
      </c>
      <c r="B4930" s="3" t="s">
        <v>20296</v>
      </c>
      <c r="C4930" s="3" t="s">
        <v>20297</v>
      </c>
      <c r="D4930" s="3" t="s">
        <v>20298</v>
      </c>
      <c r="E4930" s="3" t="s">
        <v>20299</v>
      </c>
      <c r="F4930" s="3" t="s">
        <v>20300</v>
      </c>
      <c r="G4930" s="3" t="str">
        <f ca="1">IFERROR(__xludf.DUMMYFUNCTION("googletranslate(D4930,""en"",""ja"")"),"チミジンキナーゼ 2;チミジンキナーゼ、ミトコンドリア")</f>
        <v>チミジンキナーゼ 2;チミジンキナーゼ、ミトコンドリア</v>
      </c>
      <c r="H4930" s="3" t="str">
        <f ca="1">IFERROR(__xludf.DUMMYFUNCTION("googletranslate(E4930,""en"",""ja"")"),"生物学的標本中のチミジンキナーゼ 2 の測定。")</f>
        <v>生物学的標本中のチミジンキナーゼ 2 の測定。</v>
      </c>
      <c r="I4930" s="3" t="str">
        <f ca="1">IFERROR(__xludf.DUMMYFUNCTION("googletranslate(F4930,""en"",""ja"")"),"チミジンキナーゼ2の測定")</f>
        <v>チミジンキナーゼ2の測定</v>
      </c>
    </row>
    <row r="4931" spans="1:9" ht="30">
      <c r="A4931" s="3" t="s">
        <v>6</v>
      </c>
      <c r="B4931" s="3" t="s">
        <v>20301</v>
      </c>
      <c r="C4931" s="3" t="s">
        <v>20302</v>
      </c>
      <c r="D4931" s="3" t="s">
        <v>20302</v>
      </c>
      <c r="E4931" s="3" t="s">
        <v>20303</v>
      </c>
      <c r="F4931" s="3" t="s">
        <v>20304</v>
      </c>
      <c r="G4931" s="3" t="str">
        <f ca="1">IFERROR(__xludf.DUMMYFUNCTION("googletranslate(D4931,""en"",""ja"")"),"T-キニノーゲン")</f>
        <v>T-キニノーゲン</v>
      </c>
      <c r="H4931" s="3" t="str">
        <f ca="1">IFERROR(__xludf.DUMMYFUNCTION("googletranslate(E4931,""en"",""ja"")"),"生物学的標本中の総 T-キニノーゲンの測定。")</f>
        <v>生物学的標本中の総 T-キニノーゲンの測定。</v>
      </c>
      <c r="I4931" s="3" t="str">
        <f ca="1">IFERROR(__xludf.DUMMYFUNCTION("googletranslate(F4931,""en"",""ja"")"),"T-キニノーゲンの測定")</f>
        <v>T-キニノーゲンの測定</v>
      </c>
    </row>
    <row r="4932" spans="1:9" ht="60">
      <c r="A4932" s="3" t="s">
        <v>103</v>
      </c>
      <c r="B4932" s="3" t="s">
        <v>20305</v>
      </c>
      <c r="C4932" s="3" t="s">
        <v>20306</v>
      </c>
      <c r="D4932" s="3" t="s">
        <v>20307</v>
      </c>
      <c r="E4932" s="3" t="s">
        <v>20308</v>
      </c>
      <c r="F4932" s="3" t="s">
        <v>20309</v>
      </c>
      <c r="G4932" s="3" t="str">
        <f ca="1">IFERROR(__xludf.DUMMYFUNCTION("googletranslate(D4932,""en"",""ja"")"),"Tリンパ球アルファ-ベータ; Tリンパ球TCRアルファ-ベータ; TCR アルファ-ベータ T 細胞; TリムAB")</f>
        <v>Tリンパ球アルファ-ベータ; Tリンパ球TCRアルファ-ベータ; TCR アルファ-ベータ T 細胞; TリムAB</v>
      </c>
      <c r="H4932" s="3" t="str">
        <f ca="1">IFERROR(__xludf.DUMMYFUNCTION("googletranslate(E4932,""en"",""ja"")"),"生物学的標本中のアルファ-ベータ T リンパ球の測定。")</f>
        <v>生物学的標本中のアルファ-ベータ T リンパ球の測定。</v>
      </c>
      <c r="I4932" s="3" t="str">
        <f ca="1">IFERROR(__xludf.DUMMYFUNCTION("googletranslate(F4932,""en"",""ja"")"),"アルファ-ベータ T リンパ球数")</f>
        <v>アルファ-ベータ T リンパ球数</v>
      </c>
    </row>
    <row r="4933" spans="1:9" ht="45">
      <c r="A4933" s="3" t="s">
        <v>103</v>
      </c>
      <c r="B4933" s="3" t="s">
        <v>20310</v>
      </c>
      <c r="C4933" s="3" t="s">
        <v>20311</v>
      </c>
      <c r="D4933" s="3" t="s">
        <v>20312</v>
      </c>
      <c r="E4933" s="3" t="s">
        <v>20313</v>
      </c>
      <c r="F4933" s="3" t="s">
        <v>20314</v>
      </c>
      <c r="G4933" s="3" t="str">
        <f ca="1">IFERROR(__xludf.DUMMYFUNCTION("googletranslate(D4933,""en"",""ja"")"),"Tリンパ球アルファ-ベータ; Tリンパ球TCRアルファ-ベータ; TLym AB サブ")</f>
        <v>Tリンパ球アルファ-ベータ; Tリンパ球TCRアルファ-ベータ; TLym AB サブ</v>
      </c>
      <c r="H4933" s="3" t="str">
        <f ca="1">IFERROR(__xludf.DUMMYFUNCTION("googletranslate(E4933,""en"",""ja"")"),"生物学的標本中のアルファ - ベータ T リンパ球の部分集団の測定。")</f>
        <v>生物学的標本中のアルファ - ベータ T リンパ球の部分集団の測定。</v>
      </c>
      <c r="I4933" s="3" t="str">
        <f ca="1">IFERROR(__xludf.DUMMYFUNCTION("googletranslate(F4933,""en"",""ja"")"),"アルファ-ベータ T リンパ球部分集団数")</f>
        <v>アルファ-ベータ T リンパ球部分集団数</v>
      </c>
    </row>
    <row r="4934" spans="1:9" ht="120">
      <c r="A4934" s="3" t="s">
        <v>103</v>
      </c>
      <c r="B4934" s="3" t="s">
        <v>20315</v>
      </c>
      <c r="C4934" s="3" t="s">
        <v>20316</v>
      </c>
      <c r="D4934" s="3" t="s">
        <v>20317</v>
      </c>
      <c r="E4934" s="3" t="s">
        <v>20318</v>
      </c>
      <c r="F4934" s="3" t="s">
        <v>20319</v>
      </c>
      <c r="G4934" s="3" t="str">
        <f ca="1">IFERROR(__xludf.DUMMYFUNCTION("googletranslate(D4934,""en"",""ja"")"),"T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f>
        <v>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v>
      </c>
      <c r="H4934" s="3" t="str">
        <f ca="1">IFERROR(__xludf.DUMMYFUNCTION("googletranslate(E4934,""en"",""ja"")"),"生物学的標本中の総アルファ - ベータ T リンパ球に対するアルファ - ベータ T リンパ球の部分集団の相対的な測定値 (比率またはパーセンテージ)。")</f>
        <v>生物学的標本中の総アルファ - ベータ T リンパ球に対するアルファ - ベータ T リンパ球の部分集団の相対的な測定値 (比率またはパーセンテージ)。</v>
      </c>
      <c r="I4934" s="3" t="str">
        <f ca="1">IFERROR(__xludf.DUMMYFUNCTION("googletranslate(F4934,""en"",""ja"")"),"アルファ - ベータ T リンパ球サブ集団とアルファ - ベータ T リンパ球の比率の測定")</f>
        <v>アルファ - ベータ T リンパ球サブ集団とアルファ - ベータ T リンパ球の比率の測定</v>
      </c>
    </row>
    <row r="4935" spans="1:9" ht="75">
      <c r="A4935" s="3" t="s">
        <v>103</v>
      </c>
      <c r="B4935" s="3" t="s">
        <v>20320</v>
      </c>
      <c r="C4935" s="3" t="s">
        <v>20321</v>
      </c>
      <c r="D4935" s="3" t="s">
        <v>20322</v>
      </c>
      <c r="E4935" s="3" t="s">
        <v>20323</v>
      </c>
      <c r="F4935" s="3" t="s">
        <v>20324</v>
      </c>
      <c r="G4935" s="3" t="str">
        <f ca="1">IFERROR(__xludf.DUMMYFUNCTION("googletranslate(D4935,""en"",""ja"")"),"T リンパ球アルファ-ベータ/T リンパ球; T リンパ球 TCR アルファ-ベータ/T リンパ球; TCR アルファ-ベータ T 細胞/T リンパ球; TLym AB/TLym")</f>
        <v>T リンパ球アルファ-ベータ/T リンパ球; T リンパ球 TCR アルファ-ベータ/T リンパ球; TCR アルファ-ベータ T 細胞/T リンパ球; TLym AB/TLym</v>
      </c>
      <c r="H4935" s="3" t="str">
        <f ca="1">IFERROR(__xludf.DUMMYFUNCTION("googletranslate(E4935,""en"",""ja"")"),"生物学的標本中の総 T リンパ球に対するアルファ、ベータ T リンパ球の相対測定値 (比率またはパーセンテージ)。")</f>
        <v>生物学的標本中の総 T リンパ球に対するアルファ、ベータ T リンパ球の相対測定値 (比率またはパーセンテージ)。</v>
      </c>
      <c r="I4935" s="3" t="str">
        <f ca="1">IFERROR(__xludf.DUMMYFUNCTION("googletranslate(F4935,""en"",""ja"")"),"アルファ-ベータ T リンパ球と T リンパ球の比率の測定")</f>
        <v>アルファ-ベータ T リンパ球と T リンパ球の比率の測定</v>
      </c>
    </row>
    <row r="4936" spans="1:9">
      <c r="A4936" s="3" t="s">
        <v>490</v>
      </c>
      <c r="B4936" s="3" t="s">
        <v>20325</v>
      </c>
      <c r="C4936" s="3" t="s">
        <v>20326</v>
      </c>
      <c r="D4936" s="3" t="s">
        <v>20326</v>
      </c>
      <c r="E4936" s="3" t="s">
        <v>20327</v>
      </c>
      <c r="F4936" s="3" t="s">
        <v>20326</v>
      </c>
      <c r="G4936" s="3" t="str">
        <f ca="1">IFERROR(__xludf.DUMMYFUNCTION("googletranslate(D4936,""en"",""ja"")"),"総肺活量")</f>
        <v>総肺活量</v>
      </c>
      <c r="H4936" s="3" t="str">
        <f ca="1">IFERROR(__xludf.DUMMYFUNCTION("googletranslate(E4936,""en"",""ja"")"),"最大吸入後の肺内の空気の総量。")</f>
        <v>最大吸入後の肺内の空気の総量。</v>
      </c>
      <c r="I4936" s="3" t="str">
        <f ca="1">IFERROR(__xludf.DUMMYFUNCTION("googletranslate(F4936,""en"",""ja"")"),"総肺活量")</f>
        <v>総肺活量</v>
      </c>
    </row>
    <row r="4937" spans="1:9" ht="30">
      <c r="A4937" s="3" t="s">
        <v>103</v>
      </c>
      <c r="B4937" s="3" t="s">
        <v>20325</v>
      </c>
      <c r="C4937" s="3" t="s">
        <v>20328</v>
      </c>
      <c r="D4937" s="3" t="s">
        <v>20329</v>
      </c>
      <c r="E4937" s="3" t="s">
        <v>20330</v>
      </c>
      <c r="F4937" s="3" t="s">
        <v>20331</v>
      </c>
      <c r="G4937" s="3" t="str">
        <f ca="1">IFERROR(__xludf.DUMMYFUNCTION("googletranslate(D4937,""en"",""ja"")"),"細胞傷害性 T 細胞;細胞傷害性 T リンパ球; TLym Cytx")</f>
        <v>細胞傷害性 T 細胞;細胞傷害性 T リンパ球; TLym Cytx</v>
      </c>
      <c r="H4937" s="3" t="str">
        <f ca="1">IFERROR(__xludf.DUMMYFUNCTION("googletranslate(E4937,""en"",""ja"")"),"生物学的標本中の細胞傷害性 T リンパ球の測定。")</f>
        <v>生物学的標本中の細胞傷害性 T リンパ球の測定。</v>
      </c>
      <c r="I4937" s="3" t="str">
        <f ca="1">IFERROR(__xludf.DUMMYFUNCTION("googletranslate(F4937,""en"",""ja"")"),"細胞傷害性 T リンパ球数")</f>
        <v>細胞傷害性 T リンパ球数</v>
      </c>
    </row>
    <row r="4938" spans="1:9" ht="60">
      <c r="A4938" s="3" t="s">
        <v>103</v>
      </c>
      <c r="B4938" s="3" t="s">
        <v>20332</v>
      </c>
      <c r="C4938" s="3" t="s">
        <v>20333</v>
      </c>
      <c r="D4938" s="3" t="s">
        <v>20334</v>
      </c>
      <c r="E4938" s="3" t="s">
        <v>20335</v>
      </c>
      <c r="F4938" s="3" t="s">
        <v>20336</v>
      </c>
      <c r="G4938" s="3" t="str">
        <f ca="1">IFERROR(__xludf.DUMMYFUNCTION("googletranslate(D4938,""en"",""ja"")"),"T リンパ球細胞傷害性アルファ - ベータ。 T リンパ球細胞傷害性 TCR アルファ-ベータ。 TLym Cytx AB")</f>
        <v>T リンパ球細胞傷害性アルファ - ベータ。 T リンパ球細胞傷害性 TCR アルファ-ベータ。 TLym Cytx AB</v>
      </c>
      <c r="H4938" s="3" t="str">
        <f ca="1">IFERROR(__xludf.DUMMYFUNCTION("googletranslate(E4938,""en"",""ja"")"),"生物学的標本中の細胞傷害性アルファベータ T リンパ球の測定。")</f>
        <v>生物学的標本中の細胞傷害性アルファベータ T リンパ球の測定。</v>
      </c>
      <c r="I4938" s="3" t="str">
        <f ca="1">IFERROR(__xludf.DUMMYFUNCTION("googletranslate(F4938,""en"",""ja"")"),"細胞傷害性アルファ、ベータ T リンパ球数")</f>
        <v>細胞傷害性アルファ、ベータ T リンパ球数</v>
      </c>
    </row>
    <row r="4939" spans="1:9" ht="75">
      <c r="A4939" s="3" t="s">
        <v>103</v>
      </c>
      <c r="B4939" s="3" t="s">
        <v>20337</v>
      </c>
      <c r="C4939" s="3" t="s">
        <v>20338</v>
      </c>
      <c r="D4939" s="3" t="s">
        <v>20339</v>
      </c>
      <c r="E4939" s="3" t="s">
        <v>20340</v>
      </c>
      <c r="F4939" s="3" t="s">
        <v>20341</v>
      </c>
      <c r="G4939" s="3" t="str">
        <f ca="1">IFERROR(__xludf.DUMMYFUNCTION("googletranslate(D4939,""en"",""ja"")"),"T リンパ球の細胞傷害性アルファ - ベータ部分集団。 T リンパ球細胞傷害性 TCR アルファ-ベータ サブ集団。 TLym Cytx AB サブ")</f>
        <v>T リンパ球の細胞傷害性アルファ - ベータ部分集団。 T リンパ球細胞傷害性 TCR アルファ-ベータ サブ集団。 TLym Cytx AB サブ</v>
      </c>
      <c r="H4939" s="3" t="str">
        <f ca="1">IFERROR(__xludf.DUMMYFUNCTION("googletranslate(E4939,""en"",""ja"")"),"生物学的標本中の細胞傷害性アルファベータ T リンパ球の部分集団の測定。")</f>
        <v>生物学的標本中の細胞傷害性アルファベータ T リンパ球の部分集団の測定。</v>
      </c>
      <c r="I4939" s="3" t="str">
        <f ca="1">IFERROR(__xludf.DUMMYFUNCTION("googletranslate(F4939,""en"",""ja"")"),"アルファ、ベータ細胞傷害性 T リンパ球部分集団数")</f>
        <v>アルファ、ベータ細胞傷害性 T リンパ球部分集団数</v>
      </c>
    </row>
    <row r="4940" spans="1:9" ht="60">
      <c r="A4940" s="3" t="s">
        <v>103</v>
      </c>
      <c r="B4940" s="3" t="s">
        <v>20342</v>
      </c>
      <c r="C4940" s="3" t="s">
        <v>20343</v>
      </c>
      <c r="D4940" s="3" t="s">
        <v>20344</v>
      </c>
      <c r="E4940" s="3" t="s">
        <v>20345</v>
      </c>
      <c r="F4940" s="3" t="s">
        <v>20346</v>
      </c>
      <c r="G4940" s="3" t="str">
        <f ca="1">IFERROR(__xludf.DUMMYFUNCTION("googletranslate(D4940,""en"",""ja"")"),"T細胞、細胞傷害性細胞/全細胞; T-Lym、CTX/総細胞数; T リンパ球、細胞傷害性細胞/総細胞; TLym Cytx/総細胞数")</f>
        <v>T細胞、細胞傷害性細胞/全細胞; T-Lym、CTX/総細胞数; T リンパ球、細胞傷害性細胞/総細胞; TLym Cytx/総細胞数</v>
      </c>
      <c r="H4940" s="3" t="str">
        <f ca="1">IFERROR(__xludf.DUMMYFUNCTION("googletranslate(E4940,""en"",""ja"")"),"生物学的標本の全細胞に対する細胞傷害性 T リンパ球の相対的な測定値 (比率またはパーセンテージ)。")</f>
        <v>生物学的標本の全細胞に対する細胞傷害性 T リンパ球の相対的な測定値 (比率またはパーセンテージ)。</v>
      </c>
      <c r="I4940" s="3" t="str">
        <f ca="1">IFERROR(__xludf.DUMMYFUNCTION("googletranslate(F4940,""en"",""ja"")"),"細胞傷害性 T リンパ球と全細胞の比率の測定")</f>
        <v>細胞傷害性 T リンパ球と全細胞の比率の測定</v>
      </c>
    </row>
    <row r="4941" spans="1:9" ht="30">
      <c r="A4941" s="3" t="s">
        <v>103</v>
      </c>
      <c r="B4941" s="3" t="s">
        <v>20347</v>
      </c>
      <c r="C4941" s="3" t="s">
        <v>20348</v>
      </c>
      <c r="D4941" s="3" t="s">
        <v>20349</v>
      </c>
      <c r="E4941" s="3" t="s">
        <v>20350</v>
      </c>
      <c r="F4941" s="3" t="s">
        <v>20351</v>
      </c>
      <c r="G4941" s="3" t="str">
        <f ca="1">IFERROR(__xludf.DUMMYFUNCTION("googletranslate(D4941,""en"",""ja"")"),"T リンパ球細胞毒性中枢記憶。 TLym Cytx Cen Mem")</f>
        <v>T リンパ球細胞毒性中枢記憶。 TLym Cytx Cen Mem</v>
      </c>
      <c r="H4941" s="3" t="str">
        <f ca="1">IFERROR(__xludf.DUMMYFUNCTION("googletranslate(E4941,""en"",""ja"")"),"生物学的標本中の細胞傷害性中枢記憶 T リンパ球の測定。")</f>
        <v>生物学的標本中の細胞傷害性中枢記憶 T リンパ球の測定。</v>
      </c>
      <c r="I4941" s="3" t="str">
        <f ca="1">IFERROR(__xludf.DUMMYFUNCTION("googletranslate(F4941,""en"",""ja"")"),"中央記憶細胞傷害性 T リンパ球数")</f>
        <v>中央記憶細胞傷害性 T リンパ球数</v>
      </c>
    </row>
    <row r="4942" spans="1:9" ht="45">
      <c r="A4942" s="3" t="s">
        <v>103</v>
      </c>
      <c r="B4942" s="3" t="s">
        <v>20352</v>
      </c>
      <c r="C4942" s="3" t="s">
        <v>20353</v>
      </c>
      <c r="D4942" s="3" t="s">
        <v>20354</v>
      </c>
      <c r="E4942" s="3" t="s">
        <v>20355</v>
      </c>
      <c r="F4942" s="3" t="s">
        <v>20356</v>
      </c>
      <c r="G4942" s="3" t="str">
        <f ca="1">IFERROR(__xludf.DUMMYFUNCTION("googletranslate(D4942,""en"",""ja"")"),"T リンパ球細胞傷害性中央記憶サブ集団。 TLym Cytx Cen Mem サブ")</f>
        <v>T リンパ球細胞傷害性中央記憶サブ集団。 TLym Cytx Cen Mem サブ</v>
      </c>
      <c r="H4942" s="3" t="str">
        <f ca="1">IFERROR(__xludf.DUMMYFUNCTION("googletranslate(E4942,""en"",""ja"")"),"生物学的標本中の細胞傷害性中心記憶 T リンパ球の部分集団の測定。")</f>
        <v>生物学的標本中の細胞傷害性中心記憶 T リンパ球の部分集団の測定。</v>
      </c>
      <c r="I4942" s="3" t="str">
        <f ca="1">IFERROR(__xludf.DUMMYFUNCTION("googletranslate(F4942,""en"",""ja"")"),"中央記憶細胞傷害性 T リンパ球部分集団数")</f>
        <v>中央記憶細胞傷害性 T リンパ球部分集団数</v>
      </c>
    </row>
    <row r="4943" spans="1:9" ht="75">
      <c r="A4943" s="3" t="s">
        <v>103</v>
      </c>
      <c r="B4943" s="3" t="s">
        <v>20357</v>
      </c>
      <c r="C4943" s="3" t="s">
        <v>20358</v>
      </c>
      <c r="D4943" s="3" t="s">
        <v>20359</v>
      </c>
      <c r="E4943" s="3" t="s">
        <v>20360</v>
      </c>
      <c r="F4943" s="3" t="s">
        <v>20361</v>
      </c>
      <c r="G4943" s="3" t="str">
        <f ca="1">IFERROR(__xludf.DUMMYFUNCTION("googletranslate(D4943,""en"",""ja"")"),"T リンパ球細胞傷害性中心記憶サブ集団/T リンパ球細胞傷害性中心記憶。 TLym Cytx Cen Mem Sub/TLymCCM")</f>
        <v>T リンパ球細胞傷害性中心記憶サブ集団/T リンパ球細胞傷害性中心記憶。 TLym Cytx Cen Mem Sub/TLymCCM</v>
      </c>
      <c r="H4943" s="3" t="str">
        <f ca="1">IFERROR(__xludf.DUMMYFUNCTION("googletranslate(E4943,""en"",""ja"")"),"生物学的標本中の総中心記憶細胞傷害性 T リンパ球に対する中心記憶細胞傷害性 T リンパ球の部分集団の相対測定値 (比率またはパーセンテージ)。")</f>
        <v>生物学的標本中の総中心記憶細胞傷害性 T リンパ球に対する中心記憶細胞傷害性 T リンパ球の部分集団の相対測定値 (比率またはパーセンテージ)。</v>
      </c>
      <c r="I4943" s="3" t="str">
        <f ca="1">IFERROR(__xludf.DUMMYFUNCTION("googletranslate(F4943,""en"",""ja"")"),"中央記憶細胞傷害性 T リンパ球サブ集団と中央記憶細胞傷害性 T リンパ球の比率の測定")</f>
        <v>中央記憶細胞傷害性 T リンパ球サブ集団と中央記憶細胞傷害性 T リンパ球の比率の測定</v>
      </c>
    </row>
    <row r="4944" spans="1:9" ht="60">
      <c r="A4944" s="3" t="s">
        <v>103</v>
      </c>
      <c r="B4944" s="3" t="s">
        <v>20362</v>
      </c>
      <c r="C4944" s="3" t="s">
        <v>20363</v>
      </c>
      <c r="D4944" s="3" t="s">
        <v>20364</v>
      </c>
      <c r="E4944" s="3" t="s">
        <v>20365</v>
      </c>
      <c r="F4944" s="3" t="s">
        <v>20366</v>
      </c>
      <c r="G4944" s="3" t="str">
        <f ca="1">IFERROR(__xludf.DUMMYFUNCTION("googletranslate(D4944,""en"",""ja"")"),"T リンパ球細胞傷害性中央記憶サブ集団/T リンパ球細胞傷害性; TLym Cytx Cen Mem Sub/TLymC")</f>
        <v>T リンパ球細胞傷害性中央記憶サブ集団/T リンパ球細胞傷害性; TLym Cytx Cen Mem Sub/TLymC</v>
      </c>
      <c r="H4944" s="3" t="str">
        <f ca="1">IFERROR(__xludf.DUMMYFUNCTION("googletranslate(E4944,""en"",""ja"")"),"生物学的標本中の総細胞傷害性 T リンパ球に対する中心記憶細胞傷害性 T リンパ球の部分集団の相対測定値 (比率またはパーセンテージ)。")</f>
        <v>生物学的標本中の総細胞傷害性 T リンパ球に対する中心記憶細胞傷害性 T リンパ球の部分集団の相対測定値 (比率またはパーセンテージ)。</v>
      </c>
      <c r="I4944" s="3" t="str">
        <f ca="1">IFERROR(__xludf.DUMMYFUNCTION("googletranslate(F4944,""en"",""ja"")"),"セントラルメモリー細胞傷害性Tリンパ球サブ集団対細胞傷害性Tリンパ球比の測定")</f>
        <v>セントラルメモリー細胞傷害性Tリンパ球サブ集団対細胞傷害性Tリンパ球比の測定</v>
      </c>
    </row>
    <row r="4945" spans="1:9" ht="45">
      <c r="A4945" s="3" t="s">
        <v>103</v>
      </c>
      <c r="B4945" s="3" t="s">
        <v>20367</v>
      </c>
      <c r="C4945" s="3" t="s">
        <v>20368</v>
      </c>
      <c r="D4945" s="3" t="s">
        <v>20369</v>
      </c>
      <c r="E4945" s="3" t="s">
        <v>20370</v>
      </c>
      <c r="F4945" s="3" t="s">
        <v>20371</v>
      </c>
      <c r="G4945" s="3" t="str">
        <f ca="1">IFERROR(__xludf.DUMMYFUNCTION("googletranslate(D4945,""en"",""ja"")"),"T リンパ球細胞毒性中枢記憶/T リンパ球細胞毒性; TLym Cytx Cen Mem/TLym Cytx")</f>
        <v>T リンパ球細胞毒性中枢記憶/T リンパ球細胞毒性; TLym Cytx Cen Mem/TLym Cytx</v>
      </c>
      <c r="H4945" s="3" t="str">
        <f ca="1">IFERROR(__xludf.DUMMYFUNCTION("googletranslate(E4945,""en"",""ja"")"),"生物学的検体中の総細胞傷害性 T リンパ球に対する細胞傷害性中枢記憶 T リンパ球の相対測定値 (比率またはパーセンテージ)。")</f>
        <v>生物学的検体中の総細胞傷害性 T リンパ球に対する細胞傷害性中枢記憶 T リンパ球の相対測定値 (比率またはパーセンテージ)。</v>
      </c>
      <c r="I4945" s="3" t="str">
        <f ca="1">IFERROR(__xludf.DUMMYFUNCTION("googletranslate(F4945,""en"",""ja"")"),"セントラルメモリー細胞傷害性Tリンパ球と細胞傷害性Tリンパ球の比率の測定")</f>
        <v>セントラルメモリー細胞傷害性Tリンパ球と細胞傷害性Tリンパ球の比率の測定</v>
      </c>
    </row>
    <row r="4946" spans="1:9" ht="30">
      <c r="A4946" s="3" t="s">
        <v>103</v>
      </c>
      <c r="B4946" s="3" t="s">
        <v>20372</v>
      </c>
      <c r="C4946" s="3" t="s">
        <v>20373</v>
      </c>
      <c r="D4946" s="3" t="s">
        <v>20374</v>
      </c>
      <c r="E4946" s="3" t="s">
        <v>20375</v>
      </c>
      <c r="F4946" s="3" t="s">
        <v>20376</v>
      </c>
      <c r="G4946" s="3" t="str">
        <f ca="1">IFERROR(__xludf.DUMMYFUNCTION("googletranslate(D4946,""en"",""ja"")"),"T リンパ球細胞傷害性エフェクター; TLym Cytx 効果")</f>
        <v>T リンパ球細胞傷害性エフェクター; TLym Cytx 効果</v>
      </c>
      <c r="H4946" s="3" t="str">
        <f ca="1">IFERROR(__xludf.DUMMYFUNCTION("googletranslate(E4946,""en"",""ja"")"),"生物学的標本中の細胞傷害性エフェクター T リンパ球の測定。")</f>
        <v>生物学的標本中の細胞傷害性エフェクター T リンパ球の測定。</v>
      </c>
      <c r="I4946" s="3" t="str">
        <f ca="1">IFERROR(__xludf.DUMMYFUNCTION("googletranslate(F4946,""en"",""ja"")"),"エフェクター細胞傷害性 T リンパ球数")</f>
        <v>エフェクター細胞傷害性 T リンパ球数</v>
      </c>
    </row>
    <row r="4947" spans="1:9" ht="45">
      <c r="A4947" s="3" t="s">
        <v>103</v>
      </c>
      <c r="B4947" s="3" t="s">
        <v>20377</v>
      </c>
      <c r="C4947" s="3" t="s">
        <v>20378</v>
      </c>
      <c r="D4947" s="3" t="s">
        <v>20379</v>
      </c>
      <c r="E4947" s="3" t="s">
        <v>20380</v>
      </c>
      <c r="F4947" s="3" t="s">
        <v>20381</v>
      </c>
      <c r="G4947" s="3" t="str">
        <f ca="1">IFERROR(__xludf.DUMMYFUNCTION("googletranslate(D4947,""en"",""ja"")"),"T リンパ球の細胞傷害性エフェクターの記憶。 TLym Cytx Eff Mem")</f>
        <v>T リンパ球の細胞傷害性エフェクターの記憶。 TLym Cytx Eff Mem</v>
      </c>
      <c r="H4947" s="3" t="str">
        <f ca="1">IFERROR(__xludf.DUMMYFUNCTION("googletranslate(E4947,""en"",""ja"")"),"生物学的標本中の細胞傷害性エフェクター記憶 T リンパ球の測定。")</f>
        <v>生物学的標本中の細胞傷害性エフェクター記憶 T リンパ球の測定。</v>
      </c>
      <c r="I4947" s="3" t="str">
        <f ca="1">IFERROR(__xludf.DUMMYFUNCTION("googletranslate(F4947,""en"",""ja"")"),"エフェクターの記憶細胞傷害性 T リンパ球数")</f>
        <v>エフェクターの記憶細胞傷害性 T リンパ球数</v>
      </c>
    </row>
    <row r="4948" spans="1:9" ht="45">
      <c r="A4948" s="3" t="s">
        <v>103</v>
      </c>
      <c r="B4948" s="3" t="s">
        <v>20382</v>
      </c>
      <c r="C4948" s="3" t="s">
        <v>20383</v>
      </c>
      <c r="D4948" s="3" t="s">
        <v>20384</v>
      </c>
      <c r="E4948" s="3" t="s">
        <v>20385</v>
      </c>
      <c r="F4948" s="3" t="s">
        <v>20386</v>
      </c>
      <c r="G4948" s="3" t="str">
        <f ca="1">IFERROR(__xludf.DUMMYFUNCTION("googletranslate(D4948,""en"",""ja"")"),"T リンパ球細胞傷害性エフェクター記憶サブ集団。 TLym Cytx Eff Mem Sub")</f>
        <v>T リンパ球細胞傷害性エフェクター記憶サブ集団。 TLym Cytx Eff Mem Sub</v>
      </c>
      <c r="H4948" s="3" t="str">
        <f ca="1">IFERROR(__xludf.DUMMYFUNCTION("googletranslate(E4948,""en"",""ja"")"),"生物学的標本中の細胞傷害性エフェクター記憶 T リンパ球の部分集団の測定。")</f>
        <v>生物学的標本中の細胞傷害性エフェクター記憶 T リンパ球の部分集団の測定。</v>
      </c>
      <c r="I4948" s="3" t="str">
        <f ca="1">IFERROR(__xludf.DUMMYFUNCTION("googletranslate(F4948,""en"",""ja"")"),"エフェクター記憶細胞傷害性 T リンパ球部分集団数")</f>
        <v>エフェクター記憶細胞傷害性 T リンパ球部分集団数</v>
      </c>
    </row>
    <row r="4949" spans="1:9" ht="75">
      <c r="A4949" s="3" t="s">
        <v>103</v>
      </c>
      <c r="B4949" s="3" t="s">
        <v>20387</v>
      </c>
      <c r="C4949" s="3" t="s">
        <v>20388</v>
      </c>
      <c r="D4949" s="3" t="s">
        <v>20389</v>
      </c>
      <c r="E4949" s="3" t="s">
        <v>20390</v>
      </c>
      <c r="F4949" s="3" t="s">
        <v>20391</v>
      </c>
      <c r="G4949" s="3" t="str">
        <f ca="1">IFERROR(__xludf.DUMMYFUNCTION("googletranslate(D4949,""en"",""ja"")"),"T リンパ球細胞傷害性エフェクター記憶サブ集団/T リンパ球細胞傷害性エフェクター記憶; TLym Cytx Eff Mem サブ/TLymCEM")</f>
        <v>T リンパ球細胞傷害性エフェクター記憶サブ集団/T リンパ球細胞傷害性エフェクター記憶; TLym Cytx Eff Mem サブ/TLymCEM</v>
      </c>
      <c r="H4949" s="3" t="str">
        <f ca="1">IFERROR(__xludf.DUMMYFUNCTION("googletranslate(E4949,""en"",""ja"")"),"生物学的検体中の総エフェクター記憶細胞傷害性 T リンパ球に対するエフェクター記憶細胞傷害性 T リンパ球の部分集団の相対測定値 (比率またはパーセンテージ)。")</f>
        <v>生物学的検体中の総エフェクター記憶細胞傷害性 T リンパ球に対するエフェクター記憶細胞傷害性 T リンパ球の部分集団の相対測定値 (比率またはパーセンテージ)。</v>
      </c>
      <c r="I4949" s="3" t="str">
        <f ca="1">IFERROR(__xludf.DUMMYFUNCTION("googletranslate(F4949,""en"",""ja"")"),"エフェクター記憶細胞傷害性 T リンパ球サブ集団とエフェクター記憶細胞傷害性 T リンパ球の比率の測定")</f>
        <v>エフェクター記憶細胞傷害性 T リンパ球サブ集団とエフェクター記憶細胞傷害性 T リンパ球の比率の測定</v>
      </c>
    </row>
    <row r="4950" spans="1:9" ht="60">
      <c r="A4950" s="3" t="s">
        <v>103</v>
      </c>
      <c r="B4950" s="3" t="s">
        <v>20392</v>
      </c>
      <c r="C4950" s="3" t="s">
        <v>20393</v>
      </c>
      <c r="D4950" s="3" t="s">
        <v>20394</v>
      </c>
      <c r="E4950" s="3" t="s">
        <v>20395</v>
      </c>
      <c r="F4950" s="3" t="s">
        <v>20396</v>
      </c>
      <c r="G4950" s="3" t="str">
        <f ca="1">IFERROR(__xludf.DUMMYFUNCTION("googletranslate(D4950,""en"",""ja"")"),"T リンパ球細胞傷害性エフェクター記憶サブ集団/T リンパ球細胞傷害性; TLym Cytx Eff Mem サブ/TLymC")</f>
        <v>T リンパ球細胞傷害性エフェクター記憶サブ集団/T リンパ球細胞傷害性; TLym Cytx Eff Mem サブ/TLymC</v>
      </c>
      <c r="H4950" s="3" t="str">
        <f ca="1">IFERROR(__xludf.DUMMYFUNCTION("googletranslate(E4950,""en"",""ja"")"),"生物学的標本中の総細胞傷害性 T リンパ球に対するエフェクター記憶細胞傷害性 T リンパ球の部分集団の相対測定値 (比率またはパーセンテージ)。")</f>
        <v>生物学的標本中の総細胞傷害性 T リンパ球に対するエフェクター記憶細胞傷害性 T リンパ球の部分集団の相対測定値 (比率またはパーセンテージ)。</v>
      </c>
      <c r="I4950" s="3" t="str">
        <f ca="1">IFERROR(__xludf.DUMMYFUNCTION("googletranslate(F4950,""en"",""ja"")"),"エフェクターメモリー細胞傷害性Tリンパ球サブ集団対細胞傷害性Tリンパ球比の測定")</f>
        <v>エフェクターメモリー細胞傷害性Tリンパ球サブ集団対細胞傷害性Tリンパ球比の測定</v>
      </c>
    </row>
    <row r="4951" spans="1:9" ht="45">
      <c r="A4951" s="3" t="s">
        <v>103</v>
      </c>
      <c r="B4951" s="3" t="s">
        <v>20397</v>
      </c>
      <c r="C4951" s="3" t="s">
        <v>20398</v>
      </c>
      <c r="D4951" s="3" t="s">
        <v>20399</v>
      </c>
      <c r="E4951" s="3" t="s">
        <v>20400</v>
      </c>
      <c r="F4951" s="3" t="s">
        <v>20401</v>
      </c>
      <c r="G4951" s="3" t="str">
        <f ca="1">IFERROR(__xludf.DUMMYFUNCTION("googletranslate(D4951,""en"",""ja"")"),"T リンパ球細胞毒性エフェクター記憶/T リンパ球細胞毒性; TLym Cytx Eff Mem/TLym Cytx")</f>
        <v>T リンパ球細胞毒性エフェクター記憶/T リンパ球細胞毒性; TLym Cytx Eff Mem/TLym Cytx</v>
      </c>
      <c r="H4951" s="3" t="str">
        <f ca="1">IFERROR(__xludf.DUMMYFUNCTION("googletranslate(E4951,""en"",""ja"")"),"生物学的検体中の総細胞傷害性 T リンパ球に対する細胞傷害性エフェクター記憶 T リンパ球の相対測定値 (比率またはパーセンテージ)。")</f>
        <v>生物学的検体中の総細胞傷害性 T リンパ球に対する細胞傷害性エフェクター記憶 T リンパ球の相対測定値 (比率またはパーセンテージ)。</v>
      </c>
      <c r="I4951" s="3" t="str">
        <f ca="1">IFERROR(__xludf.DUMMYFUNCTION("googletranslate(F4951,""en"",""ja"")"),"エフェクターメモリー細胞傷害性Tリンパ球と細胞傷害性Tリンパ球の比率の測定")</f>
        <v>エフェクターメモリー細胞傷害性Tリンパ球と細胞傷害性Tリンパ球の比率の測定</v>
      </c>
    </row>
    <row r="4952" spans="1:9" ht="45">
      <c r="A4952" s="3" t="s">
        <v>103</v>
      </c>
      <c r="B4952" s="3" t="s">
        <v>20402</v>
      </c>
      <c r="C4952" s="3" t="s">
        <v>20403</v>
      </c>
      <c r="D4952" s="3" t="s">
        <v>20404</v>
      </c>
      <c r="E4952" s="3" t="s">
        <v>20405</v>
      </c>
      <c r="F4952" s="3" t="s">
        <v>20406</v>
      </c>
      <c r="G4952" s="3" t="str">
        <f ca="1">IFERROR(__xludf.DUMMYFUNCTION("googletranslate(D4952,""en"",""ja"")"),"T リンパ球細胞傷害性エフェクターのサブ集団。 TLym Cytx Eff サブ")</f>
        <v>T リンパ球細胞傷害性エフェクターのサブ集団。 TLym Cytx Eff サブ</v>
      </c>
      <c r="H4952" s="3" t="str">
        <f ca="1">IFERROR(__xludf.DUMMYFUNCTION("googletranslate(E4952,""en"",""ja"")"),"生物学的標本中の細胞傷害性エフェクター T リンパ球の部分集団の測定。")</f>
        <v>生物学的標本中の細胞傷害性エフェクター T リンパ球の部分集団の測定。</v>
      </c>
      <c r="I4952" s="3" t="str">
        <f ca="1">IFERROR(__xludf.DUMMYFUNCTION("googletranslate(F4952,""en"",""ja"")"),"エフェクター細胞傷害性 T リンパ球部分集団数")</f>
        <v>エフェクター細胞傷害性 T リンパ球部分集団数</v>
      </c>
    </row>
    <row r="4953" spans="1:9" ht="45">
      <c r="A4953" s="3" t="s">
        <v>103</v>
      </c>
      <c r="B4953" s="3" t="s">
        <v>20407</v>
      </c>
      <c r="C4953" s="3" t="s">
        <v>20408</v>
      </c>
      <c r="D4953" s="3" t="s">
        <v>20409</v>
      </c>
      <c r="E4953" s="3" t="s">
        <v>20410</v>
      </c>
      <c r="F4953" s="3" t="s">
        <v>20411</v>
      </c>
      <c r="G4953" s="3" t="str">
        <f ca="1">IFERROR(__xludf.DUMMYFUNCTION("googletranslate(D4953,""en"",""ja"")"),"T リンパ球細胞傷害性ガンマデルタ; T リンパ球細胞傷害性 TCR ガンマデルタ; TLym Cytx GD")</f>
        <v>T リンパ球細胞傷害性ガンマデルタ; T リンパ球細胞傷害性 TCR ガンマデルタ; TLym Cytx GD</v>
      </c>
      <c r="H4953" s="3" t="str">
        <f ca="1">IFERROR(__xludf.DUMMYFUNCTION("googletranslate(E4953,""en"",""ja"")"),"生物学的標本中の細胞傷害性ガンマデルタ T リンパ球の測定。")</f>
        <v>生物学的標本中の細胞傷害性ガンマデルタ T リンパ球の測定。</v>
      </c>
      <c r="I4953" s="3" t="str">
        <f ca="1">IFERROR(__xludf.DUMMYFUNCTION("googletranslate(F4953,""en"",""ja"")"),"細胞傷害性ガンマデルタ T リンパ球数")</f>
        <v>細胞傷害性ガンマデルタ T リンパ球数</v>
      </c>
    </row>
    <row r="4954" spans="1:9" ht="75">
      <c r="A4954" s="3" t="s">
        <v>103</v>
      </c>
      <c r="B4954" s="3" t="s">
        <v>20412</v>
      </c>
      <c r="C4954" s="3" t="s">
        <v>20413</v>
      </c>
      <c r="D4954" s="3" t="s">
        <v>20414</v>
      </c>
      <c r="E4954" s="3" t="s">
        <v>20415</v>
      </c>
      <c r="F4954" s="3" t="s">
        <v>20416</v>
      </c>
      <c r="G4954" s="3" t="str">
        <f ca="1">IFERROR(__xludf.DUMMYFUNCTION("googletranslate(D4954,""en"",""ja"")"),"T リンパ球細胞傷害性ガンマデルタ部分集団。 T リンパ球細胞傷害性 TCR ガンマデルタ部分集団。 TLym Cytx GD サブ")</f>
        <v>T リンパ球細胞傷害性ガンマデルタ部分集団。 T リンパ球細胞傷害性 TCR ガンマデルタ部分集団。 TLym Cytx GD サブ</v>
      </c>
      <c r="H4954" s="3" t="str">
        <f ca="1">IFERROR(__xludf.DUMMYFUNCTION("googletranslate(E4954,""en"",""ja"")"),"生物学的標本中の細胞傷害性ガンマデルタ T リンパ球の部分集団の測定。")</f>
        <v>生物学的標本中の細胞傷害性ガンマデルタ T リンパ球の部分集団の測定。</v>
      </c>
      <c r="I4954" s="3" t="str">
        <f ca="1">IFERROR(__xludf.DUMMYFUNCTION("googletranslate(F4954,""en"",""ja"")"),"細胞傷害性ガンマデルタ T リンパ球部分集団数")</f>
        <v>細胞傷害性ガンマデルタ T リンパ球部分集団数</v>
      </c>
    </row>
    <row r="4955" spans="1:9" ht="30">
      <c r="A4955" s="3" t="s">
        <v>6</v>
      </c>
      <c r="B4955" s="3" t="s">
        <v>20417</v>
      </c>
      <c r="C4955" s="3" t="s">
        <v>20418</v>
      </c>
      <c r="D4955" s="3" t="s">
        <v>20419</v>
      </c>
      <c r="E4955" s="3" t="s">
        <v>20420</v>
      </c>
      <c r="F4955" s="3" t="s">
        <v>20421</v>
      </c>
      <c r="G4955" s="3" t="str">
        <f ca="1">IFERROR(__xludf.DUMMYFUNCTION("googletranslate(D4955,""en"",""ja"")"),"タウロリトコール酸;タウロリトコール酸")</f>
        <v>タウロリトコール酸;タウロリトコール酸</v>
      </c>
      <c r="H4955" s="3" t="str">
        <f ca="1">IFERROR(__xludf.DUMMYFUNCTION("googletranslate(E4955,""en"",""ja"")"),"生物学的標本中のタウロリトコール酸の測定。")</f>
        <v>生物学的標本中のタウロリトコール酸の測定。</v>
      </c>
      <c r="I4955" s="3" t="str">
        <f ca="1">IFERROR(__xludf.DUMMYFUNCTION("googletranslate(F4955,""en"",""ja"")"),"タウロリトコール酸の測定")</f>
        <v>タウロリトコール酸の測定</v>
      </c>
    </row>
    <row r="4956" spans="1:9" ht="60">
      <c r="A4956" s="3" t="s">
        <v>103</v>
      </c>
      <c r="B4956" s="3" t="s">
        <v>20422</v>
      </c>
      <c r="C4956" s="3" t="s">
        <v>20423</v>
      </c>
      <c r="D4956" s="3" t="s">
        <v>20424</v>
      </c>
      <c r="E4956" s="3" t="s">
        <v>20425</v>
      </c>
      <c r="F4956" s="3" t="s">
        <v>20426</v>
      </c>
      <c r="G4956" s="3" t="str">
        <f ca="1">IFERROR(__xludf.DUMMYFUNCTION("googletranslate(D4956,""en"",""ja"")"),"T細胞、細胞傷害性/白血球; Tリンパ球、細胞傷害性/白血球; TLym Cytx/ロイク")</f>
        <v>T細胞、細胞傷害性/白血球; Tリンパ球、細胞傷害性/白血球; TLym Cytx/ロイク</v>
      </c>
      <c r="H4956" s="3" t="str">
        <f ca="1">IFERROR(__xludf.DUMMYFUNCTION("googletranslate(E4956,""en"",""ja"")"),"生物学的標本中の白血球に対する細胞傷害性 T リンパ球の相対的な測定値 (比率またはパーセンテージ)。")</f>
        <v>生物学的標本中の白血球に対する細胞傷害性 T リンパ球の相対的な測定値 (比率またはパーセンテージ)。</v>
      </c>
      <c r="I4956" s="3" t="str">
        <f ca="1">IFERROR(__xludf.DUMMYFUNCTION("googletranslate(F4956,""en"",""ja"")"),"細胞傷害性Tリンパ球と白血球の比率の測定")</f>
        <v>細胞傷害性Tリンパ球と白血球の比率の測定</v>
      </c>
    </row>
    <row r="4957" spans="1:9" ht="45">
      <c r="A4957" s="3" t="s">
        <v>103</v>
      </c>
      <c r="B4957" s="3" t="s">
        <v>20427</v>
      </c>
      <c r="C4957" s="3" t="s">
        <v>20428</v>
      </c>
      <c r="D4957" s="3" t="s">
        <v>20429</v>
      </c>
      <c r="E4957" s="3" t="s">
        <v>20430</v>
      </c>
      <c r="F4957" s="3" t="s">
        <v>20431</v>
      </c>
      <c r="G4957" s="3" t="str">
        <f ca="1">IFERROR(__xludf.DUMMYFUNCTION("googletranslate(D4957,""en"",""ja"")"),"T リンパ球細胞傷害性/リンパ球; TLym Cytx/Lym")</f>
        <v>T リンパ球細胞傷害性/リンパ球; TLym Cytx/Lym</v>
      </c>
      <c r="H4957" s="3" t="str">
        <f ca="1">IFERROR(__xludf.DUMMYFUNCTION("googletranslate(E4957,""en"",""ja"")"),"生物学的標本中の全リンパ球に対する細胞傷害性 T リンパ球の相対測定値 (比率またはパーセンテージ)。")</f>
        <v>生物学的標本中の全リンパ球に対する細胞傷害性 T リンパ球の相対測定値 (比率またはパーセンテージ)。</v>
      </c>
      <c r="I4957" s="3" t="str">
        <f ca="1">IFERROR(__xludf.DUMMYFUNCTION("googletranslate(F4957,""en"",""ja"")"),"細胞傷害性Tリンパ球とリンパ球の比率の測定")</f>
        <v>細胞傷害性Tリンパ球とリンパ球の比率の測定</v>
      </c>
    </row>
    <row r="4958" spans="1:9" ht="30">
      <c r="A4958" s="3" t="s">
        <v>103</v>
      </c>
      <c r="B4958" s="3" t="s">
        <v>20432</v>
      </c>
      <c r="C4958" s="3" t="s">
        <v>20433</v>
      </c>
      <c r="D4958" s="3" t="s">
        <v>20434</v>
      </c>
      <c r="E4958" s="3" t="s">
        <v>20435</v>
      </c>
      <c r="F4958" s="3" t="s">
        <v>20436</v>
      </c>
      <c r="G4958" s="3" t="str">
        <f ca="1">IFERROR(__xludf.DUMMYFUNCTION("googletranslate(D4958,""en"",""ja"")"),"T リンパ球の細胞傷害性記憶。 TLym Cytx メモリ")</f>
        <v>T リンパ球の細胞傷害性記憶。 TLym Cytx メモリ</v>
      </c>
      <c r="H4958" s="3" t="str">
        <f ca="1">IFERROR(__xludf.DUMMYFUNCTION("googletranslate(E4958,""en"",""ja"")"),"生物学的標本中の記憶細胞傷害性 T リンパ球の測定。")</f>
        <v>生物学的標本中の記憶細胞傷害性 T リンパ球の測定。</v>
      </c>
      <c r="I4958" s="3" t="str">
        <f ca="1">IFERROR(__xludf.DUMMYFUNCTION("googletranslate(F4958,""en"",""ja"")"),"記憶細胞傷害性 T リンパ球数")</f>
        <v>記憶細胞傷害性 T リンパ球数</v>
      </c>
    </row>
    <row r="4959" spans="1:9" ht="45">
      <c r="A4959" s="3" t="s">
        <v>103</v>
      </c>
      <c r="B4959" s="3" t="s">
        <v>20437</v>
      </c>
      <c r="C4959" s="3" t="s">
        <v>20438</v>
      </c>
      <c r="D4959" s="3" t="s">
        <v>20439</v>
      </c>
      <c r="E4959" s="3" t="s">
        <v>20440</v>
      </c>
      <c r="F4959" s="3" t="s">
        <v>20441</v>
      </c>
      <c r="G4959" s="3" t="str">
        <f ca="1">IFERROR(__xludf.DUMMYFUNCTION("googletranslate(D4959,""en"",""ja"")"),"T リンパ球の細胞傷害性記憶サブ集団。 TLym Cytx メモリ サブ")</f>
        <v>T リンパ球の細胞傷害性記憶サブ集団。 TLym Cytx メモリ サブ</v>
      </c>
      <c r="H4959" s="3" t="str">
        <f ca="1">IFERROR(__xludf.DUMMYFUNCTION("googletranslate(E4959,""en"",""ja"")"),"生物学的標本中の記憶細胞傷害性 T リンパ球の部分集団の測定。")</f>
        <v>生物学的標本中の記憶細胞傷害性 T リンパ球の部分集団の測定。</v>
      </c>
      <c r="I4959" s="3" t="str">
        <f ca="1">IFERROR(__xludf.DUMMYFUNCTION("googletranslate(F4959,""en"",""ja"")"),"記憶細胞傷害性 T リンパ球部分集団数")</f>
        <v>記憶細胞傷害性 T リンパ球部分集団数</v>
      </c>
    </row>
    <row r="4960" spans="1:9" ht="60">
      <c r="A4960" s="3" t="s">
        <v>103</v>
      </c>
      <c r="B4960" s="3" t="s">
        <v>20442</v>
      </c>
      <c r="C4960" s="3" t="s">
        <v>20443</v>
      </c>
      <c r="D4960" s="3" t="s">
        <v>20444</v>
      </c>
      <c r="E4960" s="3" t="s">
        <v>20445</v>
      </c>
      <c r="F4960" s="3" t="s">
        <v>20446</v>
      </c>
      <c r="G4960" s="3" t="str">
        <f ca="1">IFERROR(__xludf.DUMMYFUNCTION("googletranslate(D4960,""en"",""ja"")"),"T リンパ球細胞傷害性記憶サブ集団/T リンパ球細胞傷害性記憶; TLym Cytx メモリ サブ/TLymCM")</f>
        <v>T リンパ球細胞傷害性記憶サブ集団/T リンパ球細胞傷害性記憶; TLym Cytx メモリ サブ/TLymCM</v>
      </c>
      <c r="H4960" s="3" t="str">
        <f ca="1">IFERROR(__xludf.DUMMYFUNCTION("googletranslate(E4960,""en"",""ja"")"),"生物学的標本中の総記憶細胞傷害性 T リンパ球に対する記憶細胞傷害性 T リンパ球の部分集団の相対測定値 (比率またはパーセンテージ)。")</f>
        <v>生物学的標本中の総記憶細胞傷害性 T リンパ球に対する記憶細胞傷害性 T リンパ球の部分集団の相対測定値 (比率またはパーセンテージ)。</v>
      </c>
      <c r="I4960" s="3" t="str">
        <f ca="1">IFERROR(__xludf.DUMMYFUNCTION("googletranslate(F4960,""en"",""ja"")"),"記憶細胞傷害性 T リンパ球サブ集団と記憶細胞傷害性 T リンパ球の比率の測定")</f>
        <v>記憶細胞傷害性 T リンパ球サブ集団と記憶細胞傷害性 T リンパ球の比率の測定</v>
      </c>
    </row>
    <row r="4961" spans="1:9" ht="60">
      <c r="A4961" s="3" t="s">
        <v>103</v>
      </c>
      <c r="B4961" s="3" t="s">
        <v>20447</v>
      </c>
      <c r="C4961" s="3" t="s">
        <v>20448</v>
      </c>
      <c r="D4961" s="3" t="s">
        <v>20449</v>
      </c>
      <c r="E4961" s="3" t="s">
        <v>20450</v>
      </c>
      <c r="F4961" s="3" t="s">
        <v>20451</v>
      </c>
      <c r="G4961" s="3" t="str">
        <f ca="1">IFERROR(__xludf.DUMMYFUNCTION("googletranslate(D4961,""en"",""ja"")"),"T リンパ球細胞傷害性記憶サブ集団/T リンパ球細胞傷害性; TLym Cytx メモリ サブ/TLymC")</f>
        <v>T リンパ球細胞傷害性記憶サブ集団/T リンパ球細胞傷害性; TLym Cytx メモリ サブ/TLymC</v>
      </c>
      <c r="H4961" s="3" t="str">
        <f ca="1">IFERROR(__xludf.DUMMYFUNCTION("googletranslate(E4961,""en"",""ja"")"),"生物学的標本中の総細胞傷害性 T リンパ球に対する記憶細胞傷害性 T リンパ球の部分集団の相対測定値 (比率またはパーセンテージ)。")</f>
        <v>生物学的標本中の総細胞傷害性 T リンパ球に対する記憶細胞傷害性 T リンパ球の部分集団の相対測定値 (比率またはパーセンテージ)。</v>
      </c>
      <c r="I4961" s="3" t="str">
        <f ca="1">IFERROR(__xludf.DUMMYFUNCTION("googletranslate(F4961,""en"",""ja"")"),"細胞傷害性 T リンパ球サブ集団と細胞傷害性 T リンパ球の比率の測定を記憶")</f>
        <v>細胞傷害性 T リンパ球サブ集団と細胞傷害性 T リンパ球の比率の測定を記憶</v>
      </c>
    </row>
    <row r="4962" spans="1:9" ht="45">
      <c r="A4962" s="3" t="s">
        <v>103</v>
      </c>
      <c r="B4962" s="3" t="s">
        <v>20452</v>
      </c>
      <c r="C4962" s="3" t="s">
        <v>20453</v>
      </c>
      <c r="D4962" s="3" t="s">
        <v>20454</v>
      </c>
      <c r="E4962" s="3" t="s">
        <v>20455</v>
      </c>
      <c r="F4962" s="3" t="s">
        <v>20456</v>
      </c>
      <c r="G4962" s="3" t="str">
        <f ca="1">IFERROR(__xludf.DUMMYFUNCTION("googletranslate(D4962,""en"",""ja"")"),"T リンパ球細胞毒性記憶/T リンパ球細胞毒性; TLym Cytx メモリ/TLym Cytx")</f>
        <v>T リンパ球細胞毒性記憶/T リンパ球細胞毒性; TLym Cytx メモリ/TLym Cytx</v>
      </c>
      <c r="H4962" s="3" t="str">
        <f ca="1">IFERROR(__xludf.DUMMYFUNCTION("googletranslate(E4962,""en"",""ja"")"),"生物学的標本中の総細胞傷害性 T リンパ球に対する記憶細胞傷害性 T リンパ球の相対測定値 (比率またはパーセンテージ)。")</f>
        <v>生物学的標本中の総細胞傷害性 T リンパ球に対する記憶細胞傷害性 T リンパ球の相対測定値 (比率またはパーセンテージ)。</v>
      </c>
      <c r="I4962" s="3" t="str">
        <f ca="1">IFERROR(__xludf.DUMMYFUNCTION("googletranslate(F4962,""en"",""ja"")"),"細胞傷害性Tリンパ球と細胞傷害性Tリンパ球の比の測定を記憶")</f>
        <v>細胞傷害性Tリンパ球と細胞傷害性Tリンパ球の比の測定を記憶</v>
      </c>
    </row>
    <row r="4963" spans="1:9" ht="30">
      <c r="A4963" s="3" t="s">
        <v>103</v>
      </c>
      <c r="B4963" s="3" t="s">
        <v>20457</v>
      </c>
      <c r="C4963" s="3" t="s">
        <v>20458</v>
      </c>
      <c r="D4963" s="3" t="s">
        <v>20459</v>
      </c>
      <c r="E4963" s="3" t="s">
        <v>20460</v>
      </c>
      <c r="F4963" s="3" t="s">
        <v>20461</v>
      </c>
      <c r="G4963" s="3" t="str">
        <f ca="1">IFERROR(__xludf.DUMMYFUNCTION("googletranslate(D4963,""en"",""ja"")"),"T リンパ球細胞傷害性ナイーブ。 TLym Cytx ナイーブ")</f>
        <v>T リンパ球細胞傷害性ナイーブ。 TLym Cytx ナイーブ</v>
      </c>
      <c r="H4963" s="3" t="str">
        <f ca="1">IFERROR(__xludf.DUMMYFUNCTION("googletranslate(E4963,""en"",""ja"")"),"生物学的標本中の細胞傷害性ナイーブ T リンパ球の測定。")</f>
        <v>生物学的標本中の細胞傷害性ナイーブ T リンパ球の測定。</v>
      </c>
      <c r="I4963" s="3" t="str">
        <f ca="1">IFERROR(__xludf.DUMMYFUNCTION("googletranslate(F4963,""en"",""ja"")"),"ナイーブ細胞傷害性 T リンパ球数")</f>
        <v>ナイーブ細胞傷害性 T リンパ球数</v>
      </c>
    </row>
    <row r="4964" spans="1:9" ht="30">
      <c r="A4964" s="3" t="s">
        <v>103</v>
      </c>
      <c r="B4964" s="3" t="s">
        <v>20462</v>
      </c>
      <c r="C4964" s="3" t="s">
        <v>20463</v>
      </c>
      <c r="D4964" s="3" t="s">
        <v>20464</v>
      </c>
      <c r="E4964" s="3" t="s">
        <v>20465</v>
      </c>
      <c r="F4964" s="3" t="s">
        <v>20466</v>
      </c>
      <c r="G4964" s="3" t="str">
        <f ca="1">IFERROR(__xludf.DUMMYFUNCTION("googletranslate(D4964,""en"",""ja"")"),"Tリンパ球の中央記憶。 Tリム・セン・メム")</f>
        <v>Tリンパ球の中央記憶。 Tリム・セン・メム</v>
      </c>
      <c r="H4964" s="3" t="str">
        <f ca="1">IFERROR(__xludf.DUMMYFUNCTION("googletranslate(E4964,""en"",""ja"")"),"生物学的標本中の中央記憶 T リンパ球の測定。")</f>
        <v>生物学的標本中の中央記憶 T リンパ球の測定。</v>
      </c>
      <c r="I4964" s="3" t="str">
        <f ca="1">IFERROR(__xludf.DUMMYFUNCTION("googletranslate(F4964,""en"",""ja"")"),"中央記憶Tリンパ球数")</f>
        <v>中央記憶Tリンパ球数</v>
      </c>
    </row>
    <row r="4965" spans="1:9" ht="45">
      <c r="A4965" s="3" t="s">
        <v>103</v>
      </c>
      <c r="B4965" s="3" t="s">
        <v>20467</v>
      </c>
      <c r="C4965" s="3" t="s">
        <v>20468</v>
      </c>
      <c r="D4965" s="3" t="s">
        <v>20469</v>
      </c>
      <c r="E4965" s="3" t="s">
        <v>20470</v>
      </c>
      <c r="F4965" s="3" t="s">
        <v>20471</v>
      </c>
      <c r="G4965" s="3" t="str">
        <f ca="1">IFERROR(__xludf.DUMMYFUNCTION("googletranslate(D4965,""en"",""ja"")"),"T リンパ球細胞傷害性ナイーブサブ集団。 TLym Cytx ナイーブ サブ")</f>
        <v>T リンパ球細胞傷害性ナイーブサブ集団。 TLym Cytx ナイーブ サブ</v>
      </c>
      <c r="H4965" s="3" t="str">
        <f ca="1">IFERROR(__xludf.DUMMYFUNCTION("googletranslate(E4965,""en"",""ja"")"),"生物学的標本中の細胞傷害性ナイーブ T リンパ球の部分集団の測定。")</f>
        <v>生物学的標本中の細胞傷害性ナイーブ T リンパ球の部分集団の測定。</v>
      </c>
      <c r="I4965" s="3" t="str">
        <f ca="1">IFERROR(__xludf.DUMMYFUNCTION("googletranslate(F4965,""en"",""ja"")"),"ナイーブ細胞傷害性 T リンパ球部分集団数")</f>
        <v>ナイーブ細胞傷害性 T リンパ球部分集団数</v>
      </c>
    </row>
    <row r="4966" spans="1:9" ht="60">
      <c r="A4966" s="3" t="s">
        <v>103</v>
      </c>
      <c r="B4966" s="3" t="s">
        <v>20472</v>
      </c>
      <c r="C4966" s="3" t="s">
        <v>20473</v>
      </c>
      <c r="D4966" s="3" t="s">
        <v>20474</v>
      </c>
      <c r="E4966" s="3" t="s">
        <v>20475</v>
      </c>
      <c r="F4966" s="3" t="s">
        <v>20476</v>
      </c>
      <c r="G4966" s="3" t="str">
        <f ca="1">IFERROR(__xludf.DUMMYFUNCTION("googletranslate(D4966,""en"",""ja"")"),"T リンパ球細胞傷害性ナイーブサブ集団/T リンパ球細胞傷害性ナイーブ; TLym Cytx ナイーブ サブ/TLymCN")</f>
        <v>T リンパ球細胞傷害性ナイーブサブ集団/T リンパ球細胞傷害性ナイーブ; TLym Cytx ナイーブ サブ/TLymCN</v>
      </c>
      <c r="H4966" s="3" t="str">
        <f ca="1">IFERROR(__xludf.DUMMYFUNCTION("googletranslate(E4966,""en"",""ja"")"),"生物学的標本中のナイーブ細胞傷害性 T リンパ球の総数に対するナイーブ細胞傷害性 T リンパ球の部分集団の相対測定値 (比率またはパーセンテージ)。")</f>
        <v>生物学的標本中のナイーブ細胞傷害性 T リンパ球の総数に対するナイーブ細胞傷害性 T リンパ球の部分集団の相対測定値 (比率またはパーセンテージ)。</v>
      </c>
      <c r="I4966" s="3" t="str">
        <f ca="1">IFERROR(__xludf.DUMMYFUNCTION("googletranslate(F4966,""en"",""ja"")"),"ナイーブ細胞傷害性 T リンパ球部分集団とナイーブ細胞傷害性 T リンパ球の比率の測定")</f>
        <v>ナイーブ細胞傷害性 T リンパ球部分集団とナイーブ細胞傷害性 T リンパ球の比率の測定</v>
      </c>
    </row>
    <row r="4967" spans="1:9" ht="60">
      <c r="A4967" s="3" t="s">
        <v>103</v>
      </c>
      <c r="B4967" s="3" t="s">
        <v>20477</v>
      </c>
      <c r="C4967" s="3" t="s">
        <v>20478</v>
      </c>
      <c r="D4967" s="3" t="s">
        <v>20479</v>
      </c>
      <c r="E4967" s="3" t="s">
        <v>20480</v>
      </c>
      <c r="F4967" s="3" t="s">
        <v>20481</v>
      </c>
      <c r="G4967" s="3" t="str">
        <f ca="1">IFERROR(__xludf.DUMMYFUNCTION("googletranslate(D4967,""en"",""ja"")"),"T リンパ球細胞傷害性ナイーブ サブ集団/T リンパ球細胞傷害性; TLym Cytx ナイーブ サブ/TLymC")</f>
        <v>T リンパ球細胞傷害性ナイーブ サブ集団/T リンパ球細胞傷害性; TLym Cytx ナイーブ サブ/TLymC</v>
      </c>
      <c r="H4967" s="3" t="str">
        <f ca="1">IFERROR(__xludf.DUMMYFUNCTION("googletranslate(E4967,""en"",""ja"")"),"生物学的標本中の総細胞傷害性 T リンパ球に対するナイーブ細胞傷害性 T リンパ球の部分集団の相対測定値 (比率またはパーセンテージ)。")</f>
        <v>生物学的標本中の総細胞傷害性 T リンパ球に対するナイーブ細胞傷害性 T リンパ球の部分集団の相対測定値 (比率またはパーセンテージ)。</v>
      </c>
      <c r="I4967" s="3" t="str">
        <f ca="1">IFERROR(__xludf.DUMMYFUNCTION("googletranslate(F4967,""en"",""ja"")"),"ナイーブな細胞傷害性 T リンパ球部分集団と細胞傷害性 T リンパ球の比率の測定")</f>
        <v>ナイーブな細胞傷害性 T リンパ球部分集団と細胞傷害性 T リンパ球の比率の測定</v>
      </c>
    </row>
    <row r="4968" spans="1:9" ht="45">
      <c r="A4968" s="3" t="s">
        <v>103</v>
      </c>
      <c r="B4968" s="3" t="s">
        <v>20482</v>
      </c>
      <c r="C4968" s="3" t="s">
        <v>20483</v>
      </c>
      <c r="D4968" s="3" t="s">
        <v>20484</v>
      </c>
      <c r="E4968" s="3" t="s">
        <v>20485</v>
      </c>
      <c r="F4968" s="3" t="s">
        <v>20486</v>
      </c>
      <c r="G4968" s="3" t="str">
        <f ca="1">IFERROR(__xludf.DUMMYFUNCTION("googletranslate(D4968,""en"",""ja"")"),"T リンパ球細胞毒性ナイーブ/T リンパ球細胞毒性。 TLym Cytx ナイーブ/TLym Cytx")</f>
        <v>T リンパ球細胞毒性ナイーブ/T リンパ球細胞毒性。 TLym Cytx ナイーブ/TLym Cytx</v>
      </c>
      <c r="H4968" s="3" t="str">
        <f ca="1">IFERROR(__xludf.DUMMYFUNCTION("googletranslate(E4968,""en"",""ja"")"),"生物学的検体中の総細胞傷害性 T リンパ球に対する細胞傷害性ナイーブ T リンパ球の相対測定値 (比率またはパーセンテージ)。")</f>
        <v>生物学的検体中の総細胞傷害性 T リンパ球に対する細胞傷害性ナイーブ T リンパ球の相対測定値 (比率またはパーセンテージ)。</v>
      </c>
      <c r="I4968" s="3" t="str">
        <f ca="1">IFERROR(__xludf.DUMMYFUNCTION("googletranslate(F4968,""en"",""ja"")"),"ナイーブ細胞傷害性 T リンパ球と細胞傷害性 T リンパ球の比の測定")</f>
        <v>ナイーブ細胞傷害性 T リンパ球と細胞傷害性 T リンパ球の比の測定</v>
      </c>
    </row>
    <row r="4969" spans="1:9" ht="30">
      <c r="A4969" s="3" t="s">
        <v>490</v>
      </c>
      <c r="B4969" s="3" t="s">
        <v>20487</v>
      </c>
      <c r="C4969" s="3" t="s">
        <v>20488</v>
      </c>
      <c r="D4969" s="3" t="s">
        <v>20488</v>
      </c>
      <c r="E4969" s="3" t="s">
        <v>20489</v>
      </c>
      <c r="F4969" s="3" t="s">
        <v>20488</v>
      </c>
      <c r="G4969" s="3" t="str">
        <f ca="1">IFERROR(__xludf.DUMMYFUNCTION("googletranslate(D4969,""en"",""ja"")"),"予測総肺活量のパーセント")</f>
        <v>予測総肺活量のパーセント</v>
      </c>
      <c r="H4969" s="3" t="str">
        <f ca="1">IFERROR(__xludf.DUMMYFUNCTION("googletranslate(E4969,""en"",""ja"")"),"予測された正常値に対する割合としての、最大吸入後の肺内の空気の総量。")</f>
        <v>予測された正常値に対する割合としての、最大吸入後の肺内の空気の総量。</v>
      </c>
      <c r="I4969" s="3" t="str">
        <f ca="1">IFERROR(__xludf.DUMMYFUNCTION("googletranslate(F4969,""en"",""ja"")"),"予測総肺活量のパーセント")</f>
        <v>予測総肺活量のパーセント</v>
      </c>
    </row>
    <row r="4970" spans="1:9" ht="30">
      <c r="A4970" s="3" t="s">
        <v>103</v>
      </c>
      <c r="B4970" s="3" t="s">
        <v>20490</v>
      </c>
      <c r="C4970" s="3" t="s">
        <v>20491</v>
      </c>
      <c r="D4970" s="3" t="s">
        <v>20492</v>
      </c>
      <c r="E4970" s="3" t="s">
        <v>20493</v>
      </c>
      <c r="F4970" s="3" t="s">
        <v>20494</v>
      </c>
      <c r="G4970" s="3" t="str">
        <f ca="1">IFERROR(__xludf.DUMMYFUNCTION("googletranslate(D4970,""en"",""ja"")"),"T リンパ球細胞傷害性調節; TLym Cytx Reg")</f>
        <v>T リンパ球細胞傷害性調節; TLym Cytx Reg</v>
      </c>
      <c r="H4970" s="3" t="str">
        <f ca="1">IFERROR(__xludf.DUMMYFUNCTION("googletranslate(E4970,""en"",""ja"")"),"生物学的標本中の細胞傷害性制御性 T リンパ球の測定。")</f>
        <v>生物学的標本中の細胞傷害性制御性 T リンパ球の測定。</v>
      </c>
      <c r="I4970" s="3" t="str">
        <f ca="1">IFERROR(__xludf.DUMMYFUNCTION("googletranslate(F4970,""en"",""ja"")"),"調節性細胞傷害性 T リンパ球数")</f>
        <v>調節性細胞傷害性 T リンパ球数</v>
      </c>
    </row>
    <row r="4971" spans="1:9" ht="45">
      <c r="A4971" s="3" t="s">
        <v>103</v>
      </c>
      <c r="B4971" s="3" t="s">
        <v>20495</v>
      </c>
      <c r="C4971" s="3" t="s">
        <v>20496</v>
      </c>
      <c r="D4971" s="3" t="s">
        <v>20497</v>
      </c>
      <c r="E4971" s="3" t="s">
        <v>20498</v>
      </c>
      <c r="F4971" s="3" t="s">
        <v>20499</v>
      </c>
      <c r="G4971" s="3" t="str">
        <f ca="1">IFERROR(__xludf.DUMMYFUNCTION("googletranslate(D4971,""en"",""ja"")"),"T リンパ球の細胞毒性制御サブ集団。 TLym Cytx Reg Sub")</f>
        <v>T リンパ球の細胞毒性制御サブ集団。 TLym Cytx Reg Sub</v>
      </c>
      <c r="H4971" s="3" t="str">
        <f ca="1">IFERROR(__xludf.DUMMYFUNCTION("googletranslate(E4971,""en"",""ja"")"),"生物学的標本中の細胞傷害性制御性 T リンパ球の部分集団の測定。")</f>
        <v>生物学的標本中の細胞傷害性制御性 T リンパ球の部分集団の測定。</v>
      </c>
      <c r="I4971" s="3" t="str">
        <f ca="1">IFERROR(__xludf.DUMMYFUNCTION("googletranslate(F4971,""en"",""ja"")"),"調節性細胞傷害性 T リンパ球部分集団数")</f>
        <v>調節性細胞傷害性 T リンパ球部分集団数</v>
      </c>
    </row>
    <row r="4972" spans="1:9" ht="60">
      <c r="A4972" s="3" t="s">
        <v>103</v>
      </c>
      <c r="B4972" s="3" t="s">
        <v>20500</v>
      </c>
      <c r="C4972" s="3" t="s">
        <v>20501</v>
      </c>
      <c r="D4972" s="3" t="s">
        <v>20502</v>
      </c>
      <c r="E4972" s="3" t="s">
        <v>20503</v>
      </c>
      <c r="F4972" s="3" t="s">
        <v>20504</v>
      </c>
      <c r="G4972" s="3" t="str">
        <f ca="1">IFERROR(__xludf.DUMMYFUNCTION("googletranslate(D4972,""en"",""ja"")"),"T リンパ球細胞傷害性調節サブ集団/T リンパ球細胞傷害性調節; TLym Cytx Reg Sub/TLymCR")</f>
        <v>T リンパ球細胞傷害性調節サブ集団/T リンパ球細胞傷害性調節; TLym Cytx Reg Sub/TLymCR</v>
      </c>
      <c r="H4972" s="3" t="str">
        <f ca="1">IFERROR(__xludf.DUMMYFUNCTION("googletranslate(E4972,""en"",""ja"")"),"生物学的検体中の総細胞傷害性制御性 T リンパ球に対する細胞傷害性制御性 T リンパ球の部分集団の相対測定値 (比率またはパーセンテージ)。")</f>
        <v>生物学的検体中の総細胞傷害性制御性 T リンパ球に対する細胞傷害性制御性 T リンパ球の部分集団の相対測定値 (比率またはパーセンテージ)。</v>
      </c>
      <c r="I4972" s="3" t="str">
        <f ca="1">IFERROR(__xludf.DUMMYFUNCTION("googletranslate(F4972,""en"",""ja"")"),"制御性細胞傷害性 T リンパ球サブ集団と制御性細胞傷害性 T リンパ球の比率の測定")</f>
        <v>制御性細胞傷害性 T リンパ球サブ集団と制御性細胞傷害性 T リンパ球の比率の測定</v>
      </c>
    </row>
    <row r="4973" spans="1:9" ht="60">
      <c r="A4973" s="3" t="s">
        <v>103</v>
      </c>
      <c r="B4973" s="3" t="s">
        <v>20505</v>
      </c>
      <c r="C4973" s="3" t="s">
        <v>20506</v>
      </c>
      <c r="D4973" s="3" t="s">
        <v>20507</v>
      </c>
      <c r="E4973" s="3" t="s">
        <v>20508</v>
      </c>
      <c r="F4973" s="3" t="s">
        <v>20509</v>
      </c>
      <c r="G4973" s="3" t="str">
        <f ca="1">IFERROR(__xludf.DUMMYFUNCTION("googletranslate(D4973,""en"",""ja"")"),"T リンパ球細胞傷害性調節サブ集団/T リンパ球細胞傷害性; TLym Cytx Reg Sub/TLym Cytx")</f>
        <v>T リンパ球細胞傷害性調節サブ集団/T リンパ球細胞傷害性; TLym Cytx Reg Sub/TLym Cytx</v>
      </c>
      <c r="H4973" s="3" t="str">
        <f ca="1">IFERROR(__xludf.DUMMYFUNCTION("googletranslate(E4973,""en"",""ja"")"),"生物学的検体中の総細胞傷害性 T リンパ球に対する細胞傷害性制御性 T リンパ球の部分集団の相対測定値 (比率またはパーセンテージ)。")</f>
        <v>生物学的検体中の総細胞傷害性 T リンパ球に対する細胞傷害性制御性 T リンパ球の部分集団の相対測定値 (比率またはパーセンテージ)。</v>
      </c>
      <c r="I4973" s="3" t="str">
        <f ca="1">IFERROR(__xludf.DUMMYFUNCTION("googletranslate(F4973,""en"",""ja"")"),"制御性細胞傷害性 T リンパ球サブ集団と細胞傷害性 T リンパ球の比率の測定")</f>
        <v>制御性細胞傷害性 T リンパ球サブ集団と細胞傷害性 T リンパ球の比率の測定</v>
      </c>
    </row>
    <row r="4974" spans="1:9" ht="45">
      <c r="A4974" s="3" t="s">
        <v>103</v>
      </c>
      <c r="B4974" s="3" t="s">
        <v>20510</v>
      </c>
      <c r="C4974" s="3" t="s">
        <v>20511</v>
      </c>
      <c r="D4974" s="3" t="s">
        <v>20512</v>
      </c>
      <c r="E4974" s="3" t="s">
        <v>20513</v>
      </c>
      <c r="F4974" s="3" t="s">
        <v>20514</v>
      </c>
      <c r="G4974" s="3" t="str">
        <f ca="1">IFERROR(__xludf.DUMMYFUNCTION("googletranslate(D4974,""en"",""ja"")"),"T リンパ球細胞毒性調節/T リンパ球細胞毒性; TLym Cytx Reg/TLym Cytx")</f>
        <v>T リンパ球細胞毒性調節/T リンパ球細胞毒性; TLym Cytx Reg/TLym Cytx</v>
      </c>
      <c r="H4974" s="3" t="str">
        <f ca="1">IFERROR(__xludf.DUMMYFUNCTION("googletranslate(E4974,""en"",""ja"")"),"生物学的検体中の総細胞傷害性 T リンパ球に対する細胞傷害性制御性 T リンパ球の相対測定値 (比率またはパーセンテージ)。")</f>
        <v>生物学的検体中の総細胞傷害性 T リンパ球に対する細胞傷害性制御性 T リンパ球の相対測定値 (比率またはパーセンテージ)。</v>
      </c>
      <c r="I4974" s="3" t="str">
        <f ca="1">IFERROR(__xludf.DUMMYFUNCTION("googletranslate(F4974,""en"",""ja"")"),"調節性細胞傷害性 T リンパ球と細胞傷害性 T リンパ球の比率の測定")</f>
        <v>調節性細胞傷害性 T リンパ球と細胞傷害性 T リンパ球の比率の測定</v>
      </c>
    </row>
    <row r="4975" spans="1:9" ht="30">
      <c r="A4975" s="3" t="s">
        <v>103</v>
      </c>
      <c r="B4975" s="3" t="s">
        <v>20515</v>
      </c>
      <c r="C4975" s="3" t="s">
        <v>20516</v>
      </c>
      <c r="D4975" s="3" t="s">
        <v>20517</v>
      </c>
      <c r="E4975" s="3" t="s">
        <v>20518</v>
      </c>
      <c r="F4975" s="3" t="s">
        <v>20519</v>
      </c>
      <c r="G4975" s="3" t="str">
        <f ca="1">IFERROR(__xludf.DUMMYFUNCTION("googletranslate(D4975,""en"",""ja"")"),"細胞傷害性 T リンパ球のサブ集団。 TLym Cytx サブ")</f>
        <v>細胞傷害性 T リンパ球のサブ集団。 TLym Cytx サブ</v>
      </c>
      <c r="H4975" s="3" t="str">
        <f ca="1">IFERROR(__xludf.DUMMYFUNCTION("googletranslate(E4975,""en"",""ja"")"),"生物学的標本中の細胞傷害性 T リンパ球の部分集団の測定。")</f>
        <v>生物学的標本中の細胞傷害性 T リンパ球の部分集団の測定。</v>
      </c>
      <c r="I4975" s="3" t="str">
        <f ca="1">IFERROR(__xludf.DUMMYFUNCTION("googletranslate(F4975,""en"",""ja"")"),"細胞傷害性 T リンパ球部分集団の数")</f>
        <v>細胞傷害性 T リンパ球部分集団の数</v>
      </c>
    </row>
    <row r="4976" spans="1:9" ht="60">
      <c r="A4976" s="3" t="s">
        <v>103</v>
      </c>
      <c r="B4976" s="3" t="s">
        <v>20520</v>
      </c>
      <c r="C4976" s="3" t="s">
        <v>20521</v>
      </c>
      <c r="D4976" s="3" t="s">
        <v>20522</v>
      </c>
      <c r="E4976" s="3" t="s">
        <v>20523</v>
      </c>
      <c r="F4976" s="3" t="s">
        <v>20524</v>
      </c>
      <c r="G4976" s="3" t="str">
        <f ca="1">IFERROR(__xludf.DUMMYFUNCTION("googletranslate(D4976,""en"",""ja"")"),"細胞傷害性幹細胞記憶Tリンパ球; Tリンパ球細胞傷害性幹細胞の記憶。 TLym Cytx SC メモリ。 TlymCSCM")</f>
        <v>細胞傷害性幹細胞記憶Tリンパ球; Tリンパ球細胞傷害性幹細胞の記憶。 TLym Cytx SC メモリ。 TlymCSCM</v>
      </c>
      <c r="H4976" s="3" t="str">
        <f ca="1">IFERROR(__xludf.DUMMYFUNCTION("googletranslate(E4976,""en"",""ja"")"),"生物学的標本中の細胞傷害性幹細胞メモリー T リンパ球の測定。")</f>
        <v>生物学的標本中の細胞傷害性幹細胞メモリー T リンパ球の測定。</v>
      </c>
      <c r="I4976" s="3" t="str">
        <f ca="1">IFERROR(__xludf.DUMMYFUNCTION("googletranslate(F4976,""en"",""ja"")"),"幹細胞記憶細胞傷害性 T リンパ球数")</f>
        <v>幹細胞記憶細胞傷害性 T リンパ球数</v>
      </c>
    </row>
    <row r="4977" spans="1:9" ht="45">
      <c r="A4977" s="3" t="s">
        <v>103</v>
      </c>
      <c r="B4977" s="3" t="s">
        <v>20525</v>
      </c>
      <c r="C4977" s="3" t="s">
        <v>20526</v>
      </c>
      <c r="D4977" s="3" t="s">
        <v>20527</v>
      </c>
      <c r="E4977" s="3" t="s">
        <v>20528</v>
      </c>
      <c r="F4977" s="3" t="s">
        <v>20529</v>
      </c>
      <c r="G4977" s="3" t="str">
        <f ca="1">IFERROR(__xludf.DUMMYFUNCTION("googletranslate(D4977,""en"",""ja"")"),"T リンパ球細胞傷害性 SC 記憶部分集団。 TLym Cytx SC メモリ サブ")</f>
        <v>T リンパ球細胞傷害性 SC 記憶部分集団。 TLym Cytx SC メモリ サブ</v>
      </c>
      <c r="H4977" s="3" t="str">
        <f ca="1">IFERROR(__xludf.DUMMYFUNCTION("googletranslate(E4977,""en"",""ja"")"),"生物学的標本中の細胞傷害性幹細胞メモリー T リンパ球の部分集団の測定。")</f>
        <v>生物学的標本中の細胞傷害性幹細胞メモリー T リンパ球の部分集団の測定。</v>
      </c>
      <c r="I4977" s="3" t="str">
        <f ca="1">IFERROR(__xludf.DUMMYFUNCTION("googletranslate(F4977,""en"",""ja"")"),"幹細胞記憶細胞傷害性 T リンパ球部分集団数")</f>
        <v>幹細胞記憶細胞傷害性 T リンパ球部分集団数</v>
      </c>
    </row>
    <row r="4978" spans="1:9" ht="75">
      <c r="A4978" s="3" t="s">
        <v>103</v>
      </c>
      <c r="B4978" s="3" t="s">
        <v>20530</v>
      </c>
      <c r="C4978" s="3" t="s">
        <v>20531</v>
      </c>
      <c r="D4978" s="3" t="s">
        <v>20532</v>
      </c>
      <c r="E4978" s="3" t="s">
        <v>20533</v>
      </c>
      <c r="F4978" s="3" t="s">
        <v>20534</v>
      </c>
      <c r="G4978" s="3" t="str">
        <f ca="1">IFERROR(__xludf.DUMMYFUNCTION("googletranslate(D4978,""en"",""ja"")"),"T リンパ球細胞傷害性幹細胞記憶部分集団/T リンパ球細胞傷害性幹細胞記憶; TLym Cytx SC メモリ サブ/TLymCSCM")</f>
        <v>T リンパ球細胞傷害性幹細胞記憶部分集団/T リンパ球細胞傷害性幹細胞記憶; TLym Cytx SC メモリ サブ/TLymCSCM</v>
      </c>
      <c r="H4978" s="3" t="str">
        <f ca="1">IFERROR(__xludf.DUMMYFUNCTION("googletranslate(E4978,""en"",""ja"")"),"生物学的標本中の総細胞傷害性幹細胞メモリー T リンパ球に対する細胞傷害性幹細胞メモリー T リンパ球の部分集団の相対測定値 (比率またはパーセンテージ)。")</f>
        <v>生物学的標本中の総細胞傷害性幹細胞メモリー T リンパ球に対する細胞傷害性幹細胞メモリー T リンパ球の部分集団の相対測定値 (比率またはパーセンテージ)。</v>
      </c>
      <c r="I4978" s="3" t="str">
        <f ca="1">IFERROR(__xludf.DUMMYFUNCTION("googletranslate(F4978,""en"",""ja"")"),"幹細胞記憶細胞傷害性 T リンパ球部分集団と幹細胞記憶細胞傷害性 T リンパ球の比率の測定")</f>
        <v>幹細胞記憶細胞傷害性 T リンパ球部分集団と幹細胞記憶細胞傷害性 T リンパ球の比率の測定</v>
      </c>
    </row>
    <row r="4979" spans="1:9" ht="60">
      <c r="A4979" s="3" t="s">
        <v>103</v>
      </c>
      <c r="B4979" s="3" t="s">
        <v>20535</v>
      </c>
      <c r="C4979" s="3" t="s">
        <v>20536</v>
      </c>
      <c r="D4979" s="3" t="s">
        <v>20537</v>
      </c>
      <c r="E4979" s="3" t="s">
        <v>20538</v>
      </c>
      <c r="F4979" s="3" t="s">
        <v>20539</v>
      </c>
      <c r="G4979" s="3" t="str">
        <f ca="1">IFERROR(__xludf.DUMMYFUNCTION("googletranslate(D4979,""en"",""ja"")"),"細胞傷害性 T リンパ球サブ集団/細胞傷害性 T リンパ球; TLym Cytx サブ/TLym Cytx")</f>
        <v>細胞傷害性 T リンパ球サブ集団/細胞傷害性 T リンパ球; TLym Cytx サブ/TLym Cytx</v>
      </c>
      <c r="H4979" s="3" t="str">
        <f ca="1">IFERROR(__xludf.DUMMYFUNCTION("googletranslate(E4979,""en"",""ja"")"),"生物学的検体中の総細胞傷害性 T リンパ球に対する細胞傷害性 T リンパ球部分集団の相対測定値 (比率またはパーセンテージ)。")</f>
        <v>生物学的検体中の総細胞傷害性 T リンパ球に対する細胞傷害性 T リンパ球部分集団の相対測定値 (比率またはパーセンテージ)。</v>
      </c>
      <c r="I4979" s="3" t="str">
        <f ca="1">IFERROR(__xludf.DUMMYFUNCTION("googletranslate(F4979,""en"",""ja"")"),"細胞傷害性 T リンパ球部分集団と総細胞傷害性 T リンパ球の比率の測定")</f>
        <v>細胞傷害性 T リンパ球部分集団と総細胞傷害性 T リンパ球の比率の測定</v>
      </c>
    </row>
    <row r="4980" spans="1:9" ht="45">
      <c r="A4980" s="3" t="s">
        <v>103</v>
      </c>
      <c r="B4980" s="3" t="s">
        <v>20540</v>
      </c>
      <c r="C4980" s="3" t="s">
        <v>20541</v>
      </c>
      <c r="D4980" s="3" t="s">
        <v>20542</v>
      </c>
      <c r="E4980" s="3" t="s">
        <v>20543</v>
      </c>
      <c r="F4980" s="3" t="s">
        <v>20544</v>
      </c>
      <c r="G4980" s="3" t="str">
        <f ca="1">IFERROR(__xludf.DUMMYFUNCTION("googletranslate(D4980,""en"",""ja"")"),"T リンパ球細胞傷害性亜集団/T リンパ球; TLym Cytx サブ/TLym")</f>
        <v>T リンパ球細胞傷害性亜集団/T リンパ球; TLym Cytx サブ/TLym</v>
      </c>
      <c r="H4980" s="3" t="str">
        <f ca="1">IFERROR(__xludf.DUMMYFUNCTION("googletranslate(E4980,""en"",""ja"")"),"生物学的標本中の総 T リンパ球に対する細胞傷害性 T リンパ球の部分集団の相対的な測定値 (比率またはパーセンテージ)。")</f>
        <v>生物学的標本中の総 T リンパ球に対する細胞傷害性 T リンパ球の部分集団の相対的な測定値 (比率またはパーセンテージ)。</v>
      </c>
      <c r="I4980" s="3" t="str">
        <f ca="1">IFERROR(__xludf.DUMMYFUNCTION("googletranslate(F4980,""en"",""ja"")"),"細胞傷害性 T リンパ球サブ集団と T リンパ球の比率の測定")</f>
        <v>細胞傷害性 T リンパ球サブ集団と T リンパ球の比率の測定</v>
      </c>
    </row>
    <row r="4981" spans="1:9" ht="30">
      <c r="A4981" s="3" t="s">
        <v>103</v>
      </c>
      <c r="B4981" s="3" t="s">
        <v>20545</v>
      </c>
      <c r="C4981" s="3" t="s">
        <v>20546</v>
      </c>
      <c r="D4981" s="3" t="s">
        <v>20547</v>
      </c>
      <c r="E4981" s="3" t="s">
        <v>20548</v>
      </c>
      <c r="F4981" s="3" t="s">
        <v>20549</v>
      </c>
      <c r="G4981" s="3" t="str">
        <f ca="1">IFERROR(__xludf.DUMMYFUNCTION("googletranslate(D4981,""en"",""ja"")"),"T リンパ球の細胞傷害性末端記憶。 TLym Cytx 用語メモリ")</f>
        <v>T リンパ球の細胞傷害性末端記憶。 TLym Cytx 用語メモリ</v>
      </c>
      <c r="H4981" s="3" t="str">
        <f ca="1">IFERROR(__xludf.DUMMYFUNCTION("googletranslate(E4981,""en"",""ja"")"),"生物学的標本中の細胞傷害性終末記憶 T リンパ球の測定。")</f>
        <v>生物学的標本中の細胞傷害性終末記憶 T リンパ球の測定。</v>
      </c>
      <c r="I4981" s="3" t="str">
        <f ca="1">IFERROR(__xludf.DUMMYFUNCTION("googletranslate(F4981,""en"",""ja"")"),"終末記憶細胞傷害性 T リンパ球数")</f>
        <v>終末記憶細胞傷害性 T リンパ球数</v>
      </c>
    </row>
    <row r="4982" spans="1:9" ht="45">
      <c r="A4982" s="3" t="s">
        <v>103</v>
      </c>
      <c r="B4982" s="3" t="s">
        <v>20550</v>
      </c>
      <c r="C4982" s="3" t="s">
        <v>20551</v>
      </c>
      <c r="D4982" s="3" t="s">
        <v>20552</v>
      </c>
      <c r="E4982" s="3" t="s">
        <v>20553</v>
      </c>
      <c r="F4982" s="3" t="s">
        <v>20554</v>
      </c>
      <c r="G4982" s="3" t="str">
        <f ca="1">IFERROR(__xludf.DUMMYFUNCTION("googletranslate(D4982,""en"",""ja"")"),"T リンパ球細胞傷害性終末記憶サブ集団。 TLym Cytx 用語メモリサブ")</f>
        <v>T リンパ球細胞傷害性終末記憶サブ集団。 TLym Cytx 用語メモリサブ</v>
      </c>
      <c r="H4982" s="3" t="str">
        <f ca="1">IFERROR(__xludf.DUMMYFUNCTION("googletranslate(E4982,""en"",""ja"")"),"生物学的標本中の細胞傷害性終末記憶 T リンパ球の部分集団の測定。")</f>
        <v>生物学的標本中の細胞傷害性終末記憶 T リンパ球の部分集団の測定。</v>
      </c>
      <c r="I4982" s="3" t="str">
        <f ca="1">IFERROR(__xludf.DUMMYFUNCTION("googletranslate(F4982,""en"",""ja"")"),"終末記憶細胞傷害性 T リンパ球部分集団数")</f>
        <v>終末記憶細胞傷害性 T リンパ球部分集団数</v>
      </c>
    </row>
    <row r="4983" spans="1:9" ht="75">
      <c r="A4983" s="3" t="s">
        <v>103</v>
      </c>
      <c r="B4983" s="3" t="s">
        <v>20555</v>
      </c>
      <c r="C4983" s="3" t="s">
        <v>20556</v>
      </c>
      <c r="D4983" s="3" t="s">
        <v>20557</v>
      </c>
      <c r="E4983" s="3" t="s">
        <v>20558</v>
      </c>
      <c r="F4983" s="3" t="s">
        <v>20559</v>
      </c>
      <c r="G4983" s="3" t="str">
        <f ca="1">IFERROR(__xludf.DUMMYFUNCTION("googletranslate(D4983,""en"",""ja"")"),"T リンパ球の細胞傷害性終末記憶サブ集団/T リンパ球の細胞傷害性終末記憶。 TLym Cytx 用語 Mem Sub/TLymCTM")</f>
        <v>T リンパ球の細胞傷害性終末記憶サブ集団/T リンパ球の細胞傷害性終末記憶。 TLym Cytx 用語 Mem Sub/TLymCTM</v>
      </c>
      <c r="H4983" s="3" t="str">
        <f ca="1">IFERROR(__xludf.DUMMYFUNCTION("googletranslate(E4983,""en"",""ja"")"),"生物学的標本中の総終末記憶細胞傷害性 T リンパ球に対する終末記憶細胞傷害性 T リンパ球の部分集団の相対測定値 (比率またはパーセンテージ)。")</f>
        <v>生物学的標本中の総終末記憶細胞傷害性 T リンパ球に対する終末記憶細胞傷害性 T リンパ球の部分集団の相対測定値 (比率またはパーセンテージ)。</v>
      </c>
      <c r="I4983" s="3" t="str">
        <f ca="1">IFERROR(__xludf.DUMMYFUNCTION("googletranslate(F4983,""en"",""ja"")"),"終末記憶細胞傷害性 T リンパ球サブ集団と終末記憶細胞傷害性 T リンパ球の比率の測定")</f>
        <v>終末記憶細胞傷害性 T リンパ球サブ集団と終末記憶細胞傷害性 T リンパ球の比率の測定</v>
      </c>
    </row>
    <row r="4984" spans="1:9" ht="45">
      <c r="A4984" s="3" t="s">
        <v>103</v>
      </c>
      <c r="B4984" s="3" t="s">
        <v>20560</v>
      </c>
      <c r="C4984" s="3" t="s">
        <v>20561</v>
      </c>
      <c r="D4984" s="3" t="s">
        <v>20562</v>
      </c>
      <c r="E4984" s="3" t="s">
        <v>20563</v>
      </c>
      <c r="F4984" s="3" t="s">
        <v>20564</v>
      </c>
      <c r="G4984" s="3" t="str">
        <f ca="1">IFERROR(__xludf.DUMMYFUNCTION("googletranslate(D4984,""en"",""ja"")"),"T リンパ球細胞毒性末端記憶/T リンパ球細胞毒性; TLym Cytx 用語 Mem/TLymC")</f>
        <v>T リンパ球細胞毒性末端記憶/T リンパ球細胞毒性; TLym Cytx 用語 Mem/TLymC</v>
      </c>
      <c r="H4984" s="3" t="str">
        <f ca="1">IFERROR(__xludf.DUMMYFUNCTION("googletranslate(E4984,""en"",""ja"")"),"生物学的検体中の総細胞傷害性 T リンパ球に対する終末記憶細胞傷害性 T リンパ球の相対測定値 (比率またはパーセンテージ)。")</f>
        <v>生物学的検体中の総細胞傷害性 T リンパ球に対する終末記憶細胞傷害性 T リンパ球の相対測定値 (比率またはパーセンテージ)。</v>
      </c>
      <c r="I4984" s="3" t="str">
        <f ca="1">IFERROR(__xludf.DUMMYFUNCTION("googletranslate(F4984,""en"",""ja"")"),"ターミナルメモリー細胞傷害性Tリンパ球と細胞傷害性Tリンパ球の比率測定")</f>
        <v>ターミナルメモリー細胞傷害性Tリンパ球と細胞傷害性Tリンパ球の比率測定</v>
      </c>
    </row>
    <row r="4985" spans="1:9" ht="30">
      <c r="A4985" s="3" t="s">
        <v>103</v>
      </c>
      <c r="B4985" s="3" t="s">
        <v>20565</v>
      </c>
      <c r="C4985" s="3" t="s">
        <v>20566</v>
      </c>
      <c r="D4985" s="3" t="s">
        <v>20567</v>
      </c>
      <c r="E4985" s="3" t="s">
        <v>20568</v>
      </c>
      <c r="F4985" s="3" t="s">
        <v>20569</v>
      </c>
      <c r="G4985" s="3" t="str">
        <f ca="1">IFERROR(__xludf.DUMMYFUNCTION("googletranslate(D4985,""en"",""ja"")"),"Tリンパ球エフェクター記憶。 Tリム・エフ・メム")</f>
        <v>Tリンパ球エフェクター記憶。 Tリム・エフ・メム</v>
      </c>
      <c r="H4985" s="3" t="str">
        <f ca="1">IFERROR(__xludf.DUMMYFUNCTION("googletranslate(E4985,""en"",""ja"")"),"生物学的標本中のエフェクターメモリー T リンパ球の測定。")</f>
        <v>生物学的標本中のエフェクターメモリー T リンパ球の測定。</v>
      </c>
      <c r="I4985" s="3" t="str">
        <f ca="1">IFERROR(__xludf.DUMMYFUNCTION("googletranslate(F4985,""en"",""ja"")"),"エフェクターメモリー T リンパ球数")</f>
        <v>エフェクターメモリー T リンパ球数</v>
      </c>
    </row>
    <row r="4986" spans="1:9" ht="30">
      <c r="A4986" s="3" t="s">
        <v>103</v>
      </c>
      <c r="B4986" s="3" t="s">
        <v>20570</v>
      </c>
      <c r="C4986" s="3" t="s">
        <v>20571</v>
      </c>
      <c r="D4986" s="3" t="s">
        <v>20572</v>
      </c>
      <c r="E4986" s="3" t="s">
        <v>20573</v>
      </c>
      <c r="F4986" s="3" t="s">
        <v>20574</v>
      </c>
      <c r="G4986" s="3" t="str">
        <f ca="1">IFERROR(__xludf.DUMMYFUNCTION("googletranslate(D4986,""en"",""ja"")"),"T リンパ球エフェクター記憶サブ集団。 TLym Eff Mem Sub")</f>
        <v>T リンパ球エフェクター記憶サブ集団。 TLym Eff Mem Sub</v>
      </c>
      <c r="H4986" s="3" t="str">
        <f ca="1">IFERROR(__xludf.DUMMYFUNCTION("googletranslate(E4986,""en"",""ja"")"),"生物学的標本中のエフェクターメモリー T リンパ球の部分集団の測定。")</f>
        <v>生物学的標本中のエフェクターメモリー T リンパ球の部分集団の測定。</v>
      </c>
      <c r="I4986" s="3" t="str">
        <f ca="1">IFERROR(__xludf.DUMMYFUNCTION("googletranslate(F4986,""en"",""ja"")"),"エフェクターメモリー T リンパ球部分集団数")</f>
        <v>エフェクターメモリー T リンパ球部分集団数</v>
      </c>
    </row>
    <row r="4987" spans="1:9" ht="45">
      <c r="A4987" s="3" t="s">
        <v>103</v>
      </c>
      <c r="B4987" s="3" t="s">
        <v>20575</v>
      </c>
      <c r="C4987" s="3" t="s">
        <v>20576</v>
      </c>
      <c r="D4987" s="3" t="s">
        <v>20577</v>
      </c>
      <c r="E4987" s="3" t="s">
        <v>20578</v>
      </c>
      <c r="F4987" s="3" t="s">
        <v>20579</v>
      </c>
      <c r="G4987" s="3" t="str">
        <f ca="1">IFERROR(__xludf.DUMMYFUNCTION("googletranslate(D4987,""en"",""ja"")"),"Tリンパ球ガンマデルタ; Tリンパ球TCRガンマデルタ; TCR ガンマデルタ T 細胞; TリムGD")</f>
        <v>Tリンパ球ガンマデルタ; Tリンパ球TCRガンマデルタ; TCR ガンマデルタ T 細胞; TリムGD</v>
      </c>
      <c r="H4987" s="3" t="str">
        <f ca="1">IFERROR(__xludf.DUMMYFUNCTION("googletranslate(E4987,""en"",""ja"")"),"生物学的標本中のガンマデルタ T リンパ球の測定。")</f>
        <v>生物学的標本中のガンマデルタ T リンパ球の測定。</v>
      </c>
      <c r="I4987" s="3" t="str">
        <f ca="1">IFERROR(__xludf.DUMMYFUNCTION("googletranslate(F4987,""en"",""ja"")"),"ガンマデルタ T リンパ球数")</f>
        <v>ガンマデルタ T リンパ球数</v>
      </c>
    </row>
    <row r="4988" spans="1:9" ht="60">
      <c r="A4988" s="3" t="s">
        <v>103</v>
      </c>
      <c r="B4988" s="3" t="s">
        <v>20580</v>
      </c>
      <c r="C4988" s="3" t="s">
        <v>20581</v>
      </c>
      <c r="D4988" s="3" t="s">
        <v>20582</v>
      </c>
      <c r="E4988" s="3" t="s">
        <v>20583</v>
      </c>
      <c r="F4988" s="3" t="s">
        <v>20584</v>
      </c>
      <c r="G4988" s="3" t="str">
        <f ca="1">IFERROR(__xludf.DUMMYFUNCTION("googletranslate(D4988,""en"",""ja"")"),"Tリンパ球 ガンマデルタ/白血球; TCR ガンマデルタ T 細胞/白血球。 TLym GD/ロイク")</f>
        <v>Tリンパ球 ガンマデルタ/白血球; TCR ガンマデルタ T 細胞/白血球。 TLym GD/ロイク</v>
      </c>
      <c r="H4988" s="3" t="str">
        <f ca="1">IFERROR(__xludf.DUMMYFUNCTION("googletranslate(E4988,""en"",""ja"")"),"生物学的標本中の白血球に対するガンマデルタ T リンパ球の相対測定値 (比率またはパーセンテージ)。")</f>
        <v>生物学的標本中の白血球に対するガンマデルタ T リンパ球の相対測定値 (比率またはパーセンテージ)。</v>
      </c>
      <c r="I4988" s="3" t="str">
        <f ca="1">IFERROR(__xludf.DUMMYFUNCTION("googletranslate(F4988,""en"",""ja"")"),"ガンマデルタTリンパ球と白血球の比率の測定")</f>
        <v>ガンマデルタTリンパ球と白血球の比率の測定</v>
      </c>
    </row>
    <row r="4989" spans="1:9" ht="60">
      <c r="A4989" s="3" t="s">
        <v>103</v>
      </c>
      <c r="B4989" s="3" t="s">
        <v>20585</v>
      </c>
      <c r="C4989" s="3" t="s">
        <v>20586</v>
      </c>
      <c r="D4989" s="3" t="s">
        <v>20587</v>
      </c>
      <c r="E4989" s="3" t="s">
        <v>20588</v>
      </c>
      <c r="F4989" s="3" t="s">
        <v>20589</v>
      </c>
      <c r="G4989" s="3" t="str">
        <f ca="1">IFERROR(__xludf.DUMMYFUNCTION("googletranslate(D4989,""en"",""ja"")"),"Tリンパ球 ガンマデルタ/リンパ球; TCR ガンマデルタ T 細胞/リンパ球; TLym GD/リム")</f>
        <v>Tリンパ球 ガンマデルタ/リンパ球; TCR ガンマデルタ T 細胞/リンパ球; TLym GD/リム</v>
      </c>
      <c r="H4989" s="3" t="str">
        <f ca="1">IFERROR(__xludf.DUMMYFUNCTION("googletranslate(E4989,""en"",""ja"")"),"生物学的標本中の全リンパ球に対するガンマデルタ T リンパ球の相対測定値 (比率またはパーセンテージ)。")</f>
        <v>生物学的標本中の全リンパ球に対するガンマデルタ T リンパ球の相対測定値 (比率またはパーセンテージ)。</v>
      </c>
      <c r="I4989" s="3" t="str">
        <f ca="1">IFERROR(__xludf.DUMMYFUNCTION("googletranslate(F4989,""en"",""ja"")"),"ガンマデルタ T リンパ球とリンパ球の比率の測定")</f>
        <v>ガンマデルタ T リンパ球とリンパ球の比率の測定</v>
      </c>
    </row>
    <row r="4990" spans="1:9" ht="60">
      <c r="A4990" s="3" t="s">
        <v>103</v>
      </c>
      <c r="B4990" s="3" t="s">
        <v>20590</v>
      </c>
      <c r="C4990" s="3" t="s">
        <v>20591</v>
      </c>
      <c r="D4990" s="3" t="s">
        <v>20592</v>
      </c>
      <c r="E4990" s="3" t="s">
        <v>20593</v>
      </c>
      <c r="F4990" s="3" t="s">
        <v>20594</v>
      </c>
      <c r="G4990" s="3" t="str">
        <f ca="1">IFERROR(__xludf.DUMMYFUNCTION("googletranslate(D4990,""en"",""ja"")"),"Tリンパ球ガンマデルタ部分集団。 Tリンパ球TCRガンマデルタ部分集団。 TLym GD サブ")</f>
        <v>Tリンパ球ガンマデルタ部分集団。 Tリンパ球TCRガンマデルタ部分集団。 TLym GD サブ</v>
      </c>
      <c r="H4990" s="3" t="str">
        <f ca="1">IFERROR(__xludf.DUMMYFUNCTION("googletranslate(E4990,""en"",""ja"")"),"生物学的標本中のガンマデルタ T リンパ球の部分集団の測定。")</f>
        <v>生物学的標本中のガンマデルタ T リンパ球の部分集団の測定。</v>
      </c>
      <c r="I4990" s="3" t="str">
        <f ca="1">IFERROR(__xludf.DUMMYFUNCTION("googletranslate(F4990,""en"",""ja"")"),"ガンマデルタ T リンパ球部分集団数")</f>
        <v>ガンマデルタ T リンパ球部分集団数</v>
      </c>
    </row>
    <row r="4991" spans="1:9" ht="75">
      <c r="A4991" s="3" t="s">
        <v>103</v>
      </c>
      <c r="B4991" s="3" t="s">
        <v>20595</v>
      </c>
      <c r="C4991" s="3" t="s">
        <v>20596</v>
      </c>
      <c r="D4991" s="3" t="s">
        <v>20597</v>
      </c>
      <c r="E4991" s="3" t="s">
        <v>20598</v>
      </c>
      <c r="F4991" s="3" t="s">
        <v>20599</v>
      </c>
      <c r="G4991" s="3" t="str">
        <f ca="1">IFERROR(__xludf.DUMMYFUNCTION("googletranslate(D4991,""en"",""ja"")"),"T リンパ球ガンマ デルタ サブ集団/T リンパ球ガンマ デルタ; TCR ガンマ デルタ T 細胞 サブ/TCR ガンマ デルタ T 細胞; TLym GD サブ/TLym GD")</f>
        <v>T リンパ球ガンマ デルタ サブ集団/T リンパ球ガンマ デルタ; TCR ガンマ デルタ T 細胞 サブ/TCR ガンマ デルタ T 細胞; TLym GD サブ/TLym GD</v>
      </c>
      <c r="H4991" s="3" t="str">
        <f ca="1">IFERROR(__xludf.DUMMYFUNCTION("googletranslate(E4991,""en"",""ja"")"),"生物学的標本中の総ガンマ デルタ T リンパ球に対するガンマ デルタ T リンパ球の部分集団の相対測定値 (比率またはパーセンテージ)。")</f>
        <v>生物学的標本中の総ガンマ デルタ T リンパ球に対するガンマ デルタ T リンパ球の部分集団の相対測定値 (比率またはパーセンテージ)。</v>
      </c>
      <c r="I4991" s="3" t="str">
        <f ca="1">IFERROR(__xludf.DUMMYFUNCTION("googletranslate(F4991,""en"",""ja"")"),"ガンマ デルタ T リンパ球サブ集団とガンマ デルタ T リンパ球の比率の測定")</f>
        <v>ガンマ デルタ T リンパ球サブ集団とガンマ デルタ T リンパ球の比率の測定</v>
      </c>
    </row>
    <row r="4992" spans="1:9" ht="60">
      <c r="A4992" s="3" t="s">
        <v>103</v>
      </c>
      <c r="B4992" s="3" t="s">
        <v>20600</v>
      </c>
      <c r="C4992" s="3" t="s">
        <v>20601</v>
      </c>
      <c r="D4992" s="3" t="s">
        <v>20602</v>
      </c>
      <c r="E4992" s="3" t="s">
        <v>20603</v>
      </c>
      <c r="F4992" s="3" t="s">
        <v>20604</v>
      </c>
      <c r="G4992" s="3" t="str">
        <f ca="1">IFERROR(__xludf.DUMMYFUNCTION("googletranslate(D4992,""en"",""ja"")"),"T リンパ球 ガンマ デルタ/T リンパ球; TCR ガンマデルタ T 細胞/T リンパ球; TLym GD/TLym")</f>
        <v>T リンパ球 ガンマ デルタ/T リンパ球; TCR ガンマデルタ T 細胞/T リンパ球; TLym GD/TLym</v>
      </c>
      <c r="H4992" s="3" t="str">
        <f ca="1">IFERROR(__xludf.DUMMYFUNCTION("googletranslate(E4992,""en"",""ja"")"),"生物学的検体中の総 T リンパ球に対するガンマ デルタ T リンパ球の相対測定値 (比率またはパーセンテージ)。")</f>
        <v>生物学的検体中の総 T リンパ球に対するガンマ デルタ T リンパ球の相対測定値 (比率またはパーセンテージ)。</v>
      </c>
      <c r="I4992" s="3" t="str">
        <f ca="1">IFERROR(__xludf.DUMMYFUNCTION("googletranslate(F4992,""en"",""ja"")"),"ガンマデルタ T リンパ球と T リンパ球の比率の測定")</f>
        <v>ガンマデルタ T リンパ球と T リンパ球の比率の測定</v>
      </c>
    </row>
    <row r="4993" spans="1:9" ht="30">
      <c r="A4993" s="3" t="s">
        <v>103</v>
      </c>
      <c r="B4993" s="3" t="s">
        <v>20605</v>
      </c>
      <c r="C4993" s="3" t="s">
        <v>20606</v>
      </c>
      <c r="D4993" s="3" t="s">
        <v>20607</v>
      </c>
      <c r="E4993" s="3" t="s">
        <v>20608</v>
      </c>
      <c r="F4993" s="3" t="s">
        <v>20609</v>
      </c>
      <c r="G4993" s="3" t="str">
        <f ca="1">IFERROR(__xludf.DUMMYFUNCTION("googletranslate(D4993,""en"",""ja"")"),"T リンパ球ヘルパー 1; Th1; Tlym ヘルプ 1")</f>
        <v>T リンパ球ヘルパー 1; Th1; Tlym ヘルプ 1</v>
      </c>
      <c r="H4993" s="3" t="str">
        <f ca="1">IFERROR(__xludf.DUMMYFUNCTION("googletranslate(E4993,""en"",""ja"")"),"生物学的標本中のヘルパー 1 T リンパ球の測定。")</f>
        <v>生物学的標本中のヘルパー 1 T リンパ球の測定。</v>
      </c>
      <c r="I4993" s="3" t="str">
        <f ca="1">IFERROR(__xludf.DUMMYFUNCTION("googletranslate(F4993,""en"",""ja"")"),"ヘルパー 1 T リンパ球数")</f>
        <v>ヘルパー 1 T リンパ球数</v>
      </c>
    </row>
    <row r="4994" spans="1:9" ht="30">
      <c r="A4994" s="3" t="s">
        <v>103</v>
      </c>
      <c r="B4994" s="3" t="s">
        <v>20610</v>
      </c>
      <c r="C4994" s="3" t="s">
        <v>20611</v>
      </c>
      <c r="D4994" s="3" t="s">
        <v>20612</v>
      </c>
      <c r="E4994" s="3" t="s">
        <v>20613</v>
      </c>
      <c r="F4994" s="3" t="s">
        <v>20614</v>
      </c>
      <c r="G4994" s="3" t="str">
        <f ca="1">IFERROR(__xludf.DUMMYFUNCTION("googletranslate(D4994,""en"",""ja"")"),"Tリンパ球ヘルパー17; Th17; Tlym ヘルプ 17")</f>
        <v>Tリンパ球ヘルパー17; Th17; Tlym ヘルプ 17</v>
      </c>
      <c r="H4994" s="3" t="str">
        <f ca="1">IFERROR(__xludf.DUMMYFUNCTION("googletranslate(E4994,""en"",""ja"")"),"生物学的標本中のヘルパー 17 T リンパ球の測定。")</f>
        <v>生物学的標本中のヘルパー 17 T リンパ球の測定。</v>
      </c>
      <c r="I4994" s="3" t="str">
        <f ca="1">IFERROR(__xludf.DUMMYFUNCTION("googletranslate(F4994,""en"",""ja"")"),"ヘルパー 17 T リンパ球数")</f>
        <v>ヘルパー 17 T リンパ球数</v>
      </c>
    </row>
    <row r="4995" spans="1:9" ht="30">
      <c r="A4995" s="3" t="s">
        <v>103</v>
      </c>
      <c r="B4995" s="3" t="s">
        <v>20615</v>
      </c>
      <c r="C4995" s="3" t="s">
        <v>20616</v>
      </c>
      <c r="D4995" s="3" t="s">
        <v>20617</v>
      </c>
      <c r="E4995" s="3" t="s">
        <v>20618</v>
      </c>
      <c r="F4995" s="3" t="s">
        <v>20619</v>
      </c>
      <c r="G4995" s="3" t="str">
        <f ca="1">IFERROR(__xludf.DUMMYFUNCTION("googletranslate(D4995,""en"",""ja"")"),"Tリンパ球ヘルパー17.1; Th17.1; Tlym ヘルプ 17.1")</f>
        <v>Tリンパ球ヘルパー17.1; Th17.1; Tlym ヘルプ 17.1</v>
      </c>
      <c r="H4995" s="3" t="str">
        <f ca="1">IFERROR(__xludf.DUMMYFUNCTION("googletranslate(E4995,""en"",""ja"")"),"生物学的標本中のヘルパー 17.1 T リンパ球の測定。")</f>
        <v>生物学的標本中のヘルパー 17.1 T リンパ球の測定。</v>
      </c>
      <c r="I4995" s="3" t="str">
        <f ca="1">IFERROR(__xludf.DUMMYFUNCTION("googletranslate(F4995,""en"",""ja"")"),"ヘルパー 17.1 T リンパ球数")</f>
        <v>ヘルパー 17.1 T リンパ球数</v>
      </c>
    </row>
    <row r="4996" spans="1:9" ht="45">
      <c r="A4996" s="3" t="s">
        <v>103</v>
      </c>
      <c r="B4996" s="3" t="s">
        <v>20620</v>
      </c>
      <c r="C4996" s="3" t="s">
        <v>20621</v>
      </c>
      <c r="D4996" s="3" t="s">
        <v>20622</v>
      </c>
      <c r="E4996" s="3" t="s">
        <v>20623</v>
      </c>
      <c r="F4996" s="3" t="s">
        <v>20624</v>
      </c>
      <c r="G4996" s="3" t="str">
        <f ca="1">IFERROR(__xludf.DUMMYFUNCTION("googletranslate(D4996,""en"",""ja"")"),"T リンパ球ヘルパー 17.1 部分集団。 Th17.1サブ; TLym ヘルプ 17.1 サブ")</f>
        <v>T リンパ球ヘルパー 17.1 部分集団。 Th17.1サブ; TLym ヘルプ 17.1 サブ</v>
      </c>
      <c r="H4996" s="3" t="str">
        <f ca="1">IFERROR(__xludf.DUMMYFUNCTION("googletranslate(E4996,""en"",""ja"")"),"生物学的標本中のヘルパー 17.1 T リンパ球の部分集団の測定。")</f>
        <v>生物学的標本中のヘルパー 17.1 T リンパ球の部分集団の測定。</v>
      </c>
      <c r="I4996" s="3" t="str">
        <f ca="1">IFERROR(__xludf.DUMMYFUNCTION("googletranslate(F4996,""en"",""ja"")"),"ヘルパー 17.1 T リンパ球部分集団数")</f>
        <v>ヘルパー 17.1 T リンパ球部分集団数</v>
      </c>
    </row>
    <row r="4997" spans="1:9" ht="45">
      <c r="A4997" s="3" t="s">
        <v>103</v>
      </c>
      <c r="B4997" s="3" t="s">
        <v>20625</v>
      </c>
      <c r="C4997" s="3" t="s">
        <v>20626</v>
      </c>
      <c r="D4997" s="3" t="s">
        <v>20627</v>
      </c>
      <c r="E4997" s="3" t="s">
        <v>20628</v>
      </c>
      <c r="F4997" s="3" t="s">
        <v>20629</v>
      </c>
      <c r="G4997" s="3" t="str">
        <f ca="1">IFERROR(__xludf.DUMMYFUNCTION("googletranslate(D4997,""en"",""ja"")"),"T リンパ球ヘルパー 17 サブ集団。 Th17サブ; TLym ヘルプ 17 Su")</f>
        <v>T リンパ球ヘルパー 17 サブ集団。 Th17サブ; TLym ヘルプ 17 Su</v>
      </c>
      <c r="H4997" s="3" t="str">
        <f ca="1">IFERROR(__xludf.DUMMYFUNCTION("googletranslate(E4997,""en"",""ja"")"),"生物学的標本中のヘルパー 17 T リンパ球の部分集団の測定。")</f>
        <v>生物学的標本中のヘルパー 17 T リンパ球の部分集団の測定。</v>
      </c>
      <c r="I4997" s="3" t="str">
        <f ca="1">IFERROR(__xludf.DUMMYFUNCTION("googletranslate(F4997,""en"",""ja"")"),"ヘルパー 17 T リンパ球部分集団の数")</f>
        <v>ヘルパー 17 T リンパ球部分集団の数</v>
      </c>
    </row>
    <row r="4998" spans="1:9" ht="45">
      <c r="A4998" s="3" t="s">
        <v>103</v>
      </c>
      <c r="B4998" s="3" t="s">
        <v>20630</v>
      </c>
      <c r="C4998" s="3" t="s">
        <v>20631</v>
      </c>
      <c r="D4998" s="3" t="s">
        <v>20632</v>
      </c>
      <c r="E4998" s="3" t="s">
        <v>20633</v>
      </c>
      <c r="F4998" s="3" t="s">
        <v>20634</v>
      </c>
      <c r="G4998" s="3" t="str">
        <f ca="1">IFERROR(__xludf.DUMMYFUNCTION("googletranslate(D4998,""en"",""ja"")"),"T リンパ球ヘルパー 1 サブ集団。 Th1 サブ; TLym ヘルプ 1 サブ")</f>
        <v>T リンパ球ヘルパー 1 サブ集団。 Th1 サブ; TLym ヘルプ 1 サブ</v>
      </c>
      <c r="H4998" s="3" t="str">
        <f ca="1">IFERROR(__xludf.DUMMYFUNCTION("googletranslate(E4998,""en"",""ja"")"),"生物学的標本中のヘルパー 1 T リンパ球の部分集団の測定。")</f>
        <v>生物学的標本中のヘルパー 1 T リンパ球の部分集団の測定。</v>
      </c>
      <c r="I4998" s="3" t="str">
        <f ca="1">IFERROR(__xludf.DUMMYFUNCTION("googletranslate(F4998,""en"",""ja"")"),"ヘルパー 1 T リンパ球部分集団の数")</f>
        <v>ヘルパー 1 T リンパ球部分集団の数</v>
      </c>
    </row>
    <row r="4999" spans="1:9" ht="30">
      <c r="A4999" s="3" t="s">
        <v>103</v>
      </c>
      <c r="B4999" s="3" t="s">
        <v>20635</v>
      </c>
      <c r="C4999" s="3" t="s">
        <v>20636</v>
      </c>
      <c r="D4999" s="3" t="s">
        <v>20637</v>
      </c>
      <c r="E4999" s="3" t="s">
        <v>20638</v>
      </c>
      <c r="F4999" s="3" t="s">
        <v>20639</v>
      </c>
      <c r="G4999" s="3" t="str">
        <f ca="1">IFERROR(__xludf.DUMMYFUNCTION("googletranslate(D4999,""en"",""ja"")"),"Tリンパ球ヘルパー2; Th2; Tlym ヘルプ 2")</f>
        <v>Tリンパ球ヘルパー2; Th2; Tlym ヘルプ 2</v>
      </c>
      <c r="H4999" s="3" t="str">
        <f ca="1">IFERROR(__xludf.DUMMYFUNCTION("googletranslate(E4999,""en"",""ja"")"),"生物学的標本中のヘルパー 2 T リンパ球の測定。")</f>
        <v>生物学的標本中のヘルパー 2 T リンパ球の測定。</v>
      </c>
      <c r="I4999" s="3" t="str">
        <f ca="1">IFERROR(__xludf.DUMMYFUNCTION("googletranslate(F4999,""en"",""ja"")"),"ヘルパー 2 T リンパ球数")</f>
        <v>ヘルパー 2 T リンパ球数</v>
      </c>
    </row>
    <row r="5000" spans="1:9" ht="30">
      <c r="A5000" s="3" t="s">
        <v>103</v>
      </c>
      <c r="B5000" s="3" t="s">
        <v>20640</v>
      </c>
      <c r="C5000" s="3" t="s">
        <v>20641</v>
      </c>
      <c r="D5000" s="3" t="s">
        <v>20642</v>
      </c>
      <c r="E5000" s="3" t="s">
        <v>20643</v>
      </c>
      <c r="F5000" s="3" t="s">
        <v>20644</v>
      </c>
      <c r="G5000" s="3" t="str">
        <f ca="1">IFERROR(__xludf.DUMMYFUNCTION("googletranslate(D5000,""en"",""ja"")"),"Tリンパ球ヘルパー22; Th22; Tlym ヘルプ 22")</f>
        <v>Tリンパ球ヘルパー22; Th22; Tlym ヘルプ 22</v>
      </c>
      <c r="H5000" s="3" t="str">
        <f ca="1">IFERROR(__xludf.DUMMYFUNCTION("googletranslate(E5000,""en"",""ja"")"),"生物学的標本中のヘルパー 22 T リンパ球の測定。")</f>
        <v>生物学的標本中のヘルパー 22 T リンパ球の測定。</v>
      </c>
      <c r="I5000" s="3" t="str">
        <f ca="1">IFERROR(__xludf.DUMMYFUNCTION("googletranslate(F5000,""en"",""ja"")"),"ヘルパー 22 T リンパ球数")</f>
        <v>ヘルパー 22 T リンパ球数</v>
      </c>
    </row>
    <row r="5001" spans="1:9" ht="45">
      <c r="A5001" s="3" t="s">
        <v>103</v>
      </c>
      <c r="B5001" s="3" t="s">
        <v>20645</v>
      </c>
      <c r="C5001" s="3" t="s">
        <v>20646</v>
      </c>
      <c r="D5001" s="3" t="s">
        <v>20647</v>
      </c>
      <c r="E5001" s="3" t="s">
        <v>20648</v>
      </c>
      <c r="F5001" s="3" t="s">
        <v>20649</v>
      </c>
      <c r="G5001" s="3" t="str">
        <f ca="1">IFERROR(__xludf.DUMMYFUNCTION("googletranslate(D5001,""en"",""ja"")"),"T リンパ球ヘルパー 22 サブ集団。 Th22サブ; TLym ヘルプ 22 サブ")</f>
        <v>T リンパ球ヘルパー 22 サブ集団。 Th22サブ; TLym ヘルプ 22 サブ</v>
      </c>
      <c r="H5001" s="3" t="str">
        <f ca="1">IFERROR(__xludf.DUMMYFUNCTION("googletranslate(E5001,""en"",""ja"")"),"生物学的標本中のヘルパー 22 T リンパ球の部分集団の測定。")</f>
        <v>生物学的標本中のヘルパー 22 T リンパ球の部分集団の測定。</v>
      </c>
      <c r="I5001" s="3" t="str">
        <f ca="1">IFERROR(__xludf.DUMMYFUNCTION("googletranslate(F5001,""en"",""ja"")"),"ヘルパー 22 T リンパ球部分集団の数")</f>
        <v>ヘルパー 22 T リンパ球部分集団の数</v>
      </c>
    </row>
    <row r="5002" spans="1:9" ht="45">
      <c r="A5002" s="3" t="s">
        <v>103</v>
      </c>
      <c r="B5002" s="3" t="s">
        <v>20650</v>
      </c>
      <c r="C5002" s="3" t="s">
        <v>20651</v>
      </c>
      <c r="D5002" s="3" t="s">
        <v>20652</v>
      </c>
      <c r="E5002" s="3" t="s">
        <v>20653</v>
      </c>
      <c r="F5002" s="3" t="s">
        <v>20654</v>
      </c>
      <c r="G5002" s="3" t="str">
        <f ca="1">IFERROR(__xludf.DUMMYFUNCTION("googletranslate(D5002,""en"",""ja"")"),"T リンパ球ヘルパー 2 サブ集団。 Th2サブ; Tlym ヘルプ 2 サブ")</f>
        <v>T リンパ球ヘルパー 2 サブ集団。 Th2サブ; Tlym ヘルプ 2 サブ</v>
      </c>
      <c r="H5002" s="3" t="str">
        <f ca="1">IFERROR(__xludf.DUMMYFUNCTION("googletranslate(E5002,""en"",""ja"")"),"生物学的標本中のヘルパー 2 T リンパ球の部分集団の測定。")</f>
        <v>生物学的標本中のヘルパー 2 T リンパ球の部分集団の測定。</v>
      </c>
      <c r="I5002" s="3" t="str">
        <f ca="1">IFERROR(__xludf.DUMMYFUNCTION("googletranslate(F5002,""en"",""ja"")"),"ヘルパー 2 T リンパ球部分集団の数")</f>
        <v>ヘルパー 2 T リンパ球部分集団の数</v>
      </c>
    </row>
    <row r="5003" spans="1:9" ht="30">
      <c r="A5003" s="3" t="s">
        <v>103</v>
      </c>
      <c r="B5003" s="3" t="s">
        <v>20655</v>
      </c>
      <c r="C5003" s="3" t="s">
        <v>20656</v>
      </c>
      <c r="D5003" s="3" t="s">
        <v>20657</v>
      </c>
      <c r="E5003" s="3" t="s">
        <v>20658</v>
      </c>
      <c r="F5003" s="3" t="s">
        <v>20659</v>
      </c>
      <c r="G5003" s="3" t="str">
        <f ca="1">IFERROR(__xludf.DUMMYFUNCTION("googletranslate(D5003,""en"",""ja"")"),"Tリンパ球ヘルパー9; Th9; Tlym ヘルプ 9")</f>
        <v>Tリンパ球ヘルパー9; Th9; Tlym ヘルプ 9</v>
      </c>
      <c r="H5003" s="3" t="str">
        <f ca="1">IFERROR(__xludf.DUMMYFUNCTION("googletranslate(E5003,""en"",""ja"")"),"生物学的標本中のヘルパー 9 T リンパ球の測定。")</f>
        <v>生物学的標本中のヘルパー 9 T リンパ球の測定。</v>
      </c>
      <c r="I5003" s="3" t="str">
        <f ca="1">IFERROR(__xludf.DUMMYFUNCTION("googletranslate(F5003,""en"",""ja"")"),"ヘルパー 9 T リンパ球数")</f>
        <v>ヘルパー 9 T リンパ球数</v>
      </c>
    </row>
    <row r="5004" spans="1:9" ht="45">
      <c r="A5004" s="3" t="s">
        <v>103</v>
      </c>
      <c r="B5004" s="3" t="s">
        <v>20660</v>
      </c>
      <c r="C5004" s="3" t="s">
        <v>20661</v>
      </c>
      <c r="D5004" s="3" t="s">
        <v>20662</v>
      </c>
      <c r="E5004" s="3" t="s">
        <v>20648</v>
      </c>
      <c r="F5004" s="3" t="s">
        <v>20663</v>
      </c>
      <c r="G5004" s="3" t="str">
        <f ca="1">IFERROR(__xludf.DUMMYFUNCTION("googletranslate(D5004,""en"",""ja"")"),"T リンパ球ヘルパー 9 サブ集団。 Th9サブ; TLym ヘルプ 9 サブ")</f>
        <v>T リンパ球ヘルパー 9 サブ集団。 Th9サブ; TLym ヘルプ 9 サブ</v>
      </c>
      <c r="H5004" s="3" t="str">
        <f ca="1">IFERROR(__xludf.DUMMYFUNCTION("googletranslate(E5004,""en"",""ja"")"),"生物学的標本中のヘルパー 22 T リンパ球の部分集団の測定。")</f>
        <v>生物学的標本中のヘルパー 22 T リンパ球の部分集団の測定。</v>
      </c>
      <c r="I5004" s="3" t="str">
        <f ca="1">IFERROR(__xludf.DUMMYFUNCTION("googletranslate(F5004,""en"",""ja"")"),"ヘルパー 9 T リンパ球部分集団の数")</f>
        <v>ヘルパー 9 T リンパ球部分集団の数</v>
      </c>
    </row>
    <row r="5005" spans="1:9" ht="60">
      <c r="A5005" s="3" t="s">
        <v>103</v>
      </c>
      <c r="B5005" s="3" t="s">
        <v>20664</v>
      </c>
      <c r="C5005" s="3" t="s">
        <v>20665</v>
      </c>
      <c r="D5005" s="3" t="s">
        <v>20666</v>
      </c>
      <c r="E5005" s="3" t="s">
        <v>20667</v>
      </c>
      <c r="F5005" s="3" t="s">
        <v>20668</v>
      </c>
      <c r="G5005" s="3" t="str">
        <f ca="1">IFERROR(__xludf.DUMMYFUNCTION("googletranslate(D5005,""en"",""ja"")"),"T リンパ球ヘルパー アルファ - ベータ; Tリンパ球ヘルパーTCRアルファ-ベータ; Tlym ヘルプ AB")</f>
        <v>T リンパ球ヘルパー アルファ - ベータ; Tリンパ球ヘルパーTCRアルファ-ベータ; Tlym ヘルプ AB</v>
      </c>
      <c r="H5005" s="3" t="str">
        <f ca="1">IFERROR(__xludf.DUMMYFUNCTION("googletranslate(E5005,""en"",""ja"")"),"生物学的標本中のヘルパー アルファ ベータ T リンパ球の測定。")</f>
        <v>生物学的標本中のヘルパー アルファ ベータ T リンパ球の測定。</v>
      </c>
      <c r="I5005" s="3" t="str">
        <f ca="1">IFERROR(__xludf.DUMMYFUNCTION("googletranslate(F5005,""en"",""ja"")"),"アルファベータヘルパーTリンパ球数")</f>
        <v>アルファベータヘルパーTリンパ球数</v>
      </c>
    </row>
    <row r="5006" spans="1:9" ht="60">
      <c r="A5006" s="3" t="s">
        <v>103</v>
      </c>
      <c r="B5006" s="3" t="s">
        <v>20669</v>
      </c>
      <c r="C5006" s="3" t="s">
        <v>20670</v>
      </c>
      <c r="D5006" s="3" t="s">
        <v>20671</v>
      </c>
      <c r="E5006" s="3" t="s">
        <v>20672</v>
      </c>
      <c r="F5006" s="3" t="s">
        <v>20673</v>
      </c>
      <c r="G5006" s="3" t="str">
        <f ca="1">IFERROR(__xludf.DUMMYFUNCTION("googletranslate(D5006,""en"",""ja"")"),"T リンパ球ヘルパー アルファ - ベータ サブ集団。 T リンパ球ヘルパー TCR アルファ-ベータ サブ集団。 TLym ヘルプ AB サブ")</f>
        <v>T リンパ球ヘルパー アルファ - ベータ サブ集団。 T リンパ球ヘルパー TCR アルファ-ベータ サブ集団。 TLym ヘルプ AB サブ</v>
      </c>
      <c r="H5006" s="3" t="str">
        <f ca="1">IFERROR(__xludf.DUMMYFUNCTION("googletranslate(E5006,""en"",""ja"")"),"生物学的標本中のヘルパー アルファ ベータ T リンパ球の部分集団の測定。")</f>
        <v>生物学的標本中のヘルパー アルファ ベータ T リンパ球の部分集団の測定。</v>
      </c>
      <c r="I5006" s="3" t="str">
        <f ca="1">IFERROR(__xludf.DUMMYFUNCTION("googletranslate(F5006,""en"",""ja"")"),"アルファ-ベータヘルパーTリンパ球部分集団数")</f>
        <v>アルファ-ベータヘルパーTリンパ球部分集団数</v>
      </c>
    </row>
    <row r="5007" spans="1:9" ht="75">
      <c r="A5007" s="3" t="s">
        <v>103</v>
      </c>
      <c r="B5007" s="3" t="s">
        <v>20674</v>
      </c>
      <c r="C5007" s="3" t="s">
        <v>20675</v>
      </c>
      <c r="D5007" s="3" t="s">
        <v>20676</v>
      </c>
      <c r="E5007" s="3" t="s">
        <v>20677</v>
      </c>
      <c r="F5007" s="3" t="s">
        <v>20678</v>
      </c>
      <c r="G5007" s="3" t="str">
        <f ca="1">IFERROR(__xludf.DUMMYFUNCTION("googletranslate(D5007,""en"",""ja"")"),"T細胞、ヘルパー/トータル細胞; T-Lym、ヘルパー/トータルセル。 T リンパ球、ヘルパー/トータル細胞; TLym ヘルプ/セルの合計")</f>
        <v>T細胞、ヘルパー/トータル細胞; T-Lym、ヘルパー/トータルセル。 T リンパ球、ヘルパー/トータル細胞; TLym ヘルプ/セルの合計</v>
      </c>
      <c r="H5007" s="3" t="str">
        <f ca="1">IFERROR(__xludf.DUMMYFUNCTION("googletranslate(E5007,""en"",""ja"")"),"生物学的標本の全細胞に対するヘルパー T リンパ球の相対的な測定値 (比率またはパーセンテージ)。")</f>
        <v>生物学的標本の全細胞に対するヘルパー T リンパ球の相対的な測定値 (比率またはパーセンテージ)。</v>
      </c>
      <c r="I5007" s="3" t="str">
        <f ca="1">IFERROR(__xludf.DUMMYFUNCTION("googletranslate(F5007,""en"",""ja"")"),"ヘルパー T リンパ球と総細胞の比率の測定")</f>
        <v>ヘルパー T リンパ球と総細胞の比率の測定</v>
      </c>
    </row>
    <row r="5008" spans="1:9" ht="45">
      <c r="A5008" s="3" t="s">
        <v>103</v>
      </c>
      <c r="B5008" s="3" t="s">
        <v>20679</v>
      </c>
      <c r="C5008" s="3" t="s">
        <v>20680</v>
      </c>
      <c r="D5008" s="3" t="s">
        <v>20681</v>
      </c>
      <c r="E5008" s="3" t="s">
        <v>20682</v>
      </c>
      <c r="F5008" s="3" t="s">
        <v>20683</v>
      </c>
      <c r="G5008" s="3" t="str">
        <f ca="1">IFERROR(__xludf.DUMMYFUNCTION("googletranslate(D5008,""en"",""ja"")"),"T リンパ球は中央記憶をヘルパーします。 TLym ヘルプセンメム")</f>
        <v>T リンパ球は中央記憶をヘルパーします。 TLym ヘルプセンメム</v>
      </c>
      <c r="H5008" s="3" t="str">
        <f ca="1">IFERROR(__xludf.DUMMYFUNCTION("googletranslate(E5008,""en"",""ja"")"),"生物学的標本中のヘルパー中枢記憶 T リンパ球の測定。")</f>
        <v>生物学的標本中のヘルパー中枢記憶 T リンパ球の測定。</v>
      </c>
      <c r="I5008" s="3" t="str">
        <f ca="1">IFERROR(__xludf.DUMMYFUNCTION("googletranslate(F5008,""en"",""ja"")"),"セントラルメモリーヘルパーTリンパ球数")</f>
        <v>セントラルメモリーヘルパーTリンパ球数</v>
      </c>
    </row>
    <row r="5009" spans="1:9" ht="45">
      <c r="A5009" s="3" t="s">
        <v>103</v>
      </c>
      <c r="B5009" s="3" t="s">
        <v>20684</v>
      </c>
      <c r="C5009" s="3" t="s">
        <v>20685</v>
      </c>
      <c r="D5009" s="3" t="s">
        <v>20686</v>
      </c>
      <c r="E5009" s="3" t="s">
        <v>20687</v>
      </c>
      <c r="F5009" s="3" t="s">
        <v>20688</v>
      </c>
      <c r="G5009" s="3" t="str">
        <f ca="1">IFERROR(__xludf.DUMMYFUNCTION("googletranslate(D5009,""en"",""ja"")"),"T リンパ球ヘルパー中枢記憶サブ集団。 TLym ヘルプ Cen Mem Sub")</f>
        <v>T リンパ球ヘルパー中枢記憶サブ集団。 TLym ヘルプ Cen Mem Sub</v>
      </c>
      <c r="H5009" s="3" t="str">
        <f ca="1">IFERROR(__xludf.DUMMYFUNCTION("googletranslate(E5009,""en"",""ja"")"),"生物学的標本中のヘルパー中枢記憶 T リンパ球の部分集団の測定。")</f>
        <v>生物学的標本中のヘルパー中枢記憶 T リンパ球の部分集団の測定。</v>
      </c>
      <c r="I5009" s="3" t="str">
        <f ca="1">IFERROR(__xludf.DUMMYFUNCTION("googletranslate(F5009,""en"",""ja"")"),"セントラルメモリーヘルパーTリンパ球サブ集団数")</f>
        <v>セントラルメモリーヘルパーTリンパ球サブ集団数</v>
      </c>
    </row>
    <row r="5010" spans="1:9" ht="75">
      <c r="A5010" s="3" t="s">
        <v>103</v>
      </c>
      <c r="B5010" s="3" t="s">
        <v>20689</v>
      </c>
      <c r="C5010" s="3" t="s">
        <v>20690</v>
      </c>
      <c r="D5010" s="3" t="s">
        <v>20691</v>
      </c>
      <c r="E5010" s="3" t="s">
        <v>20692</v>
      </c>
      <c r="F5010" s="3" t="s">
        <v>20693</v>
      </c>
      <c r="G5010" s="3" t="str">
        <f ca="1">IFERROR(__xludf.DUMMYFUNCTION("googletranslate(D5010,""en"",""ja"")"),"T リンパ球ヘルパー中央記憶サブ集団/T リンパ球ヘルパー中央記憶。 TLym ヘルプ Cen Mem Sub/TLymHCM")</f>
        <v>T リンパ球ヘルパー中央記憶サブ集団/T リンパ球ヘルパー中央記憶。 TLym ヘルプ Cen Mem Sub/TLymHCM</v>
      </c>
      <c r="H5010" s="3" t="str">
        <f ca="1">IFERROR(__xludf.DUMMYFUNCTION("googletranslate(E5010,""en"",""ja"")"),"生物学的標本中の総ヘルパーセントラルメモリー T リンパ球に対するヘルパーセントラルメモリー T リンパ球の部分集団の相対測定値 (比率またはパーセンテージ)。")</f>
        <v>生物学的標本中の総ヘルパーセントラルメモリー T リンパ球に対するヘルパーセントラルメモリー T リンパ球の部分集団の相対測定値 (比率またはパーセンテージ)。</v>
      </c>
      <c r="I5010" s="3" t="str">
        <f ca="1">IFERROR(__xludf.DUMMYFUNCTION("googletranslate(F5010,""en"",""ja"")"),"セントラルメモリーヘルパーTリンパ球サブ集団とセントラルメモリーヘルパーTリンパ球の比率の測定")</f>
        <v>セントラルメモリーヘルパーTリンパ球サブ集団とセントラルメモリーヘルパーTリンパ球の比率の測定</v>
      </c>
    </row>
    <row r="5011" spans="1:9" ht="60">
      <c r="A5011" s="3" t="s">
        <v>103</v>
      </c>
      <c r="B5011" s="3" t="s">
        <v>20694</v>
      </c>
      <c r="C5011" s="3" t="s">
        <v>20695</v>
      </c>
      <c r="D5011" s="3" t="s">
        <v>20696</v>
      </c>
      <c r="E5011" s="3" t="s">
        <v>20697</v>
      </c>
      <c r="F5011" s="3" t="s">
        <v>20698</v>
      </c>
      <c r="G5011" s="3" t="str">
        <f ca="1">IFERROR(__xludf.DUMMYFUNCTION("googletranslate(D5011,""en"",""ja"")"),"T リンパ球ヘルパー 中央記憶サブ集団/T リンパ球ヘルパー; TLym ヘルプ Cen Mem Sub/TLym ヘルプ")</f>
        <v>T リンパ球ヘルパー 中央記憶サブ集団/T リンパ球ヘルパー; TLym ヘルプ Cen Mem Sub/TLym ヘルプ</v>
      </c>
      <c r="H5011" s="3" t="str">
        <f ca="1">IFERROR(__xludf.DUMMYFUNCTION("googletranslate(E5011,""en"",""ja"")"),"生物学的標本中の総ヘルパー T リンパ球に対するヘルパー中枢記憶 T リンパ球の部分集団の相対測定値 (比率またはパーセンテージ)。")</f>
        <v>生物学的標本中の総ヘルパー T リンパ球に対するヘルパー中枢記憶 T リンパ球の部分集団の相対測定値 (比率またはパーセンテージ)。</v>
      </c>
      <c r="I5011" s="3" t="str">
        <f ca="1">IFERROR(__xludf.DUMMYFUNCTION("googletranslate(F5011,""en"",""ja"")"),"中央記憶ヘルパー T リンパ球部分集団とヘルパー T リンパ球の比率の測定")</f>
        <v>中央記憶ヘルパー T リンパ球部分集団とヘルパー T リンパ球の比率の測定</v>
      </c>
    </row>
    <row r="5012" spans="1:9" ht="60">
      <c r="A5012" s="3" t="s">
        <v>103</v>
      </c>
      <c r="B5012" s="3" t="s">
        <v>20699</v>
      </c>
      <c r="C5012" s="3" t="s">
        <v>20700</v>
      </c>
      <c r="D5012" s="3" t="s">
        <v>20701</v>
      </c>
      <c r="E5012" s="3" t="s">
        <v>20702</v>
      </c>
      <c r="F5012" s="3" t="s">
        <v>20703</v>
      </c>
      <c r="G5012" s="3" t="str">
        <f ca="1">IFERROR(__xludf.DUMMYFUNCTION("googletranslate(D5012,""en"",""ja"")"),"T リンパ球ヘルパー セントラル メモリー/T リンパ球ヘルパー; TLym ヘルプ Cen Mem/TLym ヘルプ")</f>
        <v>T リンパ球ヘルパー セントラル メモリー/T リンパ球ヘルパー; TLym ヘルプ Cen Mem/TLym ヘルプ</v>
      </c>
      <c r="H5012" s="3" t="str">
        <f ca="1">IFERROR(__xludf.DUMMYFUNCTION("googletranslate(E5012,""en"",""ja"")"),"生物学的標本中の総ヘルパー T リンパ球に対するヘルパー中枢記憶 T リンパ球の相対測定値 (比率またはパーセンテージ)。")</f>
        <v>生物学的標本中の総ヘルパー T リンパ球に対するヘルパー中枢記憶 T リンパ球の相対測定値 (比率またはパーセンテージ)。</v>
      </c>
      <c r="I5012" s="3" t="str">
        <f ca="1">IFERROR(__xludf.DUMMYFUNCTION("googletranslate(F5012,""en"",""ja"")"),"セントラルメモリーヘルパーTリンパ球とヘルパーTリンパ球の比率の測定")</f>
        <v>セントラルメモリーヘルパーTリンパ球とヘルパーTリンパ球の比率の測定</v>
      </c>
    </row>
    <row r="5013" spans="1:9" ht="30">
      <c r="A5013" s="3" t="s">
        <v>103</v>
      </c>
      <c r="B5013" s="3" t="s">
        <v>20704</v>
      </c>
      <c r="C5013" s="3" t="s">
        <v>20705</v>
      </c>
      <c r="D5013" s="3" t="s">
        <v>20706</v>
      </c>
      <c r="E5013" s="3" t="s">
        <v>20707</v>
      </c>
      <c r="F5013" s="3" t="s">
        <v>20708</v>
      </c>
      <c r="G5013" s="3" t="str">
        <f ca="1">IFERROR(__xludf.DUMMYFUNCTION("googletranslate(D5013,""en"",""ja"")"),"Tリンパ球ヘルパーエフェクター; TLym ヘルプ エフ")</f>
        <v>Tリンパ球ヘルパーエフェクター; TLym ヘルプ エフ</v>
      </c>
      <c r="H5013" s="3" t="str">
        <f ca="1">IFERROR(__xludf.DUMMYFUNCTION("googletranslate(E5013,""en"",""ja"")"),"生物学的標本中のヘルパーエフェクター T リンパ球の測定。")</f>
        <v>生物学的標本中のヘルパーエフェクター T リンパ球の測定。</v>
      </c>
      <c r="I5013" s="3" t="str">
        <f ca="1">IFERROR(__xludf.DUMMYFUNCTION("googletranslate(F5013,""en"",""ja"")"),"エフェクターヘルパー T リンパ球数")</f>
        <v>エフェクターヘルパー T リンパ球数</v>
      </c>
    </row>
    <row r="5014" spans="1:9" ht="45">
      <c r="A5014" s="3" t="s">
        <v>103</v>
      </c>
      <c r="B5014" s="3" t="s">
        <v>20709</v>
      </c>
      <c r="C5014" s="3" t="s">
        <v>20710</v>
      </c>
      <c r="D5014" s="3" t="s">
        <v>20711</v>
      </c>
      <c r="E5014" s="3" t="s">
        <v>20712</v>
      </c>
      <c r="F5014" s="3" t="s">
        <v>20713</v>
      </c>
      <c r="G5014" s="3" t="str">
        <f ca="1">IFERROR(__xludf.DUMMYFUNCTION("googletranslate(D5014,""en"",""ja"")"),"Tリンパ球ヘルパーエフェクター記憶。 TLym ヘルプ エフ メム")</f>
        <v>Tリンパ球ヘルパーエフェクター記憶。 TLym ヘルプ エフ メム</v>
      </c>
      <c r="H5014" s="3" t="str">
        <f ca="1">IFERROR(__xludf.DUMMYFUNCTION("googletranslate(E5014,""en"",""ja"")"),"生物学的標本中のヘルパーエフェクター記憶 T リンパ球の測定。")</f>
        <v>生物学的標本中のヘルパーエフェクター記憶 T リンパ球の測定。</v>
      </c>
      <c r="I5014" s="3" t="str">
        <f ca="1">IFERROR(__xludf.DUMMYFUNCTION("googletranslate(F5014,""en"",""ja"")"),"エフェクター メモリー ヘルパー T リンパ球数")</f>
        <v>エフェクター メモリー ヘルパー T リンパ球数</v>
      </c>
    </row>
    <row r="5015" spans="1:9" ht="45">
      <c r="A5015" s="3" t="s">
        <v>103</v>
      </c>
      <c r="B5015" s="3" t="s">
        <v>20714</v>
      </c>
      <c r="C5015" s="3" t="s">
        <v>20715</v>
      </c>
      <c r="D5015" s="3" t="s">
        <v>20716</v>
      </c>
      <c r="E5015" s="3" t="s">
        <v>20717</v>
      </c>
      <c r="F5015" s="3" t="s">
        <v>20718</v>
      </c>
      <c r="G5015" s="3" t="str">
        <f ca="1">IFERROR(__xludf.DUMMYFUNCTION("googletranslate(D5015,""en"",""ja"")"),"T リンパ球ヘルパーエフェクター記憶サブ集団。 TLym ヘルプ Eff Mem Sub")</f>
        <v>T リンパ球ヘルパーエフェクター記憶サブ集団。 TLym ヘルプ Eff Mem Sub</v>
      </c>
      <c r="H5015" s="3" t="str">
        <f ca="1">IFERROR(__xludf.DUMMYFUNCTION("googletranslate(E5015,""en"",""ja"")"),"生物学的標本中のヘルパーエフェクター記憶 T リンパ球の部分集団の測定。")</f>
        <v>生物学的標本中のヘルパーエフェクター記憶 T リンパ球の部分集団の測定。</v>
      </c>
      <c r="I5015" s="3" t="str">
        <f ca="1">IFERROR(__xludf.DUMMYFUNCTION("googletranslate(F5015,""en"",""ja"")"),"エフェクター メモリー ヘルパー T リンパ球部分集団数")</f>
        <v>エフェクター メモリー ヘルパー T リンパ球部分集団数</v>
      </c>
    </row>
    <row r="5016" spans="1:9" ht="75">
      <c r="A5016" s="3" t="s">
        <v>103</v>
      </c>
      <c r="B5016" s="3" t="s">
        <v>20719</v>
      </c>
      <c r="C5016" s="3" t="s">
        <v>20720</v>
      </c>
      <c r="D5016" s="3" t="s">
        <v>20721</v>
      </c>
      <c r="E5016" s="3" t="s">
        <v>20722</v>
      </c>
      <c r="F5016" s="3" t="s">
        <v>20723</v>
      </c>
      <c r="G5016" s="3" t="str">
        <f ca="1">IFERROR(__xludf.DUMMYFUNCTION("googletranslate(D5016,""en"",""ja"")"),"T リンパ球ヘルパー エフェクター メモリー サブ集団/T リンパ球ヘルパー エフェクター メモリー; TLym ヘルプ Eff Mem Sub/TLymHEM")</f>
        <v>T リンパ球ヘルパー エフェクター メモリー サブ集団/T リンパ球ヘルパー エフェクター メモリー; TLym ヘルプ Eff Mem Sub/TLymHEM</v>
      </c>
      <c r="H5016" s="3" t="str">
        <f ca="1">IFERROR(__xludf.DUMMYFUNCTION("googletranslate(E5016,""en"",""ja"")"),"生物学的標本中の総ヘルパー エフェクター メモリー T リンパ球に対するヘルパー エフェクター メモリー T リンパ球の部分集団の相対測定値 (比率またはパーセンテージ)。")</f>
        <v>生物学的標本中の総ヘルパー エフェクター メモリー T リンパ球に対するヘルパー エフェクター メモリー T リンパ球の部分集団の相対測定値 (比率またはパーセンテージ)。</v>
      </c>
      <c r="I5016" s="3" t="str">
        <f ca="1">IFERROR(__xludf.DUMMYFUNCTION("googletranslate(F5016,""en"",""ja"")"),"エフェクター メモリー ヘルパー T リンパ球部分集団とエフェクター メモリー ヘルパー T リンパ球の比率の測定")</f>
        <v>エフェクター メモリー ヘルパー T リンパ球部分集団とエフェクター メモリー ヘルパー T リンパ球の比率の測定</v>
      </c>
    </row>
    <row r="5017" spans="1:9" ht="60">
      <c r="A5017" s="3" t="s">
        <v>103</v>
      </c>
      <c r="B5017" s="3" t="s">
        <v>20724</v>
      </c>
      <c r="C5017" s="3" t="s">
        <v>20725</v>
      </c>
      <c r="D5017" s="3" t="s">
        <v>20726</v>
      </c>
      <c r="E5017" s="3" t="s">
        <v>20727</v>
      </c>
      <c r="F5017" s="3" t="s">
        <v>20728</v>
      </c>
      <c r="G5017" s="3" t="str">
        <f ca="1">IFERROR(__xludf.DUMMYFUNCTION("googletranslate(D5017,""en"",""ja"")"),"T リンパ球ヘルパー エフェクター メモリー サブ集団/T リンパ球ヘルパー; TLym ヘルプ Eff Mem Sub/TLym ヘルプ")</f>
        <v>T リンパ球ヘルパー エフェクター メモリー サブ集団/T リンパ球ヘルパー; TLym ヘルプ Eff Mem Sub/TLym ヘルプ</v>
      </c>
      <c r="H5017" s="3" t="str">
        <f ca="1">IFERROR(__xludf.DUMMYFUNCTION("googletranslate(E5017,""en"",""ja"")"),"生物学的標本中の総ヘルパー T リンパ球に対するヘルパー エフェクター メモリー T リンパ球の部分集団の相対測定値 (比率またはパーセンテージ)。")</f>
        <v>生物学的標本中の総ヘルパー T リンパ球に対するヘルパー エフェクター メモリー T リンパ球の部分集団の相対測定値 (比率またはパーセンテージ)。</v>
      </c>
      <c r="I5017" s="3" t="str">
        <f ca="1">IFERROR(__xludf.DUMMYFUNCTION("googletranslate(F5017,""en"",""ja"")"),"エフェクターメモリーヘルパーTリンパ球部分集団とヘルパーTリンパ球の比率の測定")</f>
        <v>エフェクターメモリーヘルパーTリンパ球部分集団とヘルパーTリンパ球の比率の測定</v>
      </c>
    </row>
    <row r="5018" spans="1:9" ht="60">
      <c r="A5018" s="3" t="s">
        <v>103</v>
      </c>
      <c r="B5018" s="3" t="s">
        <v>20729</v>
      </c>
      <c r="C5018" s="3" t="s">
        <v>20730</v>
      </c>
      <c r="D5018" s="3" t="s">
        <v>20731</v>
      </c>
      <c r="E5018" s="3" t="s">
        <v>20732</v>
      </c>
      <c r="F5018" s="3" t="s">
        <v>20733</v>
      </c>
      <c r="G5018" s="3" t="str">
        <f ca="1">IFERROR(__xludf.DUMMYFUNCTION("googletranslate(D5018,""en"",""ja"")"),"T リンパ球ヘルパー エフェクター メモリー/T リンパ球ヘルパー; TLym ヘルプ Eff Mem/TLym ヘルプ")</f>
        <v>T リンパ球ヘルパー エフェクター メモリー/T リンパ球ヘルパー; TLym ヘルプ Eff Mem/TLym ヘルプ</v>
      </c>
      <c r="H5018" s="3" t="str">
        <f ca="1">IFERROR(__xludf.DUMMYFUNCTION("googletranslate(E5018,""en"",""ja"")"),"生物学的検体中の総ヘルパー T リンパ球に対するヘルパー エフェクター メモリー T リンパ球の相対測定値 (比率またはパーセンテージ)。")</f>
        <v>生物学的検体中の総ヘルパー T リンパ球に対するヘルパー エフェクター メモリー T リンパ球の相対測定値 (比率またはパーセンテージ)。</v>
      </c>
      <c r="I5018" s="3" t="str">
        <f ca="1">IFERROR(__xludf.DUMMYFUNCTION("googletranslate(F5018,""en"",""ja"")"),"エフェクターメモリーヘルパーTリンパ球とヘルパーTリンパ球の比率の測定")</f>
        <v>エフェクターメモリーヘルパーTリンパ球とヘルパーTリンパ球の比率の測定</v>
      </c>
    </row>
    <row r="5019" spans="1:9" ht="45">
      <c r="A5019" s="3" t="s">
        <v>103</v>
      </c>
      <c r="B5019" s="3" t="s">
        <v>20734</v>
      </c>
      <c r="C5019" s="3" t="s">
        <v>20735</v>
      </c>
      <c r="D5019" s="3" t="s">
        <v>20736</v>
      </c>
      <c r="E5019" s="3" t="s">
        <v>20737</v>
      </c>
      <c r="F5019" s="3" t="s">
        <v>20738</v>
      </c>
      <c r="G5019" s="3" t="str">
        <f ca="1">IFERROR(__xludf.DUMMYFUNCTION("googletranslate(D5019,""en"",""ja"")"),"Tリンパ球ヘルパーエフェクター亜集団; TLym ヘルプ Eff サブ")</f>
        <v>Tリンパ球ヘルパーエフェクター亜集団; TLym ヘルプ Eff サブ</v>
      </c>
      <c r="H5019" s="3" t="str">
        <f ca="1">IFERROR(__xludf.DUMMYFUNCTION("googletranslate(E5019,""en"",""ja"")"),"生物学的標本中のヘルパーエフェクター T リンパ球の部分集団の測定。")</f>
        <v>生物学的標本中のヘルパーエフェクター T リンパ球の部分集団の測定。</v>
      </c>
      <c r="I5019" s="3" t="str">
        <f ca="1">IFERROR(__xludf.DUMMYFUNCTION("googletranslate(F5019,""en"",""ja"")"),"エフェクターヘルパー T リンパ球部分集団数")</f>
        <v>エフェクターヘルパー T リンパ球部分集団数</v>
      </c>
    </row>
    <row r="5020" spans="1:9" ht="30">
      <c r="A5020" s="3" t="s">
        <v>103</v>
      </c>
      <c r="B5020" s="3" t="s">
        <v>20739</v>
      </c>
      <c r="C5020" s="3" t="s">
        <v>20740</v>
      </c>
      <c r="D5020" s="3" t="s">
        <v>20741</v>
      </c>
      <c r="E5020" s="3" t="s">
        <v>20742</v>
      </c>
      <c r="F5020" s="3" t="s">
        <v>20743</v>
      </c>
      <c r="G5020" s="3" t="str">
        <f ca="1">IFERROR(__xludf.DUMMYFUNCTION("googletranslate(D5020,""en"",""ja"")"),"Tリンパ球ヘルパー濾胞性; TLym ヘルプ フォル")</f>
        <v>Tリンパ球ヘルパー濾胞性; TLym ヘルプ フォル</v>
      </c>
      <c r="H5020" s="3" t="str">
        <f ca="1">IFERROR(__xludf.DUMMYFUNCTION("googletranslate(E5020,""en"",""ja"")"),"生物学的標本中のヘルパー濾胞性 T リンパ球の測定。")</f>
        <v>生物学的標本中のヘルパー濾胞性 T リンパ球の測定。</v>
      </c>
      <c r="I5020" s="3" t="str">
        <f ca="1">IFERROR(__xludf.DUMMYFUNCTION("googletranslate(F5020,""en"",""ja"")"),"濾胞性ヘルパーTリンパ球数")</f>
        <v>濾胞性ヘルパーTリンパ球数</v>
      </c>
    </row>
    <row r="5021" spans="1:9" ht="60">
      <c r="A5021" s="3" t="s">
        <v>103</v>
      </c>
      <c r="B5021" s="3" t="s">
        <v>20744</v>
      </c>
      <c r="C5021" s="3" t="s">
        <v>20745</v>
      </c>
      <c r="D5021" s="3" t="s">
        <v>20746</v>
      </c>
      <c r="E5021" s="3" t="s">
        <v>20747</v>
      </c>
      <c r="F5021" s="3" t="s">
        <v>20748</v>
      </c>
      <c r="G5021" s="3" t="str">
        <f ca="1">IFERROR(__xludf.DUMMYFUNCTION("googletranslate(D5021,""en"",""ja"")"),"濾胞性ヘルパー T リンパ球のサブ集団。 Tリンパ球ヘルパー濾胞部分集団。 TLym ヘルプ フォール サブ")</f>
        <v>濾胞性ヘルパー T リンパ球のサブ集団。 Tリンパ球ヘルパー濾胞部分集団。 TLym ヘルプ フォール サブ</v>
      </c>
      <c r="H5021" s="3" t="str">
        <f ca="1">IFERROR(__xludf.DUMMYFUNCTION("googletranslate(E5021,""en"",""ja"")"),"生物学的標本中の濾胞性ヘルパー T リンパ球の部分集団の測定。")</f>
        <v>生物学的標本中の濾胞性ヘルパー T リンパ球の部分集団の測定。</v>
      </c>
      <c r="I5021" s="3" t="str">
        <f ca="1">IFERROR(__xludf.DUMMYFUNCTION("googletranslate(F5021,""en"",""ja"")"),"濾胞性ヘルパー T リンパ球部分集団の数")</f>
        <v>濾胞性ヘルパー T リンパ球部分集団の数</v>
      </c>
    </row>
    <row r="5022" spans="1:9" ht="60">
      <c r="A5022" s="3" t="s">
        <v>103</v>
      </c>
      <c r="B5022" s="3" t="s">
        <v>20749</v>
      </c>
      <c r="C5022" s="3" t="s">
        <v>20750</v>
      </c>
      <c r="D5022" s="3" t="s">
        <v>20751</v>
      </c>
      <c r="E5022" s="3" t="s">
        <v>20752</v>
      </c>
      <c r="F5022" s="3" t="s">
        <v>20753</v>
      </c>
      <c r="G5022" s="3" t="str">
        <f ca="1">IFERROR(__xludf.DUMMYFUNCTION("googletranslate(D5022,""en"",""ja"")"),"T リンパ球ヘルパー濾胞性亜集団/T リンパ球ヘルパー濾胞性; TLym ヘルプ Foll Sub/TLymHF")</f>
        <v>T リンパ球ヘルパー濾胞性亜集団/T リンパ球ヘルパー濾胞性; TLym ヘルプ Foll Sub/TLymHF</v>
      </c>
      <c r="H5022" s="3" t="str">
        <f ca="1">IFERROR(__xludf.DUMMYFUNCTION("googletranslate(E5022,""en"",""ja"")"),"生物学的標本中の総ヘルパー濾胞性 T リンパ球に対するヘルパー濾胞性 T リンパ球の部分集団の相対測定値 (比率またはパーセンテージ)。")</f>
        <v>生物学的標本中の総ヘルパー濾胞性 T リンパ球に対するヘルパー濾胞性 T リンパ球の部分集団の相対測定値 (比率またはパーセンテージ)。</v>
      </c>
      <c r="I5022" s="3" t="str">
        <f ca="1">IFERROR(__xludf.DUMMYFUNCTION("googletranslate(F5022,""en"",""ja"")"),"濾胞性ヘルパー T リンパ球部分集団と濾胞性ヘルパー T リンパ球の比率の測定")</f>
        <v>濾胞性ヘルパー T リンパ球部分集団と濾胞性ヘルパー T リンパ球の比率の測定</v>
      </c>
    </row>
    <row r="5023" spans="1:9" ht="45">
      <c r="A5023" s="3" t="s">
        <v>103</v>
      </c>
      <c r="B5023" s="3" t="s">
        <v>20754</v>
      </c>
      <c r="C5023" s="3" t="s">
        <v>20755</v>
      </c>
      <c r="D5023" s="3" t="s">
        <v>20756</v>
      </c>
      <c r="E5023" s="3" t="s">
        <v>20757</v>
      </c>
      <c r="F5023" s="3" t="s">
        <v>20758</v>
      </c>
      <c r="G5023" s="3" t="str">
        <f ca="1">IFERROR(__xludf.DUMMYFUNCTION("googletranslate(D5023,""en"",""ja"")"),"T リンパ球ヘルパー サブ集団/T リンパ球ヘルパー; TLym ヘルプ Foll Sub/TLym ヘルプ")</f>
        <v>T リンパ球ヘルパー サブ集団/T リンパ球ヘルパー; TLym ヘルプ Foll Sub/TLym ヘルプ</v>
      </c>
      <c r="H5023" s="3" t="str">
        <f ca="1">IFERROR(__xludf.DUMMYFUNCTION("googletranslate(E5023,""en"",""ja"")"),"生物学的標本中の総ヘルパー T リンパ球に対するヘルパー濾胞性 T リンパ球の部分集団の相対測定値 (比率またはパーセンテージ)。")</f>
        <v>生物学的標本中の総ヘルパー T リンパ球に対するヘルパー濾胞性 T リンパ球の部分集団の相対測定値 (比率またはパーセンテージ)。</v>
      </c>
      <c r="I5023" s="3" t="str">
        <f ca="1">IFERROR(__xludf.DUMMYFUNCTION("googletranslate(F5023,""en"",""ja"")"),"濾胞性ヘルパー T リンパ球部分集団とヘルパー T リンパ球の比率の測定")</f>
        <v>濾胞性ヘルパー T リンパ球部分集団とヘルパー T リンパ球の比率の測定</v>
      </c>
    </row>
    <row r="5024" spans="1:9" ht="45">
      <c r="A5024" s="3" t="s">
        <v>103</v>
      </c>
      <c r="B5024" s="3" t="s">
        <v>20759</v>
      </c>
      <c r="C5024" s="3" t="s">
        <v>20760</v>
      </c>
      <c r="D5024" s="3" t="s">
        <v>20761</v>
      </c>
      <c r="E5024" s="3" t="s">
        <v>20762</v>
      </c>
      <c r="F5024" s="3" t="s">
        <v>20763</v>
      </c>
      <c r="G5024" s="3" t="str">
        <f ca="1">IFERROR(__xludf.DUMMYFUNCTION("googletranslate(D5024,""en"",""ja"")"),"T リンパ球ヘルパー Foll/T リンパ球ヘルパー; TLym ヘルプ Foll/TLym ヘルプ")</f>
        <v>T リンパ球ヘルパー Foll/T リンパ球ヘルパー; TLym ヘルプ Foll/TLym ヘルプ</v>
      </c>
      <c r="H5024" s="3" t="str">
        <f ca="1">IFERROR(__xludf.DUMMYFUNCTION("googletranslate(E5024,""en"",""ja"")"),"生物学的検体中の総ヘルパー T リンパ球に対するヘルパー濾胞性 T リンパ球の相対測定値 (比率またはパーセンテージ)。")</f>
        <v>生物学的検体中の総ヘルパー T リンパ球に対するヘルパー濾胞性 T リンパ球の相対測定値 (比率またはパーセンテージ)。</v>
      </c>
      <c r="I5024" s="3" t="str">
        <f ca="1">IFERROR(__xludf.DUMMYFUNCTION("googletranslate(F5024,""en"",""ja"")"),"濾胞性ヘルパーTリンパ球とヘルパーTリンパ球の比率の測定")</f>
        <v>濾胞性ヘルパーTリンパ球とヘルパーTリンパ球の比率の測定</v>
      </c>
    </row>
    <row r="5025" spans="1:9" ht="45">
      <c r="A5025" s="3" t="s">
        <v>103</v>
      </c>
      <c r="B5025" s="3" t="s">
        <v>20764</v>
      </c>
      <c r="C5025" s="3" t="s">
        <v>20765</v>
      </c>
      <c r="D5025" s="3" t="s">
        <v>20766</v>
      </c>
      <c r="E5025" s="3" t="s">
        <v>20767</v>
      </c>
      <c r="F5025" s="3" t="s">
        <v>20768</v>
      </c>
      <c r="G5025" s="3" t="str">
        <f ca="1">IFERROR(__xludf.DUMMYFUNCTION("googletranslate(D5025,""en"",""ja"")"),"Tリンパ球ヘルパーガンマデルタ; T リンパ球ヘルパー TCR ガンマデルタ; TLym ヘルプ GD")</f>
        <v>Tリンパ球ヘルパーガンマデルタ; T リンパ球ヘルパー TCR ガンマデルタ; TLym ヘルプ GD</v>
      </c>
      <c r="H5025" s="3" t="str">
        <f ca="1">IFERROR(__xludf.DUMMYFUNCTION("googletranslate(E5025,""en"",""ja"")"),"生物学的標本中のヘルパー ガンマ デルタ T リンパ球の測定。")</f>
        <v>生物学的標本中のヘルパー ガンマ デルタ T リンパ球の測定。</v>
      </c>
      <c r="I5025" s="3" t="str">
        <f ca="1">IFERROR(__xludf.DUMMYFUNCTION("googletranslate(F5025,""en"",""ja"")"),"ガンマデルタヘルパーTリンパ球数")</f>
        <v>ガンマデルタヘルパーTリンパ球数</v>
      </c>
    </row>
    <row r="5026" spans="1:9" ht="75">
      <c r="A5026" s="3" t="s">
        <v>103</v>
      </c>
      <c r="B5026" s="3" t="s">
        <v>20769</v>
      </c>
      <c r="C5026" s="3" t="s">
        <v>20770</v>
      </c>
      <c r="D5026" s="3" t="s">
        <v>20771</v>
      </c>
      <c r="E5026" s="3" t="s">
        <v>20772</v>
      </c>
      <c r="F5026" s="3" t="s">
        <v>20773</v>
      </c>
      <c r="G5026" s="3" t="str">
        <f ca="1">IFERROR(__xludf.DUMMYFUNCTION("googletranslate(D5026,""en"",""ja"")"),"T リンパ球ヘルパー ガンマ デルタ サブ集団。 T リンパ球ヘルパー TCR ガンマ デルタ サブ集団。 TLym ヘルプ GD サブ")</f>
        <v>T リンパ球ヘルパー ガンマ デルタ サブ集団。 T リンパ球ヘルパー TCR ガンマ デルタ サブ集団。 TLym ヘルプ GD サブ</v>
      </c>
      <c r="H5026" s="3" t="str">
        <f ca="1">IFERROR(__xludf.DUMMYFUNCTION("googletranslate(E5026,""en"",""ja"")"),"生物学的標本中のヘルパー ガンマ デルタ T リンパ球の部分集団の測定。")</f>
        <v>生物学的標本中のヘルパー ガンマ デルタ T リンパ球の部分集団の測定。</v>
      </c>
      <c r="I5026" s="3" t="str">
        <f ca="1">IFERROR(__xludf.DUMMYFUNCTION("googletranslate(F5026,""en"",""ja"")"),"ヘルパー ガンマ デルタ T リンパ球部分集団数")</f>
        <v>ヘルパー ガンマ デルタ T リンパ球部分集団数</v>
      </c>
    </row>
    <row r="5027" spans="1:9" ht="45">
      <c r="A5027" s="3" t="s">
        <v>103</v>
      </c>
      <c r="B5027" s="3" t="s">
        <v>20774</v>
      </c>
      <c r="C5027" s="3" t="s">
        <v>20775</v>
      </c>
      <c r="D5027" s="3" t="s">
        <v>20776</v>
      </c>
      <c r="E5027" s="3" t="s">
        <v>20777</v>
      </c>
      <c r="F5027" s="3" t="s">
        <v>20778</v>
      </c>
      <c r="G5027" s="3" t="str">
        <f ca="1">IFERROR(__xludf.DUMMYFUNCTION("googletranslate(D5027,""en"",""ja"")"),"T細胞、ヘルパー/白血球; Tリンパ球、ヘルパー/白血球; TLym ヘルプ/Leuk")</f>
        <v>T細胞、ヘルパー/白血球; Tリンパ球、ヘルパー/白血球; TLym ヘルプ/Leuk</v>
      </c>
      <c r="H5027" s="3" t="str">
        <f ca="1">IFERROR(__xludf.DUMMYFUNCTION("googletranslate(E5027,""en"",""ja"")"),"生物学的標本中の白血球に対するヘルパー T リンパ球の相対的な測定値 (比率またはパーセンテージ)。")</f>
        <v>生物学的標本中の白血球に対するヘルパー T リンパ球の相対的な測定値 (比率またはパーセンテージ)。</v>
      </c>
      <c r="I5027" s="3" t="str">
        <f ca="1">IFERROR(__xludf.DUMMYFUNCTION("googletranslate(F5027,""en"",""ja"")"),"ヘルパーTリンパ球と白血球の比率の測定")</f>
        <v>ヘルパーTリンパ球と白血球の比率の測定</v>
      </c>
    </row>
    <row r="5028" spans="1:9" ht="45">
      <c r="A5028" s="3" t="s">
        <v>103</v>
      </c>
      <c r="B5028" s="3" t="s">
        <v>20779</v>
      </c>
      <c r="C5028" s="3" t="s">
        <v>20780</v>
      </c>
      <c r="D5028" s="3" t="s">
        <v>20781</v>
      </c>
      <c r="E5028" s="3" t="s">
        <v>20782</v>
      </c>
      <c r="F5028" s="3" t="s">
        <v>20783</v>
      </c>
      <c r="G5028" s="3" t="str">
        <f ca="1">IFERROR(__xludf.DUMMYFUNCTION("googletranslate(D5028,""en"",""ja"")"),"T リンパ球ヘルパー/リンパ球; TLym ヘルプ/Lym")</f>
        <v>T リンパ球ヘルパー/リンパ球; TLym ヘルプ/Lym</v>
      </c>
      <c r="H5028" s="3" t="str">
        <f ca="1">IFERROR(__xludf.DUMMYFUNCTION("googletranslate(E5028,""en"",""ja"")"),"生物学的標本中の総リンパ球に対するヘルパー T リンパ球の相対測定値 (比率またはパーセンテージ)。")</f>
        <v>生物学的標本中の総リンパ球に対するヘルパー T リンパ球の相対測定値 (比率またはパーセンテージ)。</v>
      </c>
      <c r="I5028" s="3" t="str">
        <f ca="1">IFERROR(__xludf.DUMMYFUNCTION("googletranslate(F5028,""en"",""ja"")"),"ヘルパーTリンパ球とリンパ球の比率の測定")</f>
        <v>ヘルパーTリンパ球とリンパ球の比率の測定</v>
      </c>
    </row>
    <row r="5029" spans="1:9" ht="30">
      <c r="A5029" s="3" t="s">
        <v>103</v>
      </c>
      <c r="B5029" s="3" t="s">
        <v>20784</v>
      </c>
      <c r="C5029" s="3" t="s">
        <v>20785</v>
      </c>
      <c r="D5029" s="3" t="s">
        <v>20786</v>
      </c>
      <c r="E5029" s="3" t="s">
        <v>20787</v>
      </c>
      <c r="F5029" s="3" t="s">
        <v>20788</v>
      </c>
      <c r="G5029" s="3" t="str">
        <f ca="1">IFERROR(__xludf.DUMMYFUNCTION("googletranslate(D5029,""en"",""ja"")"),"Tリンパ球ヘルパーメモリー; TLym ヘルプ メム")</f>
        <v>Tリンパ球ヘルパーメモリー; TLym ヘルプ メム</v>
      </c>
      <c r="H5029" s="3" t="str">
        <f ca="1">IFERROR(__xludf.DUMMYFUNCTION("googletranslate(E5029,""en"",""ja"")"),"生物学的標本中のヘルパーメモリー T リンパ球の測定。")</f>
        <v>生物学的標本中のヘルパーメモリー T リンパ球の測定。</v>
      </c>
      <c r="I5029" s="3" t="str">
        <f ca="1">IFERROR(__xludf.DUMMYFUNCTION("googletranslate(F5029,""en"",""ja"")"),"メモリーヘルパーTリンパ球数")</f>
        <v>メモリーヘルパーTリンパ球数</v>
      </c>
    </row>
    <row r="5030" spans="1:9" ht="45">
      <c r="A5030" s="3" t="s">
        <v>103</v>
      </c>
      <c r="B5030" s="3" t="s">
        <v>20789</v>
      </c>
      <c r="C5030" s="3" t="s">
        <v>20790</v>
      </c>
      <c r="D5030" s="3" t="s">
        <v>20791</v>
      </c>
      <c r="E5030" s="3" t="s">
        <v>20792</v>
      </c>
      <c r="F5030" s="3" t="s">
        <v>20793</v>
      </c>
      <c r="G5030" s="3" t="str">
        <f ca="1">IFERROR(__xludf.DUMMYFUNCTION("googletranslate(D5030,""en"",""ja"")"),"T リンパ球ヘルパー記憶サブ集団。 TLym ヘルプ メム サブ")</f>
        <v>T リンパ球ヘルパー記憶サブ集団。 TLym ヘルプ メム サブ</v>
      </c>
      <c r="H5030" s="3" t="str">
        <f ca="1">IFERROR(__xludf.DUMMYFUNCTION("googletranslate(E5030,""en"",""ja"")"),"生物学的標本中のヘルパーメモリー T リンパ球の部分集団の測定。")</f>
        <v>生物学的標本中のヘルパーメモリー T リンパ球の部分集団の測定。</v>
      </c>
      <c r="I5030" s="3" t="str">
        <f ca="1">IFERROR(__xludf.DUMMYFUNCTION("googletranslate(F5030,""en"",""ja"")"),"メモリーヘルパーTリンパ球部分集団数")</f>
        <v>メモリーヘルパーTリンパ球部分集団数</v>
      </c>
    </row>
    <row r="5031" spans="1:9" ht="60">
      <c r="A5031" s="3" t="s">
        <v>103</v>
      </c>
      <c r="B5031" s="3" t="s">
        <v>20794</v>
      </c>
      <c r="C5031" s="3" t="s">
        <v>20795</v>
      </c>
      <c r="D5031" s="3" t="s">
        <v>20796</v>
      </c>
      <c r="E5031" s="3" t="s">
        <v>20797</v>
      </c>
      <c r="F5031" s="3" t="s">
        <v>20798</v>
      </c>
      <c r="G5031" s="3" t="str">
        <f ca="1">IFERROR(__xludf.DUMMYFUNCTION("googletranslate(D5031,""en"",""ja"")"),"T リンパ球ヘルパー記憶サブ集団/T リンパ球ヘルパー記憶; TLym ヘルプ メム サブ/TLymHM")</f>
        <v>T リンパ球ヘルパー記憶サブ集団/T リンパ球ヘルパー記憶; TLym ヘルプ メム サブ/TLymHM</v>
      </c>
      <c r="H5031" s="3" t="str">
        <f ca="1">IFERROR(__xludf.DUMMYFUNCTION("googletranslate(E5031,""en"",""ja"")"),"総ヘルパー メモリー T リンパ球に対するヘルパー メモリー T リンパ球の部分集団の相対測定値 (比率またはパーセンテージ)。")</f>
        <v>総ヘルパー メモリー T リンパ球に対するヘルパー メモリー T リンパ球の部分集団の相対測定値 (比率またはパーセンテージ)。</v>
      </c>
      <c r="I5031" s="3" t="str">
        <f ca="1">IFERROR(__xludf.DUMMYFUNCTION("googletranslate(F5031,""en"",""ja"")"),"メモリーヘルパーTリンパ球部分集団とメモリーヘルパーTリンパ球の比率の測定")</f>
        <v>メモリーヘルパーTリンパ球部分集団とメモリーヘルパーTリンパ球の比率の測定</v>
      </c>
    </row>
    <row r="5032" spans="1:9" ht="60">
      <c r="A5032" s="3" t="s">
        <v>103</v>
      </c>
      <c r="B5032" s="3" t="s">
        <v>20799</v>
      </c>
      <c r="C5032" s="3" t="s">
        <v>20800</v>
      </c>
      <c r="D5032" s="3" t="s">
        <v>20801</v>
      </c>
      <c r="E5032" s="3" t="s">
        <v>20802</v>
      </c>
      <c r="F5032" s="3" t="s">
        <v>20803</v>
      </c>
      <c r="G5032" s="3" t="str">
        <f ca="1">IFERROR(__xludf.DUMMYFUNCTION("googletranslate(D5032,""en"",""ja"")"),"T リンパ球ヘルパー記憶サブ集団/T リンパ球ヘルパー; TLym ヘルプ Mem Sub/TLym ヘルプ")</f>
        <v>T リンパ球ヘルパー記憶サブ集団/T リンパ球ヘルパー; TLym ヘルプ Mem Sub/TLym ヘルプ</v>
      </c>
      <c r="H5032" s="3" t="str">
        <f ca="1">IFERROR(__xludf.DUMMYFUNCTION("googletranslate(E5032,""en"",""ja"")"),"生物学的標本中の総ヘルパー T リンパ球に対するヘルパー メモリー T リンパ球の部分集団の相対測定値 (比率またはパーセンテージ)。")</f>
        <v>生物学的標本中の総ヘルパー T リンパ球に対するヘルパー メモリー T リンパ球の部分集団の相対測定値 (比率またはパーセンテージ)。</v>
      </c>
      <c r="I5032" s="3" t="str">
        <f ca="1">IFERROR(__xludf.DUMMYFUNCTION("googletranslate(F5032,""en"",""ja"")"),"メモリーヘルパー T リンパ球部分集団とヘルパー T リンパ球の比率の測定")</f>
        <v>メモリーヘルパー T リンパ球部分集団とヘルパー T リンパ球の比率の測定</v>
      </c>
    </row>
    <row r="5033" spans="1:9" ht="45">
      <c r="A5033" s="3" t="s">
        <v>103</v>
      </c>
      <c r="B5033" s="3" t="s">
        <v>20804</v>
      </c>
      <c r="C5033" s="3" t="s">
        <v>20805</v>
      </c>
      <c r="D5033" s="3" t="s">
        <v>20806</v>
      </c>
      <c r="E5033" s="3" t="s">
        <v>20807</v>
      </c>
      <c r="F5033" s="3" t="s">
        <v>20808</v>
      </c>
      <c r="G5033" s="3" t="str">
        <f ca="1">IFERROR(__xludf.DUMMYFUNCTION("googletranslate(D5033,""en"",""ja"")"),"T リンパ球ヘルパー記憶/T リンパ球ヘルパー; TLym ヘルプ Mem/TLym ヘルプ")</f>
        <v>T リンパ球ヘルパー記憶/T リンパ球ヘルパー; TLym ヘルプ Mem/TLym ヘルプ</v>
      </c>
      <c r="H5033" s="3" t="str">
        <f ca="1">IFERROR(__xludf.DUMMYFUNCTION("googletranslate(E5033,""en"",""ja"")"),"生物学的標本中の総ヘルパー T リンパ球に対するヘルパー メモリー T リンパ球の相対測定値 (比率またはパーセンテージ)。")</f>
        <v>生物学的標本中の総ヘルパー T リンパ球に対するヘルパー メモリー T リンパ球の相対測定値 (比率またはパーセンテージ)。</v>
      </c>
      <c r="I5033" s="3" t="str">
        <f ca="1">IFERROR(__xludf.DUMMYFUNCTION("googletranslate(F5033,""en"",""ja"")"),"メモリーヘルパーTリンパ球とヘルパーTリンパ球の比率の測定")</f>
        <v>メモリーヘルパーTリンパ球とヘルパーTリンパ球の比率の測定</v>
      </c>
    </row>
    <row r="5034" spans="1:9" ht="30">
      <c r="A5034" s="3" t="s">
        <v>103</v>
      </c>
      <c r="B5034" s="3" t="s">
        <v>20809</v>
      </c>
      <c r="C5034" s="3" t="s">
        <v>20810</v>
      </c>
      <c r="D5034" s="3" t="s">
        <v>20811</v>
      </c>
      <c r="E5034" s="3" t="s">
        <v>20812</v>
      </c>
      <c r="F5034" s="3" t="s">
        <v>20813</v>
      </c>
      <c r="G5034" s="3" t="str">
        <f ca="1">IFERROR(__xludf.DUMMYFUNCTION("googletranslate(D5034,""en"",""ja"")"),"T リンパ球ヘルパー ナイーブ; TLym ヘルプ ナイーブ")</f>
        <v>T リンパ球ヘルパー ナイーブ; TLym ヘルプ ナイーブ</v>
      </c>
      <c r="H5034" s="3" t="str">
        <f ca="1">IFERROR(__xludf.DUMMYFUNCTION("googletranslate(E5034,""en"",""ja"")"),"生物学的標本中のヘルパーナイーブ T リンパ球の測定。")</f>
        <v>生物学的標本中のヘルパーナイーブ T リンパ球の測定。</v>
      </c>
      <c r="I5034" s="3" t="str">
        <f ca="1">IFERROR(__xludf.DUMMYFUNCTION("googletranslate(F5034,""en"",""ja"")"),"ナイーブヘルパー T リンパ球数")</f>
        <v>ナイーブヘルパー T リンパ球数</v>
      </c>
    </row>
    <row r="5035" spans="1:9" ht="45">
      <c r="A5035" s="3" t="s">
        <v>103</v>
      </c>
      <c r="B5035" s="3" t="s">
        <v>20814</v>
      </c>
      <c r="C5035" s="3" t="s">
        <v>20815</v>
      </c>
      <c r="D5035" s="3" t="s">
        <v>20816</v>
      </c>
      <c r="E5035" s="3" t="s">
        <v>20817</v>
      </c>
      <c r="F5035" s="3" t="s">
        <v>20818</v>
      </c>
      <c r="G5035" s="3" t="str">
        <f ca="1">IFERROR(__xludf.DUMMYFUNCTION("googletranslate(D5035,""en"",""ja"")"),"T リンパ球はナイーブな部分集団をヘルパーします。 TLym ヘルプ ナイーブ サブ")</f>
        <v>T リンパ球はナイーブな部分集団をヘルパーします。 TLym ヘルプ ナイーブ サブ</v>
      </c>
      <c r="H5035" s="3" t="str">
        <f ca="1">IFERROR(__xludf.DUMMYFUNCTION("googletranslate(E5035,""en"",""ja"")"),"生物学的標本中のヘルパーナイーブ T リンパ球の部分集団の測定。")</f>
        <v>生物学的標本中のヘルパーナイーブ T リンパ球の部分集団の測定。</v>
      </c>
      <c r="I5035" s="3" t="str">
        <f ca="1">IFERROR(__xludf.DUMMYFUNCTION("googletranslate(F5035,""en"",""ja"")"),"ナイーブヘルパー T リンパ球部分集団数")</f>
        <v>ナイーブヘルパー T リンパ球部分集団数</v>
      </c>
    </row>
    <row r="5036" spans="1:9" ht="60">
      <c r="A5036" s="3" t="s">
        <v>103</v>
      </c>
      <c r="B5036" s="3" t="s">
        <v>20819</v>
      </c>
      <c r="C5036" s="3" t="s">
        <v>20820</v>
      </c>
      <c r="D5036" s="3" t="s">
        <v>20821</v>
      </c>
      <c r="E5036" s="3" t="s">
        <v>20822</v>
      </c>
      <c r="F5036" s="3" t="s">
        <v>20823</v>
      </c>
      <c r="G5036" s="3" t="str">
        <f ca="1">IFERROR(__xludf.DUMMYFUNCTION("googletranslate(D5036,""en"",""ja"")"),"T リンパ球ヘルパー ナイーブ亜集団/T リンパ球ヘルパー ナイーブ; TLym ヘルプ ナイーブ サブ/TLymHN")</f>
        <v>T リンパ球ヘルパー ナイーブ亜集団/T リンパ球ヘルパー ナイーブ; TLym ヘルプ ナイーブ サブ/TLymHN</v>
      </c>
      <c r="H5036" s="3" t="str">
        <f ca="1">IFERROR(__xludf.DUMMYFUNCTION("googletranslate(E5036,""en"",""ja"")"),"生物学的検体中の総ヘルパー ナイーブ T リンパ球に対するヘルパー ナイーブ T リンパ球の部分集団の相対測定値 (比率またはパーセンテージ)。")</f>
        <v>生物学的検体中の総ヘルパー ナイーブ T リンパ球に対するヘルパー ナイーブ T リンパ球の部分集団の相対測定値 (比率またはパーセンテージ)。</v>
      </c>
      <c r="I5036" s="3" t="str">
        <f ca="1">IFERROR(__xludf.DUMMYFUNCTION("googletranslate(F5036,""en"",""ja"")"),"ナイーブヘルパー T リンパ球部分集団とナイーブ ヘルパー T リンパ球の比率の測定")</f>
        <v>ナイーブヘルパー T リンパ球部分集団とナイーブ ヘルパー T リンパ球の比率の測定</v>
      </c>
    </row>
    <row r="5037" spans="1:9" ht="45">
      <c r="A5037" s="3" t="s">
        <v>103</v>
      </c>
      <c r="B5037" s="3" t="s">
        <v>20824</v>
      </c>
      <c r="C5037" s="3" t="s">
        <v>20825</v>
      </c>
      <c r="D5037" s="3" t="s">
        <v>20826</v>
      </c>
      <c r="E5037" s="3" t="s">
        <v>20827</v>
      </c>
      <c r="F5037" s="3" t="s">
        <v>20828</v>
      </c>
      <c r="G5037" s="3" t="str">
        <f ca="1">IFERROR(__xludf.DUMMYFUNCTION("googletranslate(D5037,""en"",""ja"")"),"T リンパ球ヘルパー ナイーブ亜集団/T リンパ球ヘルパー; TLym ヘルプ Naive Sub/TLym ヘルプ")</f>
        <v>T リンパ球ヘルパー ナイーブ亜集団/T リンパ球ヘルパー; TLym ヘルプ Naive Sub/TLym ヘルプ</v>
      </c>
      <c r="H5037" s="3" t="str">
        <f ca="1">IFERROR(__xludf.DUMMYFUNCTION("googletranslate(E5037,""en"",""ja"")"),"生物学的検体中の総ヘルパー T リンパ球に対するヘルパー ナイーブ T リンパ球の部分集団の相対測定値 (比率またはパーセンテージ)。")</f>
        <v>生物学的検体中の総ヘルパー T リンパ球に対するヘルパー ナイーブ T リンパ球の部分集団の相対測定値 (比率またはパーセンテージ)。</v>
      </c>
      <c r="I5037" s="3" t="str">
        <f ca="1">IFERROR(__xludf.DUMMYFUNCTION("googletranslate(F5037,""en"",""ja"")"),"ナイーブヘルパー T リンパ球部分集団とヘルパー T リンパ球の比率の測定")</f>
        <v>ナイーブヘルパー T リンパ球部分集団とヘルパー T リンパ球の比率の測定</v>
      </c>
    </row>
    <row r="5038" spans="1:9" ht="45">
      <c r="A5038" s="3" t="s">
        <v>103</v>
      </c>
      <c r="B5038" s="3" t="s">
        <v>20829</v>
      </c>
      <c r="C5038" s="3" t="s">
        <v>20830</v>
      </c>
      <c r="D5038" s="3" t="s">
        <v>20831</v>
      </c>
      <c r="E5038" s="3" t="s">
        <v>20832</v>
      </c>
      <c r="F5038" s="3" t="s">
        <v>20833</v>
      </c>
      <c r="G5038" s="3" t="str">
        <f ca="1">IFERROR(__xludf.DUMMYFUNCTION("googletranslate(D5038,""en"",""ja"")"),"T リンパ球ヘルパー ナイーブ/T リンパ球ヘルパー; TLym ヘルプ Naive/TLym ヘルプ")</f>
        <v>T リンパ球ヘルパー ナイーブ/T リンパ球ヘルパー; TLym ヘルプ Naive/TLym ヘルプ</v>
      </c>
      <c r="H5038" s="3" t="str">
        <f ca="1">IFERROR(__xludf.DUMMYFUNCTION("googletranslate(E5038,""en"",""ja"")"),"生物学的検体中の総ヘルパー T リンパ球に対するヘルパー ナイーブ T リンパ球の相対測定値 (比率またはパーセンテージ)。")</f>
        <v>生物学的検体中の総ヘルパー T リンパ球に対するヘルパー ナイーブ T リンパ球の相対測定値 (比率またはパーセンテージ)。</v>
      </c>
      <c r="I5038" s="3" t="str">
        <f ca="1">IFERROR(__xludf.DUMMYFUNCTION("googletranslate(F5038,""en"",""ja"")"),"ナイーブヘルパー T リンパ球とヘルパー T リンパ球の比率の測定")</f>
        <v>ナイーブヘルパー T リンパ球とヘルパー T リンパ球の比率の測定</v>
      </c>
    </row>
    <row r="5039" spans="1:9" ht="30">
      <c r="A5039" s="3" t="s">
        <v>103</v>
      </c>
      <c r="B5039" s="3" t="s">
        <v>20834</v>
      </c>
      <c r="C5039" s="3" t="s">
        <v>20835</v>
      </c>
      <c r="D5039" s="3" t="s">
        <v>20836</v>
      </c>
      <c r="E5039" s="3" t="s">
        <v>20837</v>
      </c>
      <c r="F5039" s="3" t="s">
        <v>20838</v>
      </c>
      <c r="G5039" s="3" t="str">
        <f ca="1">IFERROR(__xludf.DUMMYFUNCTION("googletranslate(D5039,""en"",""ja"")"),"Tリンパ球ヘルパー末梢; TLym ヘルプ周辺機器。 Tph")</f>
        <v>Tリンパ球ヘルパー末梢; TLym ヘルプ周辺機器。 Tph</v>
      </c>
      <c r="H5039" s="3" t="str">
        <f ca="1">IFERROR(__xludf.DUMMYFUNCTION("googletranslate(E5039,""en"",""ja"")"),"生物学的標本中の末梢ヘルパー T リンパ球の測定。")</f>
        <v>生物学的標本中の末梢ヘルパー T リンパ球の測定。</v>
      </c>
      <c r="I5039" s="3" t="str">
        <f ca="1">IFERROR(__xludf.DUMMYFUNCTION("googletranslate(F5039,""en"",""ja"")"),"末梢ヘルパー T リンパ球数")</f>
        <v>末梢ヘルパー T リンパ球数</v>
      </c>
    </row>
    <row r="5040" spans="1:9" ht="45">
      <c r="A5040" s="3" t="s">
        <v>103</v>
      </c>
      <c r="B5040" s="3" t="s">
        <v>20839</v>
      </c>
      <c r="C5040" s="3" t="s">
        <v>20840</v>
      </c>
      <c r="D5040" s="3" t="s">
        <v>20841</v>
      </c>
      <c r="E5040" s="3" t="s">
        <v>20842</v>
      </c>
      <c r="F5040" s="3" t="s">
        <v>20843</v>
      </c>
      <c r="G5040" s="3" t="str">
        <f ca="1">IFERROR(__xludf.DUMMYFUNCTION("googletranslate(D5040,""en"",""ja"")"),"T リンパ球ヘルパー末梢亜集団。 TLym ヘルプ周辺機器サブ; Tphサブ")</f>
        <v>T リンパ球ヘルパー末梢亜集団。 TLym ヘルプ周辺機器サブ; Tphサブ</v>
      </c>
      <c r="H5040" s="3" t="str">
        <f ca="1">IFERROR(__xludf.DUMMYFUNCTION("googletranslate(E5040,""en"",""ja"")"),"生物学的標本中の末梢ヘルパー T リンパ球の部分集団の測定。")</f>
        <v>生物学的標本中の末梢ヘルパー T リンパ球の部分集団の測定。</v>
      </c>
      <c r="I5040" s="3" t="str">
        <f ca="1">IFERROR(__xludf.DUMMYFUNCTION("googletranslate(F5040,""en"",""ja"")"),"末梢ヘルパー T リンパ球部分集団数")</f>
        <v>末梢ヘルパー T リンパ球部分集団数</v>
      </c>
    </row>
    <row r="5041" spans="1:9" ht="90">
      <c r="A5041" s="3" t="s">
        <v>103</v>
      </c>
      <c r="B5041" s="3" t="s">
        <v>20844</v>
      </c>
      <c r="C5041" s="3" t="s">
        <v>20845</v>
      </c>
      <c r="D5041" s="3" t="s">
        <v>20846</v>
      </c>
      <c r="E5041" s="3" t="s">
        <v>20847</v>
      </c>
      <c r="F5041" s="3" t="s">
        <v>20848</v>
      </c>
      <c r="G5041" s="3" t="str">
        <f ca="1">IFERROR(__xludf.DUMMYFUNCTION("googletranslate(D5041,""en"",""ja"")"),"T リンパ球ヘルパー末梢亜集団/T リンパ球ヘルパー末梢; TLym ヘルプ ペリフェラル サブ/TLym ヘルプ ペリフェラル; TLym ヘルプ ペリフェラル サブ/TLymHP; Tph サブ/Tph")</f>
        <v>T リンパ球ヘルパー末梢亜集団/T リンパ球ヘルパー末梢; TLym ヘルプ ペリフェラル サブ/TLym ヘルプ ペリフェラル; TLym ヘルプ ペリフェラル サブ/TLymHP; Tph サブ/Tph</v>
      </c>
      <c r="H5041" s="3" t="str">
        <f ca="1">IFERROR(__xludf.DUMMYFUNCTION("googletranslate(E5041,""en"",""ja"")"),"生物学的標本中の総末梢ヘルパー T リンパ球に対する末梢ヘルパー T リンパ球の部分集団の相対測定値 (比率またはパーセンテージ)。")</f>
        <v>生物学的標本中の総末梢ヘルパー T リンパ球に対する末梢ヘルパー T リンパ球の部分集団の相対測定値 (比率またはパーセンテージ)。</v>
      </c>
      <c r="I5041" s="3" t="str">
        <f ca="1">IFERROR(__xludf.DUMMYFUNCTION("googletranslate(F5041,""en"",""ja"")"),"末梢ヘルパー T リンパ球部分集団と末梢ヘルパー T リンパ球の比率の測定")</f>
        <v>末梢ヘルパー T リンパ球部分集団と末梢ヘルパー T リンパ球の比率の測定</v>
      </c>
    </row>
    <row r="5042" spans="1:9" ht="90">
      <c r="A5042" s="3" t="s">
        <v>103</v>
      </c>
      <c r="B5042" s="3" t="s">
        <v>20849</v>
      </c>
      <c r="C5042" s="3" t="s">
        <v>20850</v>
      </c>
      <c r="D5042" s="3" t="s">
        <v>20851</v>
      </c>
      <c r="E5042" s="3" t="s">
        <v>20852</v>
      </c>
      <c r="F5042" s="3" t="s">
        <v>20853</v>
      </c>
      <c r="G5042" s="3" t="str">
        <f ca="1">IFERROR(__xludf.DUMMYFUNCTION("googletranslate(D5042,""en"",""ja"")"),"T リンパ球ヘルパー 末梢亜集団/T リンパ球ヘルパー; TLym ヘルプ ペリフェラル サブ/TLym ヘルプ; TLym ヘルプ ペリフェラル サブ/TLymH; Tph Sub/TLym ヘルプ")</f>
        <v>T リンパ球ヘルパー 末梢亜集団/T リンパ球ヘルパー; TLym ヘルプ ペリフェラル サブ/TLym ヘルプ; TLym ヘルプ ペリフェラル サブ/TLymH; Tph Sub/TLym ヘルプ</v>
      </c>
      <c r="H5042" s="3" t="str">
        <f ca="1">IFERROR(__xludf.DUMMYFUNCTION("googletranslate(E5042,""en"",""ja"")"),"生物学的標本中の総ヘルパー T リンパ球に対する末梢ヘルパー T リンパ球の部分集団の相対測定値 (比率またはパーセンテージ)。")</f>
        <v>生物学的標本中の総ヘルパー T リンパ球に対する末梢ヘルパー T リンパ球の部分集団の相対測定値 (比率またはパーセンテージ)。</v>
      </c>
      <c r="I5042" s="3" t="str">
        <f ca="1">IFERROR(__xludf.DUMMYFUNCTION("googletranslate(F5042,""en"",""ja"")"),"末梢ヘルパー T リンパ球部分集団とヘルパー T リンパ球の比率の測定")</f>
        <v>末梢ヘルパー T リンパ球部分集団とヘルパー T リンパ球の比率の測定</v>
      </c>
    </row>
    <row r="5043" spans="1:9" ht="75">
      <c r="A5043" s="3" t="s">
        <v>103</v>
      </c>
      <c r="B5043" s="3" t="s">
        <v>20854</v>
      </c>
      <c r="C5043" s="3" t="s">
        <v>20855</v>
      </c>
      <c r="D5043" s="3" t="s">
        <v>20856</v>
      </c>
      <c r="E5043" s="3" t="s">
        <v>20857</v>
      </c>
      <c r="F5043" s="3" t="s">
        <v>20858</v>
      </c>
      <c r="G5043" s="3" t="str">
        <f ca="1">IFERROR(__xludf.DUMMYFUNCTION("googletranslate(D5043,""en"",""ja"")"),"T リンパ球ヘルパー 末梢/T リンパ球ヘルパー; TLym ヘルプ 周辺機器/TLym ヘルプ; TLym ヘルプ周辺機器/TLymH; Tph/TlymH")</f>
        <v>T リンパ球ヘルパー 末梢/T リンパ球ヘルパー; TLym ヘルプ 周辺機器/TLym ヘルプ; TLym ヘルプ周辺機器/TLymH; Tph/TlymH</v>
      </c>
      <c r="H5043" s="3" t="str">
        <f ca="1">IFERROR(__xludf.DUMMYFUNCTION("googletranslate(E5043,""en"",""ja"")"),"生物学的検体中の総ヘルパー T リンパ球に対する末梢ヘルパー T リンパ球の相対測定値 (比率またはパーセンテージ)。")</f>
        <v>生物学的検体中の総ヘルパー T リンパ球に対する末梢ヘルパー T リンパ球の相対測定値 (比率またはパーセンテージ)。</v>
      </c>
      <c r="I5043" s="3" t="str">
        <f ca="1">IFERROR(__xludf.DUMMYFUNCTION("googletranslate(F5043,""en"",""ja"")"),"末梢ヘルパー T リンパ球とヘルパー T リンパ球の比率の測定")</f>
        <v>末梢ヘルパー T リンパ球とヘルパー T リンパ球の比率の測定</v>
      </c>
    </row>
    <row r="5044" spans="1:9" ht="90">
      <c r="A5044" s="3" t="s">
        <v>103</v>
      </c>
      <c r="B5044" s="3" t="s">
        <v>20859</v>
      </c>
      <c r="C5044" s="3" t="s">
        <v>20860</v>
      </c>
      <c r="D5044" s="3" t="s">
        <v>20861</v>
      </c>
      <c r="E5044" s="3" t="s">
        <v>20862</v>
      </c>
      <c r="F5044" s="3" t="s">
        <v>20863</v>
      </c>
      <c r="G5044" s="3" t="str">
        <f ca="1">IFERROR(__xludf.DUMMYFUNCTION("googletranslate(D5044,""en"",""ja"")"),"T リンパ球ヘルパー末梢/T リンパ球ヘルパー サブ集団。 TLym ヘルプ周辺機器/TLym ヘルプ サブ; TLym ヘルプ周辺機器/TLymHS; Tph/TLym ヘルプ サブ")</f>
        <v>T リンパ球ヘルパー末梢/T リンパ球ヘルパー サブ集団。 TLym ヘルプ周辺機器/TLym ヘルプ サブ; TLym ヘルプ周辺機器/TLymHS; Tph/TLym ヘルプ サブ</v>
      </c>
      <c r="H5044" s="3" t="str">
        <f ca="1">IFERROR(__xludf.DUMMYFUNCTION("googletranslate(E5044,""en"",""ja"")"),"生物学的標本中のヘルパー T リンパ球の部分集団に対するヘルパー末梢 T リンパ球の相対測定値 (比率)。")</f>
        <v>生物学的標本中のヘルパー T リンパ球の部分集団に対するヘルパー末梢 T リンパ球の相対測定値 (比率)。</v>
      </c>
      <c r="I5044" s="3" t="str">
        <f ca="1">IFERROR(__xludf.DUMMYFUNCTION("googletranslate(F5044,""en"",""ja"")"),"ヘルパー末梢 T リンパ球とヘルパー T リンパ球部分集団の比率の測定")</f>
        <v>ヘルパー末梢 T リンパ球とヘルパー T リンパ球部分集団の比率の測定</v>
      </c>
    </row>
    <row r="5045" spans="1:9" ht="30">
      <c r="A5045" s="3" t="s">
        <v>103</v>
      </c>
      <c r="B5045" s="3" t="s">
        <v>20864</v>
      </c>
      <c r="C5045" s="3" t="s">
        <v>20865</v>
      </c>
      <c r="D5045" s="3" t="s">
        <v>20866</v>
      </c>
      <c r="E5045" s="3" t="s">
        <v>20867</v>
      </c>
      <c r="F5045" s="3" t="s">
        <v>20868</v>
      </c>
      <c r="G5045" s="3" t="str">
        <f ca="1">IFERROR(__xludf.DUMMYFUNCTION("googletranslate(D5045,""en"",""ja"")"),"Tリンパ球ヘルパー調節エフェクター; TLym ヘルプ Reg Eff")</f>
        <v>Tリンパ球ヘルパー調節エフェクター; TLym ヘルプ Reg Eff</v>
      </c>
      <c r="H5045" s="3" t="str">
        <f ca="1">IFERROR(__xludf.DUMMYFUNCTION("googletranslate(E5045,""en"",""ja"")"),"生物学的標本中のヘルパー制御エフェクター T リンパ球の測定。")</f>
        <v>生物学的標本中のヘルパー制御エフェクター T リンパ球の測定。</v>
      </c>
      <c r="I5045" s="3" t="str">
        <f ca="1">IFERROR(__xludf.DUMMYFUNCTION("googletranslate(F5045,""en"",""ja"")"),"調節エフェクターヘルパー T リンパ球数")</f>
        <v>調節エフェクターヘルパー T リンパ球数</v>
      </c>
    </row>
    <row r="5046" spans="1:9" ht="60">
      <c r="A5046" s="3" t="s">
        <v>103</v>
      </c>
      <c r="B5046" s="3" t="s">
        <v>20869</v>
      </c>
      <c r="C5046" s="3" t="s">
        <v>20870</v>
      </c>
      <c r="D5046" s="3" t="s">
        <v>20871</v>
      </c>
      <c r="E5046" s="3" t="s">
        <v>20872</v>
      </c>
      <c r="F5046" s="3" t="s">
        <v>20873</v>
      </c>
      <c r="G5046" s="3" t="str">
        <f ca="1">IFERROR(__xludf.DUMMYFUNCTION("googletranslate(D5046,""en"",""ja"")"),"T リンパ球ヘルパー調節エフェクター/白血球; TLym ヘルプ Reg Eff/Leuk; TLym ヘルプ Reg Eff/白血球")</f>
        <v>T リンパ球ヘルパー調節エフェクター/白血球; TLym ヘルプ Reg Eff/Leuk; TLym ヘルプ Reg Eff/白血球</v>
      </c>
      <c r="H5046" s="3" t="str">
        <f ca="1">IFERROR(__xludf.DUMMYFUNCTION("googletranslate(E5046,""en"",""ja"")"),"生物学的検体中の総白血球に対するヘルパー制御エフェクター T リンパ球の相対測定値 (比率またはパーセンテージ)。")</f>
        <v>生物学的検体中の総白血球に対するヘルパー制御エフェクター T リンパ球の相対測定値 (比率またはパーセンテージ)。</v>
      </c>
      <c r="I5046" s="3" t="str">
        <f ca="1">IFERROR(__xludf.DUMMYFUNCTION("googletranslate(F5046,""en"",""ja"")"),"エフェクターヘルパー制御性 T リンパ球と白血球の比率の測定")</f>
        <v>エフェクターヘルパー制御性 T リンパ球と白血球の比率の測定</v>
      </c>
    </row>
    <row r="5047" spans="1:9" ht="60">
      <c r="A5047" s="3" t="s">
        <v>103</v>
      </c>
      <c r="B5047" s="3" t="s">
        <v>20874</v>
      </c>
      <c r="C5047" s="3" t="s">
        <v>20875</v>
      </c>
      <c r="D5047" s="3" t="s">
        <v>20876</v>
      </c>
      <c r="E5047" s="3" t="s">
        <v>20877</v>
      </c>
      <c r="F5047" s="3" t="s">
        <v>20878</v>
      </c>
      <c r="G5047" s="3" t="str">
        <f ca="1">IFERROR(__xludf.DUMMYFUNCTION("googletranslate(D5047,""en"",""ja"")"),"T リンパ球ヘルパー調節エフェクター/リンパ球; TLym ヘルプ Reg Eff/Lym; TLym ヘルプ Reg Eff/リンパ球")</f>
        <v>T リンパ球ヘルパー調節エフェクター/リンパ球; TLym ヘルプ Reg Eff/Lym; TLym ヘルプ Reg Eff/リンパ球</v>
      </c>
      <c r="H5047" s="3" t="str">
        <f ca="1">IFERROR(__xludf.DUMMYFUNCTION("googletranslate(E5047,""en"",""ja"")"),"生物学的検体中の総リンパ球に対するヘルパー制御エフェクター T リンパ球の相対測定値 (比率またはパーセンテージ)。")</f>
        <v>生物学的検体中の総リンパ球に対するヘルパー制御エフェクター T リンパ球の相対測定値 (比率またはパーセンテージ)。</v>
      </c>
      <c r="I5047" s="3" t="str">
        <f ca="1">IFERROR(__xludf.DUMMYFUNCTION("googletranslate(F5047,""en"",""ja"")"),"エフェクターヘルパー制御性 T リンパ球とリンパ球の比率の測定")</f>
        <v>エフェクターヘルパー制御性 T リンパ球とリンパ球の比率の測定</v>
      </c>
    </row>
    <row r="5048" spans="1:9" ht="45">
      <c r="A5048" s="3" t="s">
        <v>103</v>
      </c>
      <c r="B5048" s="3" t="s">
        <v>20879</v>
      </c>
      <c r="C5048" s="3" t="s">
        <v>20880</v>
      </c>
      <c r="D5048" s="3" t="s">
        <v>20881</v>
      </c>
      <c r="E5048" s="3" t="s">
        <v>20882</v>
      </c>
      <c r="F5048" s="3" t="s">
        <v>20883</v>
      </c>
      <c r="G5048" s="3" t="str">
        <f ca="1">IFERROR(__xludf.DUMMYFUNCTION("googletranslate(D5048,""en"",""ja"")"),"T リンパ球、ヘルパー制御エフェクターのサブ集団。 TLym ヘルプ Reg Eff Sub")</f>
        <v>T リンパ球、ヘルパー制御エフェクターのサブ集団。 TLym ヘルプ Reg Eff Sub</v>
      </c>
      <c r="H5048" s="3" t="str">
        <f ca="1">IFERROR(__xludf.DUMMYFUNCTION("googletranslate(E5048,""en"",""ja"")"),"生物学的標本中のヘルパー制御エフェクター T リンパ球の部分集団の測定。")</f>
        <v>生物学的標本中のヘルパー制御エフェクター T リンパ球の部分集団の測定。</v>
      </c>
      <c r="I5048" s="3" t="str">
        <f ca="1">IFERROR(__xludf.DUMMYFUNCTION("googletranslate(F5048,""en"",""ja"")"),"調節エフェクターヘルパー T リンパ球部分集団数")</f>
        <v>調節エフェクターヘルパー T リンパ球部分集団数</v>
      </c>
    </row>
    <row r="5049" spans="1:9" ht="60">
      <c r="A5049" s="3" t="s">
        <v>103</v>
      </c>
      <c r="B5049" s="3" t="s">
        <v>20884</v>
      </c>
      <c r="C5049" s="3" t="s">
        <v>20885</v>
      </c>
      <c r="D5049" s="3" t="s">
        <v>20886</v>
      </c>
      <c r="E5049" s="3" t="s">
        <v>20887</v>
      </c>
      <c r="F5049" s="3" t="s">
        <v>20888</v>
      </c>
      <c r="G5049" s="3" t="str">
        <f ca="1">IFERROR(__xludf.DUMMYFUNCTION("googletranslate(D5049,""en"",""ja"")"),"T リンパ球ヘルパー制御エフェクター/T リンパ球ヘルパー制御; TLym ヘルプ登録 Eff/TLymHR")</f>
        <v>T リンパ球ヘルパー制御エフェクター/T リンパ球ヘルパー制御; TLym ヘルプ登録 Eff/TLymHR</v>
      </c>
      <c r="H5049" s="3" t="str">
        <f ca="1">IFERROR(__xludf.DUMMYFUNCTION("googletranslate(E5049,""en"",""ja"")"),"生物学的検体中の総ヘルパー制御性 T リンパ球に対するヘルパー制御性エフェクター T リンパ球の相対測定値 (比率またはパーセンテージ)。")</f>
        <v>生物学的検体中の総ヘルパー制御性 T リンパ球に対するヘルパー制御性エフェクター T リンパ球の相対測定値 (比率またはパーセンテージ)。</v>
      </c>
      <c r="I5049" s="3" t="str">
        <f ca="1">IFERROR(__xludf.DUMMYFUNCTION("googletranslate(F5049,""en"",""ja"")"),"エフェクターヘルパー制御性Tリンパ球と制御性ヘルパーTリンパ球の比率の測定")</f>
        <v>エフェクターヘルパー制御性Tリンパ球と制御性ヘルパーTリンパ球の比率の測定</v>
      </c>
    </row>
    <row r="5050" spans="1:9" ht="45">
      <c r="A5050" s="3" t="s">
        <v>103</v>
      </c>
      <c r="B5050" s="3" t="s">
        <v>20889</v>
      </c>
      <c r="C5050" s="3" t="s">
        <v>20890</v>
      </c>
      <c r="D5050" s="3" t="s">
        <v>20891</v>
      </c>
      <c r="E5050" s="3" t="s">
        <v>20892</v>
      </c>
      <c r="F5050" s="3" t="s">
        <v>20893</v>
      </c>
      <c r="G5050" s="3" t="str">
        <f ca="1">IFERROR(__xludf.DUMMYFUNCTION("googletranslate(D5050,""en"",""ja"")"),"T リンパ球ヘルパー調節エフェクター/T リンパ球ヘルパー; TLym ヘルプ Reg Eff/TLym ヘルプ")</f>
        <v>T リンパ球ヘルパー調節エフェクター/T リンパ球ヘルパー; TLym ヘルプ Reg Eff/TLym ヘルプ</v>
      </c>
      <c r="H5050" s="3" t="str">
        <f ca="1">IFERROR(__xludf.DUMMYFUNCTION("googletranslate(E5050,""en"",""ja"")"),"生物学的検体中の総ヘルパー T リンパ球に対するヘルパー制御エフェクター T リンパ球の相対測定値 (比率またはパーセンテージ)。")</f>
        <v>生物学的検体中の総ヘルパー T リンパ球に対するヘルパー制御エフェクター T リンパ球の相対測定値 (比率またはパーセンテージ)。</v>
      </c>
      <c r="I5050" s="3" t="str">
        <f ca="1">IFERROR(__xludf.DUMMYFUNCTION("googletranslate(F5050,""en"",""ja"")"),"エフェクターヘルパー制御性 T リンパ球とヘルパー T リンパ球の比率の測定")</f>
        <v>エフェクターヘルパー制御性 T リンパ球とヘルパー T リンパ球の比率の測定</v>
      </c>
    </row>
    <row r="5051" spans="1:9" ht="60">
      <c r="A5051" s="3" t="s">
        <v>103</v>
      </c>
      <c r="B5051" s="3" t="s">
        <v>20894</v>
      </c>
      <c r="C5051" s="3" t="s">
        <v>20895</v>
      </c>
      <c r="D5051" s="3" t="s">
        <v>20896</v>
      </c>
      <c r="E5051" s="3" t="s">
        <v>20897</v>
      </c>
      <c r="F5051" s="3" t="s">
        <v>20898</v>
      </c>
      <c r="G5051" s="3" t="str">
        <f ca="1">IFERROR(__xludf.DUMMYFUNCTION("googletranslate(D5051,""en"",""ja"")"),"T リンパ球ヘルパー制御エフェクター/T リンパ球; TLym ヘルプ Reg Eff/T リンパ球; TLym ヘルプ Reg Eff/TLym")</f>
        <v>T リンパ球ヘルパー制御エフェクター/T リンパ球; TLym ヘルプ Reg Eff/T リンパ球; TLym ヘルプ Reg Eff/TLym</v>
      </c>
      <c r="H5051" s="3" t="str">
        <f ca="1">IFERROR(__xludf.DUMMYFUNCTION("googletranslate(E5051,""en"",""ja"")"),"生物学的検体中の総 T リンパ球に対するヘルパー制御エフェクター T リンパ球の相対測定値 (比率またはパーセンテージ)。")</f>
        <v>生物学的検体中の総 T リンパ球に対するヘルパー制御エフェクター T リンパ球の相対測定値 (比率またはパーセンテージ)。</v>
      </c>
      <c r="I5051" s="3" t="str">
        <f ca="1">IFERROR(__xludf.DUMMYFUNCTION("googletranslate(F5051,""en"",""ja"")"),"エフェクターヘルパー制御性 T リンパ球と T リンパ球の比率の測定")</f>
        <v>エフェクターヘルパー制御性 T リンパ球と T リンパ球の比率の測定</v>
      </c>
    </row>
    <row r="5052" spans="1:9" ht="30">
      <c r="A5052" s="3" t="s">
        <v>103</v>
      </c>
      <c r="B5052" s="3" t="s">
        <v>20899</v>
      </c>
      <c r="C5052" s="3" t="s">
        <v>20900</v>
      </c>
      <c r="D5052" s="3" t="s">
        <v>20901</v>
      </c>
      <c r="E5052" s="3" t="s">
        <v>20902</v>
      </c>
      <c r="F5052" s="3" t="s">
        <v>20903</v>
      </c>
      <c r="G5052" s="3" t="str">
        <f ca="1">IFERROR(__xludf.DUMMYFUNCTION("googletranslate(D5052,""en"",""ja"")"),"Tリンパ球ヘルパー制御記憶。 TLym ヘルプ登録メモリ")</f>
        <v>Tリンパ球ヘルパー制御記憶。 TLym ヘルプ登録メモリ</v>
      </c>
      <c r="H5052" s="3" t="str">
        <f ca="1">IFERROR(__xludf.DUMMYFUNCTION("googletranslate(E5052,""en"",""ja"")"),"生物学的標本中のヘルパー制御記憶 T リンパ球の測定。")</f>
        <v>生物学的標本中のヘルパー制御記憶 T リンパ球の測定。</v>
      </c>
      <c r="I5052" s="3" t="str">
        <f ca="1">IFERROR(__xludf.DUMMYFUNCTION("googletranslate(F5052,""en"",""ja"")"),"調節記憶ヘルパー T リンパ球数")</f>
        <v>調節記憶ヘルパー T リンパ球数</v>
      </c>
    </row>
    <row r="5053" spans="1:9" ht="45">
      <c r="A5053" s="3" t="s">
        <v>103</v>
      </c>
      <c r="B5053" s="3" t="s">
        <v>20904</v>
      </c>
      <c r="C5053" s="3" t="s">
        <v>20905</v>
      </c>
      <c r="D5053" s="3" t="s">
        <v>20906</v>
      </c>
      <c r="E5053" s="3" t="s">
        <v>20907</v>
      </c>
      <c r="F5053" s="3" t="s">
        <v>20908</v>
      </c>
      <c r="G5053" s="3" t="str">
        <f ca="1">IFERROR(__xludf.DUMMYFUNCTION("googletranslate(D5053,""en"",""ja"")"),"T リンパ球ヘルパー制御記憶サブ集団。 TLym ヘルプ登録メモリサブ")</f>
        <v>T リンパ球ヘルパー制御記憶サブ集団。 TLym ヘルプ登録メモリサブ</v>
      </c>
      <c r="H5053" s="3" t="str">
        <f ca="1">IFERROR(__xludf.DUMMYFUNCTION("googletranslate(E5053,""en"",""ja"")"),"生物学的標本中のヘルパー制御記憶 T リンパ球の部分集団の測定。")</f>
        <v>生物学的標本中のヘルパー制御記憶 T リンパ球の部分集団の測定。</v>
      </c>
      <c r="I5053" s="3" t="str">
        <f ca="1">IFERROR(__xludf.DUMMYFUNCTION("googletranslate(F5053,""en"",""ja"")"),"調節記憶ヘルパー T リンパ球部分集団数")</f>
        <v>調節記憶ヘルパー T リンパ球部分集団数</v>
      </c>
    </row>
    <row r="5054" spans="1:9" ht="75">
      <c r="A5054" s="3" t="s">
        <v>103</v>
      </c>
      <c r="B5054" s="3" t="s">
        <v>20909</v>
      </c>
      <c r="C5054" s="3" t="s">
        <v>20910</v>
      </c>
      <c r="D5054" s="3" t="s">
        <v>20911</v>
      </c>
      <c r="E5054" s="3" t="s">
        <v>20912</v>
      </c>
      <c r="F5054" s="3" t="s">
        <v>20913</v>
      </c>
      <c r="G5054" s="3" t="str">
        <f ca="1">IFERROR(__xludf.DUMMYFUNCTION("googletranslate(D5054,""en"",""ja"")"),"T リンパ球ヘルパー制御記憶サブ集団/T リンパ球ヘルパー制御記憶; TLym ヘルプ登録メモリ サブ/TLymHRM")</f>
        <v>T リンパ球ヘルパー制御記憶サブ集団/T リンパ球ヘルパー制御記憶; TLym ヘルプ登録メモリ サブ/TLymHRM</v>
      </c>
      <c r="H5054" s="3" t="str">
        <f ca="1">IFERROR(__xludf.DUMMYFUNCTION("googletranslate(E5054,""en"",""ja"")"),"生物学的検体中の総ヘルパー制御メモリー T リンパ球に対するヘルパー制御メモリー T リンパ球の部分集団の相対測定値 (比率またはパーセンテージ)。")</f>
        <v>生物学的検体中の総ヘルパー制御メモリー T リンパ球に対するヘルパー制御メモリー T リンパ球の部分集団の相対測定値 (比率またはパーセンテージ)。</v>
      </c>
      <c r="I5054" s="3" t="str">
        <f ca="1">IFERROR(__xludf.DUMMYFUNCTION("googletranslate(F5054,""en"",""ja"")"),"制御メモリヘルパー T リンパ球サブ集団と制御メモリヘルパー T リンパ球の比率の測定")</f>
        <v>制御メモリヘルパー T リンパ球サブ集団と制御メモリヘルパー T リンパ球の比率の測定</v>
      </c>
    </row>
    <row r="5055" spans="1:9" ht="60">
      <c r="A5055" s="3" t="s">
        <v>103</v>
      </c>
      <c r="B5055" s="3" t="s">
        <v>20914</v>
      </c>
      <c r="C5055" s="3" t="s">
        <v>20915</v>
      </c>
      <c r="D5055" s="3" t="s">
        <v>20916</v>
      </c>
      <c r="E5055" s="3" t="s">
        <v>20917</v>
      </c>
      <c r="F5055" s="3" t="s">
        <v>20918</v>
      </c>
      <c r="G5055" s="3" t="str">
        <f ca="1">IFERROR(__xludf.DUMMYFUNCTION("googletranslate(D5055,""en"",""ja"")"),"T リンパ球ヘルパー制御記憶/T リンパ球ヘルパー制御; TLym ヘルプ登録メモリ/TLymHR")</f>
        <v>T リンパ球ヘルパー制御記憶/T リンパ球ヘルパー制御; TLym ヘルプ登録メモリ/TLymHR</v>
      </c>
      <c r="H5055" s="3" t="str">
        <f ca="1">IFERROR(__xludf.DUMMYFUNCTION("googletranslate(E5055,""en"",""ja"")"),"生物学的検体中の総ヘルパー制御性 T リンパ球に対するヘルパー制御性メモリー T リンパ球の相対測定値 (比率またはパーセンテージ)。")</f>
        <v>生物学的検体中の総ヘルパー制御性 T リンパ球に対するヘルパー制御性メモリー T リンパ球の相対測定値 (比率またはパーセンテージ)。</v>
      </c>
      <c r="I5055" s="3" t="str">
        <f ca="1">IFERROR(__xludf.DUMMYFUNCTION("googletranslate(F5055,""en"",""ja"")"),"レギュラトリーメモリーヘルパーTリンパ球とレギュラトリーヘルパーTリンパ球の比率の測定")</f>
        <v>レギュラトリーメモリーヘルパーTリンパ球とレギュラトリーヘルパーTリンパ球の比率の測定</v>
      </c>
    </row>
    <row r="5056" spans="1:9" ht="45">
      <c r="A5056" s="3" t="s">
        <v>103</v>
      </c>
      <c r="B5056" s="3" t="s">
        <v>20919</v>
      </c>
      <c r="C5056" s="3" t="s">
        <v>20920</v>
      </c>
      <c r="D5056" s="3" t="s">
        <v>20921</v>
      </c>
      <c r="E5056" s="3" t="s">
        <v>20922</v>
      </c>
      <c r="F5056" s="3" t="s">
        <v>20923</v>
      </c>
      <c r="G5056" s="3" t="str">
        <f ca="1">IFERROR(__xludf.DUMMYFUNCTION("googletranslate(D5056,""en"",""ja"")"),"T リンパ球ヘルパーの規制を受けていない。 TLym ヘルプ Reg ナイーブ")</f>
        <v>T リンパ球ヘルパーの規制を受けていない。 TLym ヘルプ Reg ナイーブ</v>
      </c>
      <c r="H5056" s="3" t="str">
        <f ca="1">IFERROR(__xludf.DUMMYFUNCTION("googletranslate(E5056,""en"",""ja"")"),"生物学的標本中のヘルパー制御ナイーブ T リンパ球の測定。")</f>
        <v>生物学的標本中のヘルパー制御ナイーブ T リンパ球の測定。</v>
      </c>
      <c r="I5056" s="3" t="str">
        <f ca="1">IFERROR(__xludf.DUMMYFUNCTION("googletranslate(F5056,""en"",""ja"")"),"ナイーブな調節ヘルパー T リンパ球数")</f>
        <v>ナイーブな調節ヘルパー T リンパ球数</v>
      </c>
    </row>
    <row r="5057" spans="1:9" ht="45">
      <c r="A5057" s="3" t="s">
        <v>103</v>
      </c>
      <c r="B5057" s="3" t="s">
        <v>20924</v>
      </c>
      <c r="C5057" s="3" t="s">
        <v>20925</v>
      </c>
      <c r="D5057" s="3" t="s">
        <v>20926</v>
      </c>
      <c r="E5057" s="3" t="s">
        <v>20927</v>
      </c>
      <c r="F5057" s="3" t="s">
        <v>20928</v>
      </c>
      <c r="G5057" s="3" t="str">
        <f ca="1">IFERROR(__xludf.DUMMYFUNCTION("googletranslate(D5057,""en"",""ja"")"),"T リンパ球ヘルパー調節ナイーブ/白血球; TLym ヘルプ Reg Naive/Leuk")</f>
        <v>T リンパ球ヘルパー調節ナイーブ/白血球; TLym ヘルプ Reg Naive/Leuk</v>
      </c>
      <c r="H5057" s="3" t="str">
        <f ca="1">IFERROR(__xludf.DUMMYFUNCTION("googletranslate(E5057,""en"",""ja"")"),"生物学的標本中の白血球に対するヘルパー制御ナイーブ T リンパ球の相対測定値 (比率またはパーセンテージ)。")</f>
        <v>生物学的標本中の白血球に対するヘルパー制御ナイーブ T リンパ球の相対測定値 (比率またはパーセンテージ)。</v>
      </c>
      <c r="I5057" s="3" t="str">
        <f ca="1">IFERROR(__xludf.DUMMYFUNCTION("googletranslate(F5057,""en"",""ja"")"),"ナイーブな調節ヘルパー T リンパ球と白血球の比率の測定")</f>
        <v>ナイーブな調節ヘルパー T リンパ球と白血球の比率の測定</v>
      </c>
    </row>
    <row r="5058" spans="1:9" ht="45">
      <c r="A5058" s="3" t="s">
        <v>103</v>
      </c>
      <c r="B5058" s="3" t="s">
        <v>20929</v>
      </c>
      <c r="C5058" s="3" t="s">
        <v>20930</v>
      </c>
      <c r="D5058" s="3" t="s">
        <v>20931</v>
      </c>
      <c r="E5058" s="3" t="s">
        <v>20932</v>
      </c>
      <c r="F5058" s="3" t="s">
        <v>20933</v>
      </c>
      <c r="G5058" s="3" t="str">
        <f ca="1">IFERROR(__xludf.DUMMYFUNCTION("googletranslate(D5058,""en"",""ja"")"),"T リンパ球ヘルパー規制のナイーブな部分集団。 TLym ヘルプ Reg Naive Sub")</f>
        <v>T リンパ球ヘルパー規制のナイーブな部分集団。 TLym ヘルプ Reg Naive Sub</v>
      </c>
      <c r="H5058" s="3" t="str">
        <f ca="1">IFERROR(__xludf.DUMMYFUNCTION("googletranslate(E5058,""en"",""ja"")"),"生物学的標本中のヘルパー制御ナイーブ T リンパ球の部分集団の測定。")</f>
        <v>生物学的標本中のヘルパー制御ナイーブ T リンパ球の部分集団の測定。</v>
      </c>
      <c r="I5058" s="3" t="str">
        <f ca="1">IFERROR(__xludf.DUMMYFUNCTION("googletranslate(F5058,""en"",""ja"")"),"ナイーブな調節ヘルパー T リンパ球部分集団数")</f>
        <v>ナイーブな調節ヘルパー T リンパ球部分集団数</v>
      </c>
    </row>
    <row r="5059" spans="1:9" ht="75">
      <c r="A5059" s="3" t="s">
        <v>103</v>
      </c>
      <c r="B5059" s="3" t="s">
        <v>20934</v>
      </c>
      <c r="C5059" s="3" t="s">
        <v>20935</v>
      </c>
      <c r="D5059" s="3" t="s">
        <v>20936</v>
      </c>
      <c r="E5059" s="3" t="s">
        <v>20937</v>
      </c>
      <c r="F5059" s="3" t="s">
        <v>20938</v>
      </c>
      <c r="G5059" s="3" t="str">
        <f ca="1">IFERROR(__xludf.DUMMYFUNCTION("googletranslate(D5059,""en"",""ja"")"),"T リンパ球ヘルパー調節ナイーブサブ集団/T リンパ球ヘルパー調節ナイーブ; TLym ヘルプ Reg Naive Sub/TLymHRN")</f>
        <v>T リンパ球ヘルパー調節ナイーブサブ集団/T リンパ球ヘルパー調節ナイーブ; TLym ヘルプ Reg Naive Sub/TLymHRN</v>
      </c>
      <c r="H5059" s="3" t="str">
        <f ca="1">IFERROR(__xludf.DUMMYFUNCTION("googletranslate(E5059,""en"",""ja"")"),"生物学的検体中の総ヘルパー制御性ナイーブ T リンパ球に対するヘルパー制御性ナイーブ T リンパ球の部分集団の相対測定値 (比率またはパーセンテージ)。")</f>
        <v>生物学的検体中の総ヘルパー制御性ナイーブ T リンパ球に対するヘルパー制御性ナイーブ T リンパ球の部分集団の相対測定値 (比率またはパーセンテージ)。</v>
      </c>
      <c r="I5059" s="3" t="str">
        <f ca="1">IFERROR(__xludf.DUMMYFUNCTION("googletranslate(F5059,""en"",""ja"")"),"ナイーブ制御ヘルパー T リンパ球部分集団とナイーブ制御ヘルパー T リンパ球の比率の測定")</f>
        <v>ナイーブ制御ヘルパー T リンパ球部分集団とナイーブ制御ヘルパー T リンパ球の比率の測定</v>
      </c>
    </row>
    <row r="5060" spans="1:9" ht="60">
      <c r="A5060" s="3" t="s">
        <v>103</v>
      </c>
      <c r="B5060" s="3" t="s">
        <v>20939</v>
      </c>
      <c r="C5060" s="3" t="s">
        <v>20940</v>
      </c>
      <c r="D5060" s="3" t="s">
        <v>20941</v>
      </c>
      <c r="E5060" s="3" t="s">
        <v>20942</v>
      </c>
      <c r="F5060" s="3" t="s">
        <v>20943</v>
      </c>
      <c r="G5060" s="3" t="str">
        <f ca="1">IFERROR(__xludf.DUMMYFUNCTION("googletranslate(D5060,""en"",""ja"")"),"T リンパ球ヘルパー制御ナイーブ/T リンパ球ヘルパー制御; TLym ヘルプ Reg Naive/TLymHR")</f>
        <v>T リンパ球ヘルパー制御ナイーブ/T リンパ球ヘルパー制御; TLym ヘルプ Reg Naive/TLymHR</v>
      </c>
      <c r="H5060" s="3" t="str">
        <f ca="1">IFERROR(__xludf.DUMMYFUNCTION("googletranslate(E5060,""en"",""ja"")"),"生物学的検体中の総ヘルパー制御性 T リンパ球に対するヘルパー制御性ナイーブ T リンパ球の相対測定値 (比率またはパーセンテージ)。")</f>
        <v>生物学的検体中の総ヘルパー制御性 T リンパ球に対するヘルパー制御性ナイーブ T リンパ球の相対測定値 (比率またはパーセンテージ)。</v>
      </c>
      <c r="I5060" s="3" t="str">
        <f ca="1">IFERROR(__xludf.DUMMYFUNCTION("googletranslate(F5060,""en"",""ja"")"),"ナイーブな調節ヘルパー T リンパ球と調節ヘルパー T リンパ球の比率の測定")</f>
        <v>ナイーブな調節ヘルパー T リンパ球と調節ヘルパー T リンパ球の比率の測定</v>
      </c>
    </row>
    <row r="5061" spans="1:9" ht="45">
      <c r="A5061" s="3" t="s">
        <v>103</v>
      </c>
      <c r="B5061" s="3" t="s">
        <v>20944</v>
      </c>
      <c r="C5061" s="3" t="s">
        <v>20945</v>
      </c>
      <c r="D5061" s="3" t="s">
        <v>20946</v>
      </c>
      <c r="E5061" s="3" t="s">
        <v>20947</v>
      </c>
      <c r="F5061" s="3" t="s">
        <v>20948</v>
      </c>
      <c r="G5061" s="3" t="str">
        <f ca="1">IFERROR(__xludf.DUMMYFUNCTION("googletranslate(D5061,""en"",""ja"")"),"T リンパ球ヘルパー 規制ナイーブ/T リンパ球ヘルパー; TLym ヘルプ Reg Naive/TLym ヘルプ")</f>
        <v>T リンパ球ヘルパー 規制ナイーブ/T リンパ球ヘルパー; TLym ヘルプ Reg Naive/TLym ヘルプ</v>
      </c>
      <c r="H5061" s="3" t="str">
        <f ca="1">IFERROR(__xludf.DUMMYFUNCTION("googletranslate(E5061,""en"",""ja"")"),"生物学的検体中の総ヘルパー T リンパ球に対するヘルパー制御ナイーブ T リンパ球の相対測定値 (比率またはパーセンテージ)。")</f>
        <v>生物学的検体中の総ヘルパー T リンパ球に対するヘルパー制御ナイーブ T リンパ球の相対測定値 (比率またはパーセンテージ)。</v>
      </c>
      <c r="I5061" s="3" t="str">
        <f ca="1">IFERROR(__xludf.DUMMYFUNCTION("googletranslate(F5061,""en"",""ja"")"),"単純な調節ヘルパー T リンパ球とヘルパー T リンパ球の比率の測定")</f>
        <v>単純な調節ヘルパー T リンパ球とヘルパー T リンパ球の比率の測定</v>
      </c>
    </row>
    <row r="5062" spans="1:9" ht="60">
      <c r="A5062" s="3" t="s">
        <v>103</v>
      </c>
      <c r="B5062" s="3" t="s">
        <v>20949</v>
      </c>
      <c r="C5062" s="3" t="s">
        <v>20950</v>
      </c>
      <c r="D5062" s="3" t="s">
        <v>20951</v>
      </c>
      <c r="E5062" s="3" t="s">
        <v>20952</v>
      </c>
      <c r="F5062" s="3" t="s">
        <v>20953</v>
      </c>
      <c r="G5062" s="3" t="str">
        <f ca="1">IFERROR(__xludf.DUMMYFUNCTION("googletranslate(D5062,""en"",""ja"")"),"T リンパ球ヘルパー調節ナイーブ/T リンパ球; TLym ヘルプ Reg ナイーブ/T リンパ球; TLym ヘルプ Reg Naive/TLym")</f>
        <v>T リンパ球ヘルパー調節ナイーブ/T リンパ球; TLym ヘルプ Reg ナイーブ/T リンパ球; TLym ヘルプ Reg Naive/TLym</v>
      </c>
      <c r="H5062" s="3" t="str">
        <f ca="1">IFERROR(__xludf.DUMMYFUNCTION("googletranslate(E5062,""en"",""ja"")"),"生物学的検体中の総 T リンパ球に対するヘルパー制御ナイーブ T リンパ球の相対測定値 (比率またはパーセンテージ)。")</f>
        <v>生物学的検体中の総 T リンパ球に対するヘルパー制御ナイーブ T リンパ球の相対測定値 (比率またはパーセンテージ)。</v>
      </c>
      <c r="I5062" s="3" t="str">
        <f ca="1">IFERROR(__xludf.DUMMYFUNCTION("googletranslate(F5062,""en"",""ja"")"),"ナイーブな調節ヘルパー T リンパ球と T リンパ球の比率の測定")</f>
        <v>ナイーブな調節ヘルパー T リンパ球と T リンパ球の比率の測定</v>
      </c>
    </row>
    <row r="5063" spans="1:9" ht="30">
      <c r="A5063" s="3" t="s">
        <v>103</v>
      </c>
      <c r="B5063" s="3" t="s">
        <v>20954</v>
      </c>
      <c r="C5063" s="3" t="s">
        <v>20955</v>
      </c>
      <c r="D5063" s="3" t="s">
        <v>20956</v>
      </c>
      <c r="E5063" s="3" t="s">
        <v>20957</v>
      </c>
      <c r="F5063" s="3" t="s">
        <v>20958</v>
      </c>
      <c r="G5063" s="3" t="str">
        <f ca="1">IFERROR(__xludf.DUMMYFUNCTION("googletranslate(D5063,""en"",""ja"")"),"T リンパ球ヘルパー規制下位集団。 TLym ヘルプ登録サブ")</f>
        <v>T リンパ球ヘルパー規制下位集団。 TLym ヘルプ登録サブ</v>
      </c>
      <c r="H5063" s="3" t="str">
        <f ca="1">IFERROR(__xludf.DUMMYFUNCTION("googletranslate(E5063,""en"",""ja"")"),"生物学的標本中のヘルパー制御性 T リンパ球の部分集団の測定。")</f>
        <v>生物学的標本中のヘルパー制御性 T リンパ球の部分集団の測定。</v>
      </c>
      <c r="I5063" s="3" t="str">
        <f ca="1">IFERROR(__xludf.DUMMYFUNCTION("googletranslate(F5063,""en"",""ja"")"),"ヘルパー制御性 T リンパ球部分集団数")</f>
        <v>ヘルパー制御性 T リンパ球部分集団数</v>
      </c>
    </row>
    <row r="5064" spans="1:9" ht="60">
      <c r="A5064" s="3" t="s">
        <v>103</v>
      </c>
      <c r="B5064" s="3" t="s">
        <v>20959</v>
      </c>
      <c r="C5064" s="3" t="s">
        <v>20960</v>
      </c>
      <c r="D5064" s="3" t="s">
        <v>20961</v>
      </c>
      <c r="E5064" s="3" t="s">
        <v>20962</v>
      </c>
      <c r="F5064" s="3" t="s">
        <v>20963</v>
      </c>
      <c r="G5064" s="3" t="str">
        <f ca="1">IFERROR(__xludf.DUMMYFUNCTION("googletranslate(D5064,""en"",""ja"")"),"T リンパ球ヘルパー制御サブ集団/T リンパ球ヘルパー制御; TLym ヘルプ登録サブ/TLymHR")</f>
        <v>T リンパ球ヘルパー制御サブ集団/T リンパ球ヘルパー制御; TLym ヘルプ登録サブ/TLymHR</v>
      </c>
      <c r="H5064" s="3" t="str">
        <f ca="1">IFERROR(__xludf.DUMMYFUNCTION("googletranslate(E5064,""en"",""ja"")"),"生物学的検体中の総ヘルパー制御性 T リンパ球に対するヘルパー制御性 T リンパ球の部分集団の相対測定値 (比率またはパーセンテージ)。")</f>
        <v>生物学的検体中の総ヘルパー制御性 T リンパ球に対するヘルパー制御性 T リンパ球の部分集団の相対測定値 (比率またはパーセンテージ)。</v>
      </c>
      <c r="I5064" s="3" t="str">
        <f ca="1">IFERROR(__xludf.DUMMYFUNCTION("googletranslate(F5064,""en"",""ja"")"),"調節ヘルパー T リンパ球部分集団と調節ヘルパー T リンパ球の比率の測定")</f>
        <v>調節ヘルパー T リンパ球部分集団と調節ヘルパー T リンパ球の比率の測定</v>
      </c>
    </row>
    <row r="5065" spans="1:9" ht="60">
      <c r="A5065" s="3" t="s">
        <v>103</v>
      </c>
      <c r="B5065" s="3" t="s">
        <v>20964</v>
      </c>
      <c r="C5065" s="3" t="s">
        <v>20965</v>
      </c>
      <c r="D5065" s="3" t="s">
        <v>20966</v>
      </c>
      <c r="E5065" s="3" t="s">
        <v>20967</v>
      </c>
      <c r="F5065" s="3" t="s">
        <v>20968</v>
      </c>
      <c r="G5065" s="3" t="str">
        <f ca="1">IFERROR(__xludf.DUMMYFUNCTION("googletranslate(D5065,""en"",""ja"")"),"T リンパ球ヘルパー規制サブ集団/T リンパ球ヘルパー; TLym ヘルプ Reg Sub/TLym ヘルプ")</f>
        <v>T リンパ球ヘルパー規制サブ集団/T リンパ球ヘルパー; TLym ヘルプ Reg Sub/TLym ヘルプ</v>
      </c>
      <c r="H5065" s="3" t="str">
        <f ca="1">IFERROR(__xludf.DUMMYFUNCTION("googletranslate(E5065,""en"",""ja"")"),"生物学的検体中の総ヘルパー T リンパ球に対するヘルパー制御性 T リンパ球の部分集団の相対測定値 (比率またはパーセンテージ)。")</f>
        <v>生物学的検体中の総ヘルパー T リンパ球に対するヘルパー制御性 T リンパ球の部分集団の相対測定値 (比率またはパーセンテージ)。</v>
      </c>
      <c r="I5065" s="3" t="str">
        <f ca="1">IFERROR(__xludf.DUMMYFUNCTION("googletranslate(F5065,""en"",""ja"")"),"調節性ヘルパー T リンパ球部分集団とヘルパー T リンパ球の比率の測定")</f>
        <v>調節性ヘルパー T リンパ球部分集団とヘルパー T リンパ球の比率の測定</v>
      </c>
    </row>
    <row r="5066" spans="1:9" ht="45">
      <c r="A5066" s="3" t="s">
        <v>103</v>
      </c>
      <c r="B5066" s="3" t="s">
        <v>20969</v>
      </c>
      <c r="C5066" s="3" t="s">
        <v>20970</v>
      </c>
      <c r="D5066" s="3" t="s">
        <v>20971</v>
      </c>
      <c r="E5066" s="3" t="s">
        <v>20972</v>
      </c>
      <c r="F5066" s="3" t="s">
        <v>20973</v>
      </c>
      <c r="G5066" s="3" t="str">
        <f ca="1">IFERROR(__xludf.DUMMYFUNCTION("googletranslate(D5066,""en"",""ja"")"),"T リンパ球ヘルパー調節/T リンパ球ヘルパー; TLym ヘルプ Reg/TLym ヘルプ")</f>
        <v>T リンパ球ヘルパー調節/T リンパ球ヘルパー; TLym ヘルプ Reg/TLym ヘルプ</v>
      </c>
      <c r="H5066" s="3" t="str">
        <f ca="1">IFERROR(__xludf.DUMMYFUNCTION("googletranslate(E5066,""en"",""ja"")"),"生物学的検体中の総ヘルパー T リンパ球に対するヘルパー制御性 T リンパ球の相対測定値 (比率またはパーセンテージ)。")</f>
        <v>生物学的検体中の総ヘルパー T リンパ球に対するヘルパー制御性 T リンパ球の相対測定値 (比率またはパーセンテージ)。</v>
      </c>
      <c r="I5066" s="3" t="str">
        <f ca="1">IFERROR(__xludf.DUMMYFUNCTION("googletranslate(F5066,""en"",""ja"")"),"調節性ヘルパー T リンパ球とヘルパー T リンパ球の比率の測定")</f>
        <v>調節性ヘルパー T リンパ球とヘルパー T リンパ球の比率の測定</v>
      </c>
    </row>
    <row r="5067" spans="1:9" ht="30">
      <c r="A5067" s="3" t="s">
        <v>103</v>
      </c>
      <c r="B5067" s="3" t="s">
        <v>20974</v>
      </c>
      <c r="C5067" s="3" t="s">
        <v>20975</v>
      </c>
      <c r="D5067" s="3" t="s">
        <v>20976</v>
      </c>
      <c r="E5067" s="3" t="s">
        <v>20977</v>
      </c>
      <c r="F5067" s="3" t="s">
        <v>20978</v>
      </c>
      <c r="G5067" s="3" t="str">
        <f ca="1">IFERROR(__xludf.DUMMYFUNCTION("googletranslate(D5067,""en"",""ja"")"),"Tリンパ球ヘルパー幹細胞の記憶。 TLym ヘルプ SC メム")</f>
        <v>Tリンパ球ヘルパー幹細胞の記憶。 TLym ヘルプ SC メム</v>
      </c>
      <c r="H5067" s="3" t="str">
        <f ca="1">IFERROR(__xludf.DUMMYFUNCTION("googletranslate(E5067,""en"",""ja"")"),"生物学的標本中のヘルパー幹細胞メモリー T リンパ球の測定。")</f>
        <v>生物学的標本中のヘルパー幹細胞メモリー T リンパ球の測定。</v>
      </c>
      <c r="I5067" s="3" t="str">
        <f ca="1">IFERROR(__xludf.DUMMYFUNCTION("googletranslate(F5067,""en"",""ja"")"),"幹細胞メモリーヘルパー T リンパ球数")</f>
        <v>幹細胞メモリーヘルパー T リンパ球数</v>
      </c>
    </row>
    <row r="5068" spans="1:9" ht="45">
      <c r="A5068" s="3" t="s">
        <v>103</v>
      </c>
      <c r="B5068" s="3" t="s">
        <v>20979</v>
      </c>
      <c r="C5068" s="3" t="s">
        <v>20980</v>
      </c>
      <c r="D5068" s="3" t="s">
        <v>20981</v>
      </c>
      <c r="E5068" s="3" t="s">
        <v>20982</v>
      </c>
      <c r="F5068" s="3" t="s">
        <v>20983</v>
      </c>
      <c r="G5068" s="3" t="str">
        <f ca="1">IFERROR(__xludf.DUMMYFUNCTION("googletranslate(D5068,""en"",""ja"")"),"T リンパ球ヘルパー幹細胞記憶部分集団。 Tlym ヘルプ SC Mem Sub")</f>
        <v>T リンパ球ヘルパー幹細胞記憶部分集団。 Tlym ヘルプ SC Mem Sub</v>
      </c>
      <c r="H5068" s="3" t="str">
        <f ca="1">IFERROR(__xludf.DUMMYFUNCTION("googletranslate(E5068,""en"",""ja"")"),"生物学的標本中のヘルパー幹細胞メモリー T リンパ球の部分集団の測定。")</f>
        <v>生物学的標本中のヘルパー幹細胞メモリー T リンパ球の部分集団の測定。</v>
      </c>
      <c r="I5068" s="3" t="str">
        <f ca="1">IFERROR(__xludf.DUMMYFUNCTION("googletranslate(F5068,""en"",""ja"")"),"幹細胞メモリーヘルパー T リンパ球部分集団数")</f>
        <v>幹細胞メモリーヘルパー T リンパ球部分集団数</v>
      </c>
    </row>
    <row r="5069" spans="1:9" ht="75">
      <c r="A5069" s="3" t="s">
        <v>103</v>
      </c>
      <c r="B5069" s="3" t="s">
        <v>20984</v>
      </c>
      <c r="C5069" s="3" t="s">
        <v>20985</v>
      </c>
      <c r="D5069" s="3" t="s">
        <v>20986</v>
      </c>
      <c r="E5069" s="3" t="s">
        <v>20987</v>
      </c>
      <c r="F5069" s="3" t="s">
        <v>20988</v>
      </c>
      <c r="G5069" s="3" t="str">
        <f ca="1">IFERROR(__xludf.DUMMYFUNCTION("googletranslate(D5069,""en"",""ja"")"),"T リンパ球ヘルパー幹細胞記憶サブ集団/T リンパ球ヘルパー幹細胞記憶; TLym ヘルプ SC Mem Sub/TLymHSCM")</f>
        <v>T リンパ球ヘルパー幹細胞記憶サブ集団/T リンパ球ヘルパー幹細胞記憶; TLym ヘルプ SC Mem Sub/TLymHSCM</v>
      </c>
      <c r="H5069" s="3" t="str">
        <f ca="1">IFERROR(__xludf.DUMMYFUNCTION("googletranslate(E5069,""en"",""ja"")"),"生物学的標本中の総ヘルパー幹細胞メモリー T リンパ球に対するヘルパー幹細胞メモリー T リンパ球の部分集団の相対測定値 (比率またはパーセンテージ)。")</f>
        <v>生物学的標本中の総ヘルパー幹細胞メモリー T リンパ球に対するヘルパー幹細胞メモリー T リンパ球の部分集団の相対測定値 (比率またはパーセンテージ)。</v>
      </c>
      <c r="I5069" s="3" t="str">
        <f ca="1">IFERROR(__xludf.DUMMYFUNCTION("googletranslate(F5069,""en"",""ja"")"),"幹細胞メモリーヘルパー T リンパ球部分集団と幹細胞メモリーヘルパー T リンパ球の比率の測定")</f>
        <v>幹細胞メモリーヘルパー T リンパ球部分集団と幹細胞メモリーヘルパー T リンパ球の比率の測定</v>
      </c>
    </row>
    <row r="5070" spans="1:9" ht="45">
      <c r="A5070" s="3" t="s">
        <v>103</v>
      </c>
      <c r="B5070" s="3" t="s">
        <v>20989</v>
      </c>
      <c r="C5070" s="3" t="s">
        <v>20990</v>
      </c>
      <c r="D5070" s="3" t="s">
        <v>20991</v>
      </c>
      <c r="E5070" s="3" t="s">
        <v>20992</v>
      </c>
      <c r="F5070" s="3" t="s">
        <v>20993</v>
      </c>
      <c r="G5070" s="3" t="str">
        <f ca="1">IFERROR(__xludf.DUMMYFUNCTION("googletranslate(D5070,""en"",""ja"")"),"T リンパ球ヘルパー 幹細胞記憶/T リンパ球ヘルパー; TLym ヘルプ SC Mem/TLym ヘルプ")</f>
        <v>T リンパ球ヘルパー 幹細胞記憶/T リンパ球ヘルパー; TLym ヘルプ SC Mem/TLym ヘルプ</v>
      </c>
      <c r="H5070" s="3" t="str">
        <f ca="1">IFERROR(__xludf.DUMMYFUNCTION("googletranslate(E5070,""en"",""ja"")"),"生物学的標本中の総ヘルパー T リンパ球に対するヘルパー幹細胞メモリー T リンパ球の相対測定値 (比率またはパーセンテージ)。")</f>
        <v>生物学的標本中の総ヘルパー T リンパ球に対するヘルパー幹細胞メモリー T リンパ球の相対測定値 (比率またはパーセンテージ)。</v>
      </c>
      <c r="I5070" s="3" t="str">
        <f ca="1">IFERROR(__xludf.DUMMYFUNCTION("googletranslate(F5070,""en"",""ja"")"),"幹細胞記憶ヘルパー T リンパ球とヘルパー T リンパ球の比率の測定")</f>
        <v>幹細胞記憶ヘルパー T リンパ球とヘルパー T リンパ球の比率の測定</v>
      </c>
    </row>
    <row r="5071" spans="1:9" ht="45">
      <c r="A5071" s="3" t="s">
        <v>103</v>
      </c>
      <c r="B5071" s="3" t="s">
        <v>20994</v>
      </c>
      <c r="C5071" s="3" t="s">
        <v>20995</v>
      </c>
      <c r="D5071" s="3" t="s">
        <v>20996</v>
      </c>
      <c r="E5071" s="3" t="s">
        <v>20997</v>
      </c>
      <c r="F5071" s="3" t="s">
        <v>20998</v>
      </c>
      <c r="G5071" s="3" t="str">
        <f ca="1">IFERROR(__xludf.DUMMYFUNCTION("googletranslate(D5071,""en"",""ja"")"),"T リンパ球ヘルパー亜集団/ヘルパー T リンパ球; TLym ヘルプ サブ/TLym ヘルプ")</f>
        <v>T リンパ球ヘルパー亜集団/ヘルパー T リンパ球; TLym ヘルプ サブ/TLym ヘルプ</v>
      </c>
      <c r="H5071" s="3" t="str">
        <f ca="1">IFERROR(__xludf.DUMMYFUNCTION("googletranslate(E5071,""en"",""ja"")"),"生物学的検体中の総ヘルパー T リンパ球に対するヘルパー T リンパ球の部分集団の相対測定値 (比率またはパーセンテージ)。")</f>
        <v>生物学的検体中の総ヘルパー T リンパ球に対するヘルパー T リンパ球の部分集団の相対測定値 (比率またはパーセンテージ)。</v>
      </c>
      <c r="I5071" s="3" t="str">
        <f ca="1">IFERROR(__xludf.DUMMYFUNCTION("googletranslate(F5071,""en"",""ja"")"),"ヘルパー T リンパ球部分集団とヘルパー T リンパ球の比率の測定")</f>
        <v>ヘルパー T リンパ球部分集団とヘルパー T リンパ球の比率の測定</v>
      </c>
    </row>
    <row r="5072" spans="1:9" ht="30">
      <c r="A5072" s="3" t="s">
        <v>103</v>
      </c>
      <c r="B5072" s="3" t="s">
        <v>20999</v>
      </c>
      <c r="C5072" s="3" t="s">
        <v>21000</v>
      </c>
      <c r="D5072" s="3" t="s">
        <v>21001</v>
      </c>
      <c r="E5072" s="3" t="s">
        <v>21002</v>
      </c>
      <c r="F5072" s="3" t="s">
        <v>21003</v>
      </c>
      <c r="G5072" s="3" t="str">
        <f ca="1">IFERROR(__xludf.DUMMYFUNCTION("googletranslate(D5072,""en"",""ja"")"),"Tリンパ球ヘルパーターミナルメモリー; TLym ヘルプ用語メモ")</f>
        <v>Tリンパ球ヘルパーターミナルメモリー; TLym ヘルプ用語メモ</v>
      </c>
      <c r="H5072" s="3" t="str">
        <f ca="1">IFERROR(__xludf.DUMMYFUNCTION("googletranslate(E5072,""en"",""ja"")"),"生物学的標本中のヘルパー終末記憶 T リンパ球の測定。")</f>
        <v>生物学的標本中のヘルパー終末記憶 T リンパ球の測定。</v>
      </c>
      <c r="I5072" s="3" t="str">
        <f ca="1">IFERROR(__xludf.DUMMYFUNCTION("googletranslate(F5072,""en"",""ja"")"),"ターミナルメモリーヘルパーTリンパ球数")</f>
        <v>ターミナルメモリーヘルパーTリンパ球数</v>
      </c>
    </row>
    <row r="5073" spans="1:9" ht="45">
      <c r="A5073" s="3" t="s">
        <v>103</v>
      </c>
      <c r="B5073" s="3" t="s">
        <v>21004</v>
      </c>
      <c r="C5073" s="3" t="s">
        <v>21005</v>
      </c>
      <c r="D5073" s="3" t="s">
        <v>21006</v>
      </c>
      <c r="E5073" s="3" t="s">
        <v>21007</v>
      </c>
      <c r="F5073" s="3" t="s">
        <v>21008</v>
      </c>
      <c r="G5073" s="3" t="str">
        <f ca="1">IFERROR(__xludf.DUMMYFUNCTION("googletranslate(D5073,""en"",""ja"")"),"T リンパ球ヘルパーターミナル記憶サブ集団。 TLym ヘルプ用語 Mem Sub")</f>
        <v>T リンパ球ヘルパーターミナル記憶サブ集団。 TLym ヘルプ用語 Mem Sub</v>
      </c>
      <c r="H5073" s="3" t="str">
        <f ca="1">IFERROR(__xludf.DUMMYFUNCTION("googletranslate(E5073,""en"",""ja"")"),"生物学的標本中のヘルパー終末記憶 T リンパ球の部分集団の測定。")</f>
        <v>生物学的標本中のヘルパー終末記憶 T リンパ球の部分集団の測定。</v>
      </c>
      <c r="I5073" s="3" t="str">
        <f ca="1">IFERROR(__xludf.DUMMYFUNCTION("googletranslate(F5073,""en"",""ja"")"),"ターミナルメモリーヘルパーTリンパ球部分集団数")</f>
        <v>ターミナルメモリーヘルパーTリンパ球部分集団数</v>
      </c>
    </row>
    <row r="5074" spans="1:9" ht="75">
      <c r="A5074" s="3" t="s">
        <v>103</v>
      </c>
      <c r="B5074" s="3" t="s">
        <v>21009</v>
      </c>
      <c r="C5074" s="3" t="s">
        <v>21010</v>
      </c>
      <c r="D5074" s="3" t="s">
        <v>21011</v>
      </c>
      <c r="E5074" s="3" t="s">
        <v>21012</v>
      </c>
      <c r="F5074" s="3" t="s">
        <v>21013</v>
      </c>
      <c r="G5074" s="3" t="str">
        <f ca="1">IFERROR(__xludf.DUMMYFUNCTION("googletranslate(D5074,""en"",""ja"")"),"T リンパ球ヘルパーターミナル記憶サブ集団/T リンパ球ヘルパーターミナル記憶; TLym ヘルプ用語 Mem Sub/TLymHTM")</f>
        <v>T リンパ球ヘルパーターミナル記憶サブ集団/T リンパ球ヘルパーターミナル記憶; TLym ヘルプ用語 Mem Sub/TLymHTM</v>
      </c>
      <c r="H5074" s="3" t="str">
        <f ca="1">IFERROR(__xludf.DUMMYFUNCTION("googletranslate(E5074,""en"",""ja"")"),"生物学的標本中の総ヘルパー終末記憶 T リンパ球に対するヘルパー終末記憶 T リンパ球の部分集団の相対測定値 (比率またはパーセンテージ)。")</f>
        <v>生物学的標本中の総ヘルパー終末記憶 T リンパ球に対するヘルパー終末記憶 T リンパ球の部分集団の相対測定値 (比率またはパーセンテージ)。</v>
      </c>
      <c r="I5074" s="3" t="str">
        <f ca="1">IFERROR(__xludf.DUMMYFUNCTION("googletranslate(F5074,""en"",""ja"")"),"ターミナルメモリーヘルパーTリンパ球部分集団とターミナルメモリーヘルパーTリンパ球の比率の測定")</f>
        <v>ターミナルメモリーヘルパーTリンパ球部分集団とターミナルメモリーヘルパーTリンパ球の比率の測定</v>
      </c>
    </row>
    <row r="5075" spans="1:9" ht="60">
      <c r="A5075" s="3" t="s">
        <v>103</v>
      </c>
      <c r="B5075" s="3" t="s">
        <v>21014</v>
      </c>
      <c r="C5075" s="3" t="s">
        <v>21015</v>
      </c>
      <c r="D5075" s="3" t="s">
        <v>21016</v>
      </c>
      <c r="E5075" s="3" t="s">
        <v>21017</v>
      </c>
      <c r="F5075" s="3" t="s">
        <v>21018</v>
      </c>
      <c r="G5075" s="3" t="str">
        <f ca="1">IFERROR(__xludf.DUMMYFUNCTION("googletranslate(D5075,""en"",""ja"")"),"T リンパ球ヘルパー ターミナル記憶サブ集団/T リンパ球ヘルパー; TLym ヘルプ用語 Mem Sub/TLym ヘルプ")</f>
        <v>T リンパ球ヘルパー ターミナル記憶サブ集団/T リンパ球ヘルパー; TLym ヘルプ用語 Mem Sub/TLym ヘルプ</v>
      </c>
      <c r="H5075" s="3" t="str">
        <f ca="1">IFERROR(__xludf.DUMMYFUNCTION("googletranslate(E5075,""en"",""ja"")"),"生物学的標本中の総ヘルパー T リンパ球に対するヘルパー終末記憶 T リンパ球の部分集団の相対測定値 (比率またはパーセンテージ)。")</f>
        <v>生物学的標本中の総ヘルパー T リンパ球に対するヘルパー終末記憶 T リンパ球の部分集団の相対測定値 (比率またはパーセンテージ)。</v>
      </c>
      <c r="I5075" s="3" t="str">
        <f ca="1">IFERROR(__xludf.DUMMYFUNCTION("googletranslate(F5075,""en"",""ja"")"),"ターミナルメモリーヘルパーTリンパ球部分集団とヘルパーTリンパ球の比率の測定")</f>
        <v>ターミナルメモリーヘルパーTリンパ球部分集団とヘルパーTリンパ球の比率の測定</v>
      </c>
    </row>
    <row r="5076" spans="1:9" ht="60">
      <c r="A5076" s="3" t="s">
        <v>103</v>
      </c>
      <c r="B5076" s="3" t="s">
        <v>21019</v>
      </c>
      <c r="C5076" s="3" t="s">
        <v>21020</v>
      </c>
      <c r="D5076" s="3" t="s">
        <v>21021</v>
      </c>
      <c r="E5076" s="3" t="s">
        <v>21022</v>
      </c>
      <c r="F5076" s="3" t="s">
        <v>21023</v>
      </c>
      <c r="G5076" s="3" t="str">
        <f ca="1">IFERROR(__xludf.DUMMYFUNCTION("googletranslate(D5076,""en"",""ja"")"),"T リンパ球ヘルパー ターミナル メモリー/T リンパ球ヘルパー; TLym ヘルプ用語 Mem/TLym ヘルプ")</f>
        <v>T リンパ球ヘルパー ターミナル メモリー/T リンパ球ヘルパー; TLym ヘルプ用語 Mem/TLym ヘルプ</v>
      </c>
      <c r="H5076" s="3" t="str">
        <f ca="1">IFERROR(__xludf.DUMMYFUNCTION("googletranslate(E5076,""en"",""ja"")"),"生物学的検体中の総ヘルパー T リンパ球に対するヘルパー終末記憶 T リンパ球の相対測定値 (比率またはパーセンテージ)。")</f>
        <v>生物学的検体中の総ヘルパー T リンパ球に対するヘルパー終末記憶 T リンパ球の相対測定値 (比率またはパーセンテージ)。</v>
      </c>
      <c r="I5076" s="3" t="str">
        <f ca="1">IFERROR(__xludf.DUMMYFUNCTION("googletranslate(F5076,""en"",""ja"")"),"ターミナルメモリーヘルパーTリンパ球とヘルパーTリンパ球の比率測定")</f>
        <v>ターミナルメモリーヘルパーTリンパ球とヘルパーTリンパ球の比率測定</v>
      </c>
    </row>
    <row r="5077" spans="1:9" ht="45">
      <c r="A5077" s="3" t="s">
        <v>103</v>
      </c>
      <c r="B5077" s="3" t="s">
        <v>21024</v>
      </c>
      <c r="C5077" s="3" t="s">
        <v>21025</v>
      </c>
      <c r="D5077" s="3" t="s">
        <v>21026</v>
      </c>
      <c r="E5077" s="3" t="s">
        <v>21027</v>
      </c>
      <c r="F5077" s="3" t="s">
        <v>21028</v>
      </c>
      <c r="G5077" s="3" t="str">
        <f ca="1">IFERROR(__xludf.DUMMYFUNCTION("googletranslate(D5077,""en"",""ja"")"),"T細胞/白血球; Tリンパ球/白血球; Tリム/レウク")</f>
        <v>T細胞/白血球; Tリンパ球/白血球; Tリム/レウク</v>
      </c>
      <c r="H5077" s="3" t="str">
        <f ca="1">IFERROR(__xludf.DUMMYFUNCTION("googletranslate(E5077,""en"",""ja"")"),"生物学的標本における白血球に対する T リンパ球の相対的な測定値 (比率またはパーセンテージ)。")</f>
        <v>生物学的標本における白血球に対する T リンパ球の相対的な測定値 (比率またはパーセンテージ)。</v>
      </c>
      <c r="I5077" s="3" t="str">
        <f ca="1">IFERROR(__xludf.DUMMYFUNCTION("googletranslate(F5077,""en"",""ja"")"),"Tリンパ球と白血球の比率の測定")</f>
        <v>Tリンパ球と白血球の比率の測定</v>
      </c>
    </row>
    <row r="5078" spans="1:9" ht="30">
      <c r="A5078" s="3" t="s">
        <v>103</v>
      </c>
      <c r="B5078" s="3" t="s">
        <v>21029</v>
      </c>
      <c r="C5078" s="3" t="s">
        <v>21030</v>
      </c>
      <c r="D5078" s="3" t="s">
        <v>21031</v>
      </c>
      <c r="E5078" s="3" t="s">
        <v>21032</v>
      </c>
      <c r="F5078" s="3" t="s">
        <v>21033</v>
      </c>
      <c r="G5078" s="3" t="str">
        <f ca="1">IFERROR(__xludf.DUMMYFUNCTION("googletranslate(D5078,""en"",""ja"")"),"T リンパ球ナイーブ。 Tリム・ナイーブ")</f>
        <v>T リンパ球ナイーブ。 Tリム・ナイーブ</v>
      </c>
      <c r="H5078" s="3" t="str">
        <f ca="1">IFERROR(__xludf.DUMMYFUNCTION("googletranslate(E5078,""en"",""ja"")"),"生物学的標本中のナイーブ T リンパ球の測定。")</f>
        <v>生物学的標本中のナイーブ T リンパ球の測定。</v>
      </c>
      <c r="I5078" s="3" t="str">
        <f ca="1">IFERROR(__xludf.DUMMYFUNCTION("googletranslate(F5078,""en"",""ja"")"),"ナイーブ T リンパ球数")</f>
        <v>ナイーブ T リンパ球数</v>
      </c>
    </row>
    <row r="5079" spans="1:9" ht="30">
      <c r="A5079" s="3" t="s">
        <v>103</v>
      </c>
      <c r="B5079" s="3" t="s">
        <v>21034</v>
      </c>
      <c r="C5079" s="3" t="s">
        <v>21035</v>
      </c>
      <c r="D5079" s="3" t="s">
        <v>21036</v>
      </c>
      <c r="E5079" s="3" t="s">
        <v>21037</v>
      </c>
      <c r="F5079" s="3" t="s">
        <v>21038</v>
      </c>
      <c r="G5079" s="3" t="str">
        <f ca="1">IFERROR(__xludf.DUMMYFUNCTION("googletranslate(D5079,""en"",""ja"")"),"T リンパ球の調節; Tリム・レグ")</f>
        <v>T リンパ球の調節; Tリム・レグ</v>
      </c>
      <c r="H5079" s="3" t="str">
        <f ca="1">IFERROR(__xludf.DUMMYFUNCTION("googletranslate(E5079,""en"",""ja"")"),"生物学的標本中の制御性 T リンパ球の測定。")</f>
        <v>生物学的標本中の制御性 T リンパ球の測定。</v>
      </c>
      <c r="I5079" s="3" t="str">
        <f ca="1">IFERROR(__xludf.DUMMYFUNCTION("googletranslate(F5079,""en"",""ja"")"),"制御性Tリンパ球数")</f>
        <v>制御性Tリンパ球数</v>
      </c>
    </row>
    <row r="5080" spans="1:9" ht="45">
      <c r="A5080" s="3" t="s">
        <v>103</v>
      </c>
      <c r="B5080" s="3" t="s">
        <v>21039</v>
      </c>
      <c r="C5080" s="3" t="s">
        <v>21040</v>
      </c>
      <c r="D5080" s="3" t="s">
        <v>21041</v>
      </c>
      <c r="E5080" s="3" t="s">
        <v>21042</v>
      </c>
      <c r="F5080" s="3" t="s">
        <v>21043</v>
      </c>
      <c r="G5080" s="3" t="str">
        <f ca="1">IFERROR(__xludf.DUMMYFUNCTION("googletranslate(D5080,""en"",""ja"")"),"T リンパ球調節/リンパ球; TLym Reg/Lym")</f>
        <v>T リンパ球調節/リンパ球; TLym Reg/Lym</v>
      </c>
      <c r="H5080" s="3" t="str">
        <f ca="1">IFERROR(__xludf.DUMMYFUNCTION("googletranslate(E5080,""en"",""ja"")"),"生物学的検体中の総リンパ球に対する制御性 T リンパ球の相対測定値 (比率またはパーセンテージ)。")</f>
        <v>生物学的検体中の総リンパ球に対する制御性 T リンパ球の相対測定値 (比率またはパーセンテージ)。</v>
      </c>
      <c r="I5080" s="3" t="str">
        <f ca="1">IFERROR(__xludf.DUMMYFUNCTION("googletranslate(F5080,""en"",""ja"")"),"制御性Tリンパ球と総リンパ球の比率の測定")</f>
        <v>制御性Tリンパ球と総リンパ球の比率の測定</v>
      </c>
    </row>
    <row r="5081" spans="1:9" ht="30">
      <c r="A5081" s="3" t="s">
        <v>103</v>
      </c>
      <c r="B5081" s="3" t="s">
        <v>21044</v>
      </c>
      <c r="C5081" s="3" t="s">
        <v>21045</v>
      </c>
      <c r="D5081" s="3" t="s">
        <v>21046</v>
      </c>
      <c r="E5081" s="3" t="s">
        <v>21047</v>
      </c>
      <c r="F5081" s="3" t="s">
        <v>21048</v>
      </c>
      <c r="G5081" s="3" t="str">
        <f ca="1">IFERROR(__xludf.DUMMYFUNCTION("googletranslate(D5081,""en"",""ja"")"),"Tリンパ球部分集団; Tリムサブ")</f>
        <v>Tリンパ球部分集団; Tリムサブ</v>
      </c>
      <c r="H5081" s="3" t="str">
        <f ca="1">IFERROR(__xludf.DUMMYFUNCTION("googletranslate(E5081,""en"",""ja"")"),"生物学的標本中の T リンパ球の部分集団の測定。")</f>
        <v>生物学的標本中の T リンパ球の部分集団の測定。</v>
      </c>
      <c r="I5081" s="3" t="str">
        <f ca="1">IFERROR(__xludf.DUMMYFUNCTION("googletranslate(F5081,""en"",""ja"")"),"Tリンパ球部分集団数")</f>
        <v>Tリンパ球部分集団数</v>
      </c>
    </row>
    <row r="5082" spans="1:9" ht="45">
      <c r="A5082" s="3" t="s">
        <v>103</v>
      </c>
      <c r="B5082" s="3" t="s">
        <v>21049</v>
      </c>
      <c r="C5082" s="3" t="s">
        <v>21050</v>
      </c>
      <c r="D5082" s="3" t="s">
        <v>21051</v>
      </c>
      <c r="E5082" s="3" t="s">
        <v>21052</v>
      </c>
      <c r="F5082" s="3" t="s">
        <v>21053</v>
      </c>
      <c r="G5082" s="3" t="str">
        <f ca="1">IFERROR(__xludf.DUMMYFUNCTION("googletranslate(D5082,""en"",""ja"")"),"Tリンパ球部分集団/白血球; Tリム・サブ/ロイク")</f>
        <v>Tリンパ球部分集団/白血球; Tリム・サブ/ロイク</v>
      </c>
      <c r="H5082" s="3" t="str">
        <f ca="1">IFERROR(__xludf.DUMMYFUNCTION("googletranslate(E5082,""en"",""ja"")"),"生物学的標本中の総白血球に対する T リンパ球の部分集団の相対的な測定値 (比率またはパーセンテージ)。")</f>
        <v>生物学的標本中の総白血球に対する T リンパ球の部分集団の相対的な測定値 (比率またはパーセンテージ)。</v>
      </c>
      <c r="I5082" s="3" t="str">
        <f ca="1">IFERROR(__xludf.DUMMYFUNCTION("googletranslate(F5082,""en"",""ja"")"),"Tリンパ球部分集団と白血球の比率の測定")</f>
        <v>Tリンパ球部分集団と白血球の比率の測定</v>
      </c>
    </row>
    <row r="5083" spans="1:9" ht="45">
      <c r="A5083" s="3" t="s">
        <v>103</v>
      </c>
      <c r="B5083" s="3" t="s">
        <v>21054</v>
      </c>
      <c r="C5083" s="3" t="s">
        <v>21055</v>
      </c>
      <c r="D5083" s="3" t="s">
        <v>21056</v>
      </c>
      <c r="E5083" s="3" t="s">
        <v>21057</v>
      </c>
      <c r="F5083" s="3" t="s">
        <v>21058</v>
      </c>
      <c r="G5083" s="3" t="str">
        <f ca="1">IFERROR(__xludf.DUMMYFUNCTION("googletranslate(D5083,""en"",""ja"")"),"T リンパ球サブ集団/T リンパ球サブ集団; Tlym サブ/Tlym サブ")</f>
        <v>T リンパ球サブ集団/T リンパ球サブ集団; Tlym サブ/Tlym サブ</v>
      </c>
      <c r="H5083" s="3" t="str">
        <f ca="1">IFERROR(__xludf.DUMMYFUNCTION("googletranslate(E5083,""en"",""ja"")"),"生物学的標本中の T リンパ球の部分集団に対する T リンパ球の部分集団の相対的な測定値 (比率またはパーセンテージ)。")</f>
        <v>生物学的標本中の T リンパ球の部分集団に対する T リンパ球の部分集団の相対的な測定値 (比率またはパーセンテージ)。</v>
      </c>
      <c r="I5083" s="3" t="str">
        <f ca="1">IFERROR(__xludf.DUMMYFUNCTION("googletranslate(F5083,""en"",""ja"")"),"T リンパ球部分集団と T リンパ球部分集団の比率の測定")</f>
        <v>T リンパ球部分集団と T リンパ球部分集団の比率の測定</v>
      </c>
    </row>
    <row r="5084" spans="1:9" ht="45">
      <c r="A5084" s="3" t="s">
        <v>103</v>
      </c>
      <c r="B5084" s="3" t="s">
        <v>21059</v>
      </c>
      <c r="C5084" s="3" t="s">
        <v>21060</v>
      </c>
      <c r="D5084" s="3" t="s">
        <v>21061</v>
      </c>
      <c r="E5084" s="3" t="s">
        <v>21062</v>
      </c>
      <c r="F5084" s="3" t="s">
        <v>21063</v>
      </c>
      <c r="G5084" s="3" t="str">
        <f ca="1">IFERROR(__xludf.DUMMYFUNCTION("googletranslate(D5084,""en"",""ja"")"),"T リンパ球サブ集団/T リンパ球; TLymサブ/TLym")</f>
        <v>T リンパ球サブ集団/T リンパ球; TLymサブ/TLym</v>
      </c>
      <c r="H5084" s="3" t="str">
        <f ca="1">IFERROR(__xludf.DUMMYFUNCTION("googletranslate(E5084,""en"",""ja"")"),"生物学的標本中の総 T リンパ球に対する T リンパ球部分集団の相対的な測定値 (比率またはパーセンテージ)。")</f>
        <v>生物学的標本中の総 T リンパ球に対する T リンパ球部分集団の相対的な測定値 (比率またはパーセンテージ)。</v>
      </c>
      <c r="I5084" s="3" t="str">
        <f ca="1">IFERROR(__xludf.DUMMYFUNCTION("googletranslate(F5084,""en"",""ja"")"),"T リンパ球部分集団と総 T リンパ球の比率の測定")</f>
        <v>T リンパ球部分集団と総 T リンパ球の比率の測定</v>
      </c>
    </row>
    <row r="5085" spans="1:9" ht="30">
      <c r="A5085" s="3" t="s">
        <v>103</v>
      </c>
      <c r="B5085" s="3" t="s">
        <v>21064</v>
      </c>
      <c r="C5085" s="3" t="s">
        <v>21065</v>
      </c>
      <c r="D5085" s="3" t="s">
        <v>21066</v>
      </c>
      <c r="E5085" s="3" t="s">
        <v>21067</v>
      </c>
      <c r="F5085" s="3" t="s">
        <v>21068</v>
      </c>
      <c r="G5085" s="3" t="str">
        <f ca="1">IFERROR(__xludf.DUMMYFUNCTION("googletranslate(D5085,""en"",""ja"")"),"Tリンパ球の終末記憶。テムラ; TLym 用語メモ")</f>
        <v>Tリンパ球の終末記憶。テムラ; TLym 用語メモ</v>
      </c>
      <c r="H5085" s="3" t="str">
        <f ca="1">IFERROR(__xludf.DUMMYFUNCTION("googletranslate(E5085,""en"",""ja"")"),"生物学的標本中の終末記憶 T リンパ球の測定。")</f>
        <v>生物学的標本中の終末記憶 T リンパ球の測定。</v>
      </c>
      <c r="I5085" s="3" t="str">
        <f ca="1">IFERROR(__xludf.DUMMYFUNCTION("googletranslate(F5085,""en"",""ja"")"),"ターミナルメモリーTリンパ球数")</f>
        <v>ターミナルメモリーTリンパ球数</v>
      </c>
    </row>
    <row r="5086" spans="1:9" ht="30">
      <c r="A5086" s="3" t="s">
        <v>103</v>
      </c>
      <c r="B5086" s="3" t="s">
        <v>21069</v>
      </c>
      <c r="C5086" s="3" t="s">
        <v>21070</v>
      </c>
      <c r="D5086" s="3" t="s">
        <v>21071</v>
      </c>
      <c r="E5086" s="3" t="s">
        <v>21072</v>
      </c>
      <c r="F5086" s="3" t="s">
        <v>21073</v>
      </c>
      <c r="G5086" s="3" t="str">
        <f ca="1">IFERROR(__xludf.DUMMYFUNCTION("googletranslate(D5086,""en"",""ja"")"),"T細胞; T細胞リンパ球; T細胞; Tリンパ球")</f>
        <v>T細胞; T細胞リンパ球; T細胞; Tリンパ球</v>
      </c>
      <c r="H5086" s="3" t="str">
        <f ca="1">IFERROR(__xludf.DUMMYFUNCTION("googletranslate(E5086,""en"",""ja"")"),"生物学的標本中の胸腺細胞由来のリンパ球の総数の測定。")</f>
        <v>生物学的標本中の胸腺細胞由来のリンパ球の総数の測定。</v>
      </c>
      <c r="I5086" s="3" t="str">
        <f ca="1">IFERROR(__xludf.DUMMYFUNCTION("googletranslate(F5086,""en"",""ja"")"),"Tリンパ球数")</f>
        <v>Tリンパ球数</v>
      </c>
    </row>
    <row r="5087" spans="1:9" ht="30">
      <c r="A5087" s="3" t="s">
        <v>6</v>
      </c>
      <c r="B5087" s="3" t="s">
        <v>21069</v>
      </c>
      <c r="C5087" s="3" t="s">
        <v>21070</v>
      </c>
      <c r="D5087" s="3" t="s">
        <v>21071</v>
      </c>
      <c r="E5087" s="3" t="s">
        <v>21072</v>
      </c>
      <c r="F5087" s="3" t="s">
        <v>21073</v>
      </c>
      <c r="G5087" s="3" t="str">
        <f ca="1">IFERROR(__xludf.DUMMYFUNCTION("googletranslate(D5087,""en"",""ja"")"),"T細胞; T細胞リンパ球; T細胞; Tリンパ球")</f>
        <v>T細胞; T細胞リンパ球; T細胞; Tリンパ球</v>
      </c>
      <c r="H5087" s="3" t="str">
        <f ca="1">IFERROR(__xludf.DUMMYFUNCTION("googletranslate(E5087,""en"",""ja"")"),"生物学的標本中の胸腺細胞由来のリンパ球の総数の測定。")</f>
        <v>生物学的標本中の胸腺細胞由来のリンパ球の総数の測定。</v>
      </c>
      <c r="I5087" s="3" t="str">
        <f ca="1">IFERROR(__xludf.DUMMYFUNCTION("googletranslate(F5087,""en"",""ja"")"),"Tリンパ球数")</f>
        <v>Tリンパ球数</v>
      </c>
    </row>
    <row r="5088" spans="1:9" ht="45">
      <c r="A5088" s="3" t="s">
        <v>103</v>
      </c>
      <c r="B5088" s="3" t="s">
        <v>21074</v>
      </c>
      <c r="C5088" s="3" t="s">
        <v>21075</v>
      </c>
      <c r="D5088" s="3" t="s">
        <v>21076</v>
      </c>
      <c r="E5088" s="3" t="s">
        <v>21077</v>
      </c>
      <c r="F5088" s="3" t="s">
        <v>21078</v>
      </c>
      <c r="G5088" s="3" t="str">
        <f ca="1">IFERROR(__xludf.DUMMYFUNCTION("googletranslate(D5088,""en"",""ja"")"),"細胞傷害性 T 細胞/T 細胞;細胞傷害性 T リンパ球/T リンパ球; TLym Cytx/TLym")</f>
        <v>細胞傷害性 T 細胞/T 細胞;細胞傷害性 T リンパ球/T リンパ球; TLym Cytx/TLym</v>
      </c>
      <c r="H5088" s="3" t="str">
        <f ca="1">IFERROR(__xludf.DUMMYFUNCTION("googletranslate(E5088,""en"",""ja"")"),"生物学的検体中の総 T リンパ球に対する細胞傷害性 T リンパ球の相対測定値 (比率またはパーセンテージ)。")</f>
        <v>生物学的検体中の総 T リンパ球に対する細胞傷害性 T リンパ球の相対測定値 (比率またはパーセンテージ)。</v>
      </c>
      <c r="I5088" s="3" t="str">
        <f ca="1">IFERROR(__xludf.DUMMYFUNCTION("googletranslate(F5088,""en"",""ja"")"),"細胞傷害性 T リンパ球と総 T リンパ球の比率の測定")</f>
        <v>細胞傷害性 T リンパ球と総 T リンパ球の比率の測定</v>
      </c>
    </row>
    <row r="5089" spans="1:9" ht="30">
      <c r="A5089" s="3" t="s">
        <v>103</v>
      </c>
      <c r="B5089" s="3" t="s">
        <v>21079</v>
      </c>
      <c r="C5089" s="3" t="s">
        <v>21080</v>
      </c>
      <c r="D5089" s="3" t="s">
        <v>21081</v>
      </c>
      <c r="E5089" s="3" t="s">
        <v>21082</v>
      </c>
      <c r="F5089" s="3" t="s">
        <v>21083</v>
      </c>
      <c r="G5089" s="3" t="str">
        <f ca="1">IFERROR(__xludf.DUMMYFUNCTION("googletranslate(D5089,""en"",""ja"")"),"ヘルパーT細胞;ヘルパー T リンパ球; Tlym ヘルプ")</f>
        <v>ヘルパーT細胞;ヘルパー T リンパ球; Tlym ヘルプ</v>
      </c>
      <c r="H5089" s="3" t="str">
        <f ca="1">IFERROR(__xludf.DUMMYFUNCTION("googletranslate(E5089,""en"",""ja"")"),"生物学的標本中のヘルパー T リンパ球の測定。")</f>
        <v>生物学的標本中のヘルパー T リンパ球の測定。</v>
      </c>
      <c r="I5089" s="3" t="str">
        <f ca="1">IFERROR(__xludf.DUMMYFUNCTION("googletranslate(F5089,""en"",""ja"")"),"ヘルパー T リンパ球数")</f>
        <v>ヘルパー T リンパ球数</v>
      </c>
    </row>
    <row r="5090" spans="1:9" ht="30">
      <c r="A5090" s="3" t="s">
        <v>103</v>
      </c>
      <c r="B5090" s="3" t="s">
        <v>21084</v>
      </c>
      <c r="C5090" s="3" t="s">
        <v>21085</v>
      </c>
      <c r="D5090" s="3" t="s">
        <v>21086</v>
      </c>
      <c r="E5090" s="3" t="s">
        <v>21087</v>
      </c>
      <c r="F5090" s="3" t="s">
        <v>21088</v>
      </c>
      <c r="G5090" s="3" t="str">
        <f ca="1">IFERROR(__xludf.DUMMYFUNCTION("googletranslate(D5090,""en"",""ja"")"),"T リンパ球ヘルパーの規制; Tlym ヘルプ登録")</f>
        <v>T リンパ球ヘルパーの規制; Tlym ヘルプ登録</v>
      </c>
      <c r="H5090" s="3" t="str">
        <f ca="1">IFERROR(__xludf.DUMMYFUNCTION("googletranslate(E5090,""en"",""ja"")"),"生物学的標本中のヘルパー制御性 T リンパ球の測定。")</f>
        <v>生物学的標本中のヘルパー制御性 T リンパ球の測定。</v>
      </c>
      <c r="I5090" s="3" t="str">
        <f ca="1">IFERROR(__xludf.DUMMYFUNCTION("googletranslate(F5090,""en"",""ja"")"),"ヘルパー制御性 T リンパ球数")</f>
        <v>ヘルパー制御性 T リンパ球数</v>
      </c>
    </row>
    <row r="5091" spans="1:9" ht="45">
      <c r="A5091" s="3" t="s">
        <v>103</v>
      </c>
      <c r="B5091" s="3" t="s">
        <v>21089</v>
      </c>
      <c r="C5091" s="3" t="s">
        <v>21090</v>
      </c>
      <c r="D5091" s="3" t="s">
        <v>21091</v>
      </c>
      <c r="E5091" s="3" t="s">
        <v>21092</v>
      </c>
      <c r="F5091" s="3" t="s">
        <v>21093</v>
      </c>
      <c r="G5091" s="3" t="str">
        <f ca="1">IFERROR(__xludf.DUMMYFUNCTION("googletranslate(D5091,""en"",""ja"")"),"T リンパ球ヘルパー調節/リンパ球; TLym ヘルプ Reg/Lym")</f>
        <v>T リンパ球ヘルパー調節/リンパ球; TLym ヘルプ Reg/Lym</v>
      </c>
      <c r="H5091" s="3" t="str">
        <f ca="1">IFERROR(__xludf.DUMMYFUNCTION("googletranslate(E5091,""en"",""ja"")"),"生物学的検体中の総リンパ球に対するヘルパー制御性 T リンパ球の相対測定値 (比率またはパーセンテージ)。")</f>
        <v>生物学的検体中の総リンパ球に対するヘルパー制御性 T リンパ球の相対測定値 (比率またはパーセンテージ)。</v>
      </c>
      <c r="I5091" s="3" t="str">
        <f ca="1">IFERROR(__xludf.DUMMYFUNCTION("googletranslate(F5091,""en"",""ja"")"),"ヘルパー制御性 T リンパ球とリンパ球の比率の測定")</f>
        <v>ヘルパー制御性 T リンパ球とリンパ球の比率の測定</v>
      </c>
    </row>
    <row r="5092" spans="1:9" ht="30">
      <c r="A5092" s="3" t="s">
        <v>103</v>
      </c>
      <c r="B5092" s="3" t="s">
        <v>21094</v>
      </c>
      <c r="C5092" s="3" t="s">
        <v>21095</v>
      </c>
      <c r="D5092" s="3" t="s">
        <v>21096</v>
      </c>
      <c r="E5092" s="3" t="s">
        <v>21097</v>
      </c>
      <c r="F5092" s="3" t="s">
        <v>21098</v>
      </c>
      <c r="G5092" s="3" t="str">
        <f ca="1">IFERROR(__xludf.DUMMYFUNCTION("googletranslate(D5092,""en"",""ja"")"),"T リンパ球ヘルパー部分集団。 TLym ヘルプサブ")</f>
        <v>T リンパ球ヘルパー部分集団。 TLym ヘルプサブ</v>
      </c>
      <c r="H5092" s="3" t="str">
        <f ca="1">IFERROR(__xludf.DUMMYFUNCTION("googletranslate(E5092,""en"",""ja"")"),"生物学的標本中のヘルパー T リンパ球の部分集団の測定。")</f>
        <v>生物学的標本中のヘルパー T リンパ球の部分集団の測定。</v>
      </c>
      <c r="I5092" s="3" t="str">
        <f ca="1">IFERROR(__xludf.DUMMYFUNCTION("googletranslate(F5092,""en"",""ja"")"),"ヘルパー T リンパ球部分集団の数")</f>
        <v>ヘルパー T リンパ球部分集団の数</v>
      </c>
    </row>
    <row r="5093" spans="1:9" ht="45">
      <c r="A5093" s="3" t="s">
        <v>103</v>
      </c>
      <c r="B5093" s="3" t="s">
        <v>21099</v>
      </c>
      <c r="C5093" s="3" t="s">
        <v>21100</v>
      </c>
      <c r="D5093" s="3" t="s">
        <v>21101</v>
      </c>
      <c r="E5093" s="3" t="s">
        <v>21102</v>
      </c>
      <c r="F5093" s="3" t="s">
        <v>21103</v>
      </c>
      <c r="G5093" s="3" t="str">
        <f ca="1">IFERROR(__xludf.DUMMYFUNCTION("googletranslate(D5093,""en"",""ja"")"),"T リンパ球ヘルパー部分集団/リンパ球; TLym ヘルプ サブ/Lym")</f>
        <v>T リンパ球ヘルパー部分集団/リンパ球; TLym ヘルプ サブ/Lym</v>
      </c>
      <c r="H5093" s="3" t="str">
        <f ca="1">IFERROR(__xludf.DUMMYFUNCTION("googletranslate(E5093,""en"",""ja"")"),"生物学的標本中の総リンパ球に対するヘルパー T リンパ球の部分集団の相対的な測定値 (比率またはパーセンテージ)。")</f>
        <v>生物学的標本中の総リンパ球に対するヘルパー T リンパ球の部分集団の相対的な測定値 (比率またはパーセンテージ)。</v>
      </c>
      <c r="I5093" s="3" t="str">
        <f ca="1">IFERROR(__xludf.DUMMYFUNCTION("googletranslate(F5093,""en"",""ja"")"),"総リンパ球に対するヘルパー T リンパ球部分集団の比率の測定")</f>
        <v>総リンパ球に対するヘルパー T リンパ球部分集団の比率の測定</v>
      </c>
    </row>
    <row r="5094" spans="1:9" ht="45">
      <c r="A5094" s="3" t="s">
        <v>103</v>
      </c>
      <c r="B5094" s="3" t="s">
        <v>21104</v>
      </c>
      <c r="C5094" s="3" t="s">
        <v>21105</v>
      </c>
      <c r="D5094" s="3" t="s">
        <v>21106</v>
      </c>
      <c r="E5094" s="3" t="s">
        <v>21107</v>
      </c>
      <c r="F5094" s="3" t="s">
        <v>21108</v>
      </c>
      <c r="G5094" s="3" t="str">
        <f ca="1">IFERROR(__xludf.DUMMYFUNCTION("googletranslate(D5094,""en"",""ja"")"),"ヘルパーT細胞/T細胞;ヘルパー T リンパ球/T リンパ球; TLym ヘルプ/TLym")</f>
        <v>ヘルパーT細胞/T細胞;ヘルパー T リンパ球/T リンパ球; TLym ヘルプ/TLym</v>
      </c>
      <c r="H5094" s="3" t="str">
        <f ca="1">IFERROR(__xludf.DUMMYFUNCTION("googletranslate(E5094,""en"",""ja"")"),"生物学的検体中の総 T リンパ球に対するヘルパー T リンパ球の相対測定値 (比率またはパーセンテージ)。")</f>
        <v>生物学的検体中の総 T リンパ球に対するヘルパー T リンパ球の相対測定値 (比率またはパーセンテージ)。</v>
      </c>
      <c r="I5094" s="3" t="str">
        <f ca="1">IFERROR(__xludf.DUMMYFUNCTION("googletranslate(F5094,""en"",""ja"")"),"ヘルパーTリンパ球と総Tリンパ球の比率の測定")</f>
        <v>ヘルパーTリンパ球と総Tリンパ球の比率の測定</v>
      </c>
    </row>
    <row r="5095" spans="1:9" ht="60">
      <c r="A5095" s="3" t="s">
        <v>103</v>
      </c>
      <c r="B5095" s="3" t="s">
        <v>21109</v>
      </c>
      <c r="C5095" s="3" t="s">
        <v>21110</v>
      </c>
      <c r="D5095" s="3" t="s">
        <v>21111</v>
      </c>
      <c r="E5095" s="3" t="s">
        <v>21112</v>
      </c>
      <c r="F5095" s="3" t="s">
        <v>21113</v>
      </c>
      <c r="G5095" s="3" t="str">
        <f ca="1">IFERROR(__xludf.DUMMYFUNCTION("googletranslate(D5095,""en"",""ja"")"),"ヘルパー T 細胞/細胞傷害性 T 細胞;ヘルパー T リンパ球/細胞傷害性 T リンパ球; TLym ヘルプ/TLym Cytx")</f>
        <v>ヘルパー T 細胞/細胞傷害性 T 細胞;ヘルパー T リンパ球/細胞傷害性 T リンパ球; TLym ヘルプ/TLym Cytx</v>
      </c>
      <c r="H5095" s="3" t="str">
        <f ca="1">IFERROR(__xludf.DUMMYFUNCTION("googletranslate(E5095,""en"",""ja"")"),"生物学的検体中のヘルパー T リンパ球と細胞傷害性 T リンパ球の相対測定値 (比率)。")</f>
        <v>生物学的検体中のヘルパー T リンパ球と細胞傷害性 T リンパ球の相対測定値 (比率)。</v>
      </c>
      <c r="I5095" s="3" t="str">
        <f ca="1">IFERROR(__xludf.DUMMYFUNCTION("googletranslate(F5095,""en"",""ja"")"),"ヘルパー T リンパ球と細胞傷害性 T リンパ球の比率の測定")</f>
        <v>ヘルパー T リンパ球と細胞傷害性 T リンパ球の比率の測定</v>
      </c>
    </row>
    <row r="5096" spans="1:9" ht="45">
      <c r="A5096" s="3" t="s">
        <v>103</v>
      </c>
      <c r="B5096" s="3" t="s">
        <v>21114</v>
      </c>
      <c r="C5096" s="3" t="s">
        <v>21115</v>
      </c>
      <c r="D5096" s="3" t="s">
        <v>21116</v>
      </c>
      <c r="E5096" s="3" t="s">
        <v>21117</v>
      </c>
      <c r="F5096" s="3" t="s">
        <v>21118</v>
      </c>
      <c r="G5096" s="3" t="str">
        <f ca="1">IFERROR(__xludf.DUMMYFUNCTION("googletranslate(D5096,""en"",""ja"")"),"T細胞/リンパ球; Tリンパ球/リンパ球;リム/リム")</f>
        <v>T細胞/リンパ球; Tリンパ球/リンパ球;リム/リム</v>
      </c>
      <c r="H5096" s="3" t="str">
        <f ca="1">IFERROR(__xludf.DUMMYFUNCTION("googletranslate(E5096,""en"",""ja"")"),"生物学的標本中の全リンパ球に対する T リンパ球の相対測定値 (比率またはパーセンテージ)。")</f>
        <v>生物学的標本中の全リンパ球に対する T リンパ球の相対測定値 (比率またはパーセンテージ)。</v>
      </c>
      <c r="I5096" s="3" t="str">
        <f ca="1">IFERROR(__xludf.DUMMYFUNCTION("googletranslate(F5096,""en"",""ja"")"),"Tリンパ球とリンパ球の比率の測定")</f>
        <v>Tリンパ球とリンパ球の比率の測定</v>
      </c>
    </row>
    <row r="5097" spans="1:9" ht="60">
      <c r="A5097" s="3" t="s">
        <v>180</v>
      </c>
      <c r="B5097" s="3" t="s">
        <v>21119</v>
      </c>
      <c r="C5097" s="3" t="s">
        <v>21120</v>
      </c>
      <c r="D5097" s="3" t="s">
        <v>21120</v>
      </c>
      <c r="E5097" s="3" t="s">
        <v>21121</v>
      </c>
      <c r="F5097" s="3" t="s">
        <v>21120</v>
      </c>
      <c r="G5097" s="3" t="str">
        <f ca="1">IFERROR(__xludf.DUMMYFUNCTION("googletranslate(D5097,""en"",""ja"")"),"Tリンパ球増殖指数")</f>
        <v>Tリンパ球増殖指数</v>
      </c>
      <c r="H5097" s="3" t="str">
        <f ca="1">IFERROR(__xludf.DUMMYFUNCTION("googletranslate(E5097,""en"",""ja"")"),"刺激を受けていない T リンパ球増殖コントロールに対する、対象の抗原による刺激による T リンパ球増殖の相対的な測定値 (比率またはパーセンテージ)。")</f>
        <v>刺激を受けていない T リンパ球増殖コントロールに対する、対象の抗原による刺激による T リンパ球増殖の相対的な測定値 (比率またはパーセンテージ)。</v>
      </c>
      <c r="I5097" s="3" t="str">
        <f ca="1">IFERROR(__xludf.DUMMYFUNCTION("googletranslate(F5097,""en"",""ja"")"),"Tリンパ球増殖指数")</f>
        <v>Tリンパ球増殖指数</v>
      </c>
    </row>
    <row r="5098" spans="1:9" ht="75">
      <c r="A5098" s="3" t="s">
        <v>6</v>
      </c>
      <c r="B5098" s="3" t="s">
        <v>21122</v>
      </c>
      <c r="C5098" s="3" t="s">
        <v>21123</v>
      </c>
      <c r="D5098" s="3" t="s">
        <v>21123</v>
      </c>
      <c r="E5098" s="3" t="s">
        <v>21124</v>
      </c>
      <c r="F5098" s="3" t="s">
        <v>21125</v>
      </c>
      <c r="G5098" s="3" t="str">
        <f ca="1">IFERROR(__xludf.DUMMYFUNCTION("googletranslate(D5098,""en"",""ja"")"),"Tリンパ球クロスマッチ")</f>
        <v>Tリンパ球クロスマッチ</v>
      </c>
      <c r="H5098" s="3" t="str">
        <f ca="1">IFERROR(__xludf.DUMMYFUNCTION("googletranslate(E5098,""en"",""ja"")"),"ドナーのTリンパ球上に発現するHLA抗原に対するレシピエントの抗HLA抗体反応性の有無を調べることにより、レシピエントとドナーの間のヒト白血球抗原（HLA）の組織適合性を判定する測定")</f>
        <v>ドナーのTリンパ球上に発現するHLA抗原に対するレシピエントの抗HLA抗体反応性の有無を調べることにより、レシピエントとドナーの間のヒト白血球抗原（HLA）の組織適合性を判定する測定</v>
      </c>
      <c r="I5098" s="3" t="str">
        <f ca="1">IFERROR(__xludf.DUMMYFUNCTION("googletranslate(F5098,""en"",""ja"")"),"Tリンパ球クロスマッチ測定")</f>
        <v>Tリンパ球クロスマッチ測定</v>
      </c>
    </row>
    <row r="5099" spans="1:9" ht="45">
      <c r="A5099" s="3" t="s">
        <v>103</v>
      </c>
      <c r="B5099" s="3" t="s">
        <v>21126</v>
      </c>
      <c r="C5099" s="3" t="s">
        <v>21127</v>
      </c>
      <c r="D5099" s="3" t="s">
        <v>21128</v>
      </c>
      <c r="E5099" s="3" t="s">
        <v>21129</v>
      </c>
      <c r="F5099" s="3" t="s">
        <v>21130</v>
      </c>
      <c r="G5099" s="3" t="str">
        <f ca="1">IFERROR(__xludf.DUMMYFUNCTION("googletranslate(D5099,""en"",""ja"")"),"T リンパ球サブ集団/リンパ球; TLymサブ/リム")</f>
        <v>T リンパ球サブ集団/リンパ球; TLymサブ/リム</v>
      </c>
      <c r="H5099" s="3" t="str">
        <f ca="1">IFERROR(__xludf.DUMMYFUNCTION("googletranslate(E5099,""en"",""ja"")"),"生物学的標本中の総リンパ球に対する T リンパ球の部分集団の相対的な測定値 (比率またはパーセンテージ)。")</f>
        <v>生物学的標本中の総リンパ球に対する T リンパ球の部分集団の相対的な測定値 (比率またはパーセンテージ)。</v>
      </c>
      <c r="I5099" s="3" t="str">
        <f ca="1">IFERROR(__xludf.DUMMYFUNCTION("googletranslate(F5099,""en"",""ja"")"),"総リンパ球に対する T リンパ球部分集団の比率の測定")</f>
        <v>総リンパ球に対する T リンパ球部分集団の比率の測定</v>
      </c>
    </row>
    <row r="5100" spans="1:9" ht="45">
      <c r="A5100" s="3" t="s">
        <v>5065</v>
      </c>
      <c r="B5100" s="3" t="s">
        <v>21131</v>
      </c>
      <c r="C5100" s="3" t="s">
        <v>21132</v>
      </c>
      <c r="D5100" s="3" t="s">
        <v>21133</v>
      </c>
      <c r="E5100" s="3" t="s">
        <v>21134</v>
      </c>
      <c r="F5100" s="3" t="s">
        <v>21135</v>
      </c>
      <c r="G5100" s="3" t="str">
        <f ca="1">IFERROR(__xludf.DUMMYFUNCTION("googletranslate(D5100,""en"",""ja"")"),"腫瘍の突然変異負荷;腫瘍の突然変異負荷")</f>
        <v>腫瘍の突然変異負荷;腫瘍の突然変異負荷</v>
      </c>
      <c r="H5100" s="3" t="str">
        <f ca="1">IFERROR(__xludf.DUMMYFUNCTION("googletranslate(E5100,""en"",""ja"")"),"参照配列と比較した場合の、腫瘍細胞由来の遺伝物質に見られるゲノム変化の数の定量的または定性的評価。")</f>
        <v>参照配列と比較した場合の、腫瘍細胞由来の遺伝物質に見られるゲノム変化の数の定量的または定性的評価。</v>
      </c>
      <c r="I5100" s="3" t="str">
        <f ca="1">IFERROR(__xludf.DUMMYFUNCTION("googletranslate(F5100,""en"",""ja"")"),"腫瘍変異負荷の評価")</f>
        <v>腫瘍変異負荷の評価</v>
      </c>
    </row>
    <row r="5101" spans="1:9">
      <c r="A5101" s="3" t="s">
        <v>6</v>
      </c>
      <c r="B5101" s="3" t="s">
        <v>21136</v>
      </c>
      <c r="C5101" s="3" t="s">
        <v>21137</v>
      </c>
      <c r="D5101" s="3" t="s">
        <v>21137</v>
      </c>
      <c r="E5101" s="3" t="s">
        <v>21138</v>
      </c>
      <c r="F5101" s="3" t="s">
        <v>21139</v>
      </c>
      <c r="G5101" s="3" t="str">
        <f ca="1">IFERROR(__xludf.DUMMYFUNCTION("googletranslate(D5101,""en"",""ja"")"),"トリメペリジン")</f>
        <v>トリメペリジン</v>
      </c>
      <c r="H5101" s="3" t="str">
        <f ca="1">IFERROR(__xludf.DUMMYFUNCTION("googletranslate(E5101,""en"",""ja"")"),"生物学的標本中のトリメペリジンの測定。")</f>
        <v>生物学的標本中のトリメペリジンの測定。</v>
      </c>
      <c r="I5101" s="3" t="str">
        <f ca="1">IFERROR(__xludf.DUMMYFUNCTION("googletranslate(F5101,""en"",""ja"")"),"トリメペリジンの測定")</f>
        <v>トリメペリジンの測定</v>
      </c>
    </row>
    <row r="5102" spans="1:9" ht="30">
      <c r="A5102" s="3" t="s">
        <v>155</v>
      </c>
      <c r="B5102" s="3" t="s">
        <v>21140</v>
      </c>
      <c r="C5102" s="3" t="s">
        <v>21141</v>
      </c>
      <c r="D5102" s="3" t="s">
        <v>21142</v>
      </c>
      <c r="E5102" s="3" t="s">
        <v>21143</v>
      </c>
      <c r="F5102" s="3" t="s">
        <v>21141</v>
      </c>
      <c r="G5102" s="3" t="str">
        <f ca="1">IFERROR(__xludf.DUMMYFUNCTION("googletranslate(D5102,""en"",""ja"")"),"ティンパノグラム追跡タイプ;ティンパノグラムの種類")</f>
        <v>ティンパノグラム追跡タイプ;ティンパノグラムの種類</v>
      </c>
      <c r="H5102" s="3" t="str">
        <f ca="1">IFERROR(__xludf.DUMMYFUNCTION("googletranslate(E5102,""en"",""ja"")"),"ティンパノグラムのトレース結果の解釈の概要。")</f>
        <v>ティンパノグラムのトレース結果の解釈の概要。</v>
      </c>
      <c r="I5102" s="3" t="str">
        <f ca="1">IFERROR(__xludf.DUMMYFUNCTION("googletranslate(F5102,""en"",""ja"")"),"ティンパノグラム追跡タイプ")</f>
        <v>ティンパノグラム追跡タイプ</v>
      </c>
    </row>
    <row r="5103" spans="1:9" ht="30">
      <c r="A5103" s="3" t="s">
        <v>6</v>
      </c>
      <c r="B5103" s="3" t="s">
        <v>21144</v>
      </c>
      <c r="C5103" s="3" t="s">
        <v>21145</v>
      </c>
      <c r="D5103" s="3" t="s">
        <v>21145</v>
      </c>
      <c r="E5103" s="3" t="s">
        <v>21146</v>
      </c>
      <c r="F5103" s="3" t="s">
        <v>21147</v>
      </c>
      <c r="G5103" s="3" t="str">
        <f ca="1">IFERROR(__xludf.DUMMYFUNCTION("googletranslate(D5103,""en"",""ja"")"),"テマゼパム")</f>
        <v>テマゼパム</v>
      </c>
      <c r="H5103" s="3" t="str">
        <f ca="1">IFERROR(__xludf.DUMMYFUNCTION("googletranslate(E5103,""en"",""ja"")"),"生物学的標本中に存在するテマゼパムの測定。")</f>
        <v>生物学的標本中に存在するテマゼパムの測定。</v>
      </c>
      <c r="I5103" s="3" t="str">
        <f ca="1">IFERROR(__xludf.DUMMYFUNCTION("googletranslate(F5103,""en"",""ja"")"),"テマゼパムの測定")</f>
        <v>テマゼパムの測定</v>
      </c>
    </row>
    <row r="5104" spans="1:9" ht="30">
      <c r="A5104" s="3" t="s">
        <v>6</v>
      </c>
      <c r="B5104" s="3" t="s">
        <v>21148</v>
      </c>
      <c r="C5104" s="3" t="s">
        <v>21149</v>
      </c>
      <c r="D5104" s="3" t="s">
        <v>21150</v>
      </c>
      <c r="E5104" s="3" t="s">
        <v>21151</v>
      </c>
      <c r="F5104" s="3" t="s">
        <v>21152</v>
      </c>
      <c r="G5104" s="3" t="str">
        <f ca="1">IFERROR(__xludf.DUMMYFUNCTION("googletranslate(D5104,""en"",""ja"")"),"テネイシンC;テネイシン-C; TN-C")</f>
        <v>テネイシンC;テネイシン-C; TN-C</v>
      </c>
      <c r="H5104" s="3" t="str">
        <f ca="1">IFERROR(__xludf.DUMMYFUNCTION("googletranslate(E5104,""en"",""ja"")"),"生体標本中のテネイシン C の測定。")</f>
        <v>生体標本中のテネイシン C の測定。</v>
      </c>
      <c r="I5104" s="3" t="str">
        <f ca="1">IFERROR(__xludf.DUMMYFUNCTION("googletranslate(F5104,""en"",""ja"")"),"テネイシンCの測定")</f>
        <v>テネイシンCの測定</v>
      </c>
    </row>
    <row r="5105" spans="1:9" ht="30">
      <c r="A5105" s="3" t="s">
        <v>142</v>
      </c>
      <c r="B5105" s="3" t="s">
        <v>21153</v>
      </c>
      <c r="C5105" s="3" t="s">
        <v>21154</v>
      </c>
      <c r="D5105" s="3" t="s">
        <v>21154</v>
      </c>
      <c r="E5105" s="3" t="s">
        <v>21155</v>
      </c>
      <c r="F5105" s="3" t="s">
        <v>21154</v>
      </c>
      <c r="G5105" s="3" t="str">
        <f ca="1">IFERROR(__xludf.DUMMYFUNCTION("googletranslate(D5105,""en"",""ja"")"),"優しさの指標")</f>
        <v>優しさの指標</v>
      </c>
      <c r="H5105" s="3" t="str">
        <f ca="1">IFERROR(__xludf.DUMMYFUNCTION("googletranslate(E5105,""en"",""ja"")"),"圧痛の症状があるかどうかの指標。")</f>
        <v>圧痛の症状があるかどうかの指標。</v>
      </c>
      <c r="I5105" s="3" t="str">
        <f ca="1">IFERROR(__xludf.DUMMYFUNCTION("googletranslate(F5105,""en"",""ja"")"),"優しさの指標")</f>
        <v>優しさの指標</v>
      </c>
    </row>
    <row r="5106" spans="1:9" ht="30">
      <c r="A5106" s="3" t="s">
        <v>6</v>
      </c>
      <c r="B5106" s="3" t="s">
        <v>21156</v>
      </c>
      <c r="C5106" s="3" t="s">
        <v>21157</v>
      </c>
      <c r="D5106" s="3" t="s">
        <v>21158</v>
      </c>
      <c r="E5106" s="3" t="s">
        <v>21159</v>
      </c>
      <c r="F5106" s="3" t="s">
        <v>21160</v>
      </c>
      <c r="G5106" s="3" t="str">
        <f ca="1">IFERROR(__xludf.DUMMYFUNCTION("googletranslate(D5106,""en"",""ja"")"),"腫瘍壊死因子;腫瘍壊死因子α")</f>
        <v>腫瘍壊死因子;腫瘍壊死因子α</v>
      </c>
      <c r="H5106" s="3" t="str">
        <f ca="1">IFERROR(__xludf.DUMMYFUNCTION("googletranslate(E5106,""en"",""ja"")"),"生物学的標本中の総腫瘍壊死因子 (カケキシン) サイトカインの測定。")</f>
        <v>生物学的標本中の総腫瘍壊死因子 (カケキシン) サイトカインの測定。</v>
      </c>
      <c r="I5106" s="3" t="str">
        <f ca="1">IFERROR(__xludf.DUMMYFUNCTION("googletranslate(F5106,""en"",""ja"")"),"腫瘍壊死因子の測定")</f>
        <v>腫瘍壊死因子の測定</v>
      </c>
    </row>
    <row r="5107" spans="1:9" ht="45">
      <c r="A5107" s="3" t="s">
        <v>6</v>
      </c>
      <c r="B5107" s="3" t="s">
        <v>21161</v>
      </c>
      <c r="C5107" s="3" t="s">
        <v>21162</v>
      </c>
      <c r="D5107" s="3" t="s">
        <v>21163</v>
      </c>
      <c r="E5107" s="3" t="s">
        <v>21164</v>
      </c>
      <c r="F5107" s="3" t="s">
        <v>21165</v>
      </c>
      <c r="G5107" s="3" t="str">
        <f ca="1">IFERROR(__xludf.DUMMYFUNCTION("googletranslate(D5107,""en"",""ja"")"),"アポ2L;可溶性CD253; TL2; TNF関連アポトーシス誘導リガンド; TNFSF10; TNLG6A;トレイル")</f>
        <v>アポ2L;可溶性CD253; TL2; TNF関連アポトーシス誘導リガンド; TNFSF10; TNLG6A;トレイル</v>
      </c>
      <c r="H5107" s="3" t="str">
        <f ca="1">IFERROR(__xludf.DUMMYFUNCTION("googletranslate(E5107,""en"",""ja"")"),"生物学的標本中の総腫瘍壊死因子スーパーファミリーメンバー 10 の測定。")</f>
        <v>生物学的標本中の総腫瘍壊死因子スーパーファミリーメンバー 10 の測定。</v>
      </c>
      <c r="I5107" s="3" t="str">
        <f ca="1">IFERROR(__xludf.DUMMYFUNCTION("googletranslate(F5107,""en"",""ja"")"),"TNFスーパーファミリーメンバー10の測定")</f>
        <v>TNFスーパーファミリーメンバー10の測定</v>
      </c>
    </row>
    <row r="5108" spans="1:9" ht="75">
      <c r="A5108" s="3" t="s">
        <v>6</v>
      </c>
      <c r="B5108" s="3" t="s">
        <v>21166</v>
      </c>
      <c r="C5108" s="3" t="s">
        <v>21167</v>
      </c>
      <c r="D5108" s="3" t="s">
        <v>21168</v>
      </c>
      <c r="E5108" s="3" t="s">
        <v>21169</v>
      </c>
      <c r="F5108" s="3" t="s">
        <v>21170</v>
      </c>
      <c r="G5108" s="3" t="str">
        <f ca="1">IFERROR(__xludf.DUMMYFUNCTION("googletranslate(D5108,""en"",""ja"")"),"CD263; DCR1; TNF受容体スーパーファミリーメンバー10c; TNF関連アポトーシス誘導リガンド受容体3; TRAIL受容体3;トレイル3")</f>
        <v>CD263; DCR1; TNF受容体スーパーファミリーメンバー10c; TNF関連アポトーシス誘導リガンド受容体3; TRAIL受容体3;トレイル3</v>
      </c>
      <c r="H5108" s="3" t="str">
        <f ca="1">IFERROR(__xludf.DUMMYFUNCTION("googletranslate(E5108,""en"",""ja"")"),"生物学的標本における TNF 受容体スーパーファミリーのメンバー 10c の測定。")</f>
        <v>生物学的標本における TNF 受容体スーパーファミリーのメンバー 10c の測定。</v>
      </c>
      <c r="I5108" s="3" t="str">
        <f ca="1">IFERROR(__xludf.DUMMYFUNCTION("googletranslate(F5108,""en"",""ja"")"),"腫瘍壊死因子受容体スーパーファミリーメンバー 10c の測定")</f>
        <v>腫瘍壊死因子受容体スーパーファミリーメンバー 10c の測定</v>
      </c>
    </row>
    <row r="5109" spans="1:9" ht="45">
      <c r="A5109" s="3" t="s">
        <v>6</v>
      </c>
      <c r="B5109" s="3" t="s">
        <v>21171</v>
      </c>
      <c r="C5109" s="3" t="s">
        <v>21172</v>
      </c>
      <c r="D5109" s="3" t="s">
        <v>21173</v>
      </c>
      <c r="E5109" s="3" t="s">
        <v>21174</v>
      </c>
      <c r="F5109" s="3" t="s">
        <v>21175</v>
      </c>
      <c r="G5109" s="3" t="str">
        <f ca="1">IFERROR(__xludf.DUMMYFUNCTION("googletranslate(D5109,""en"",""ja"")"),"アポ3L; DR3LG; TNFスーパーファミリーメンバー12; TNLG4A;微調整")</f>
        <v>アポ3L; DR3LG; TNFスーパーファミリーメンバー12; TNLG4A;微調整</v>
      </c>
      <c r="H5109" s="3" t="str">
        <f ca="1">IFERROR(__xludf.DUMMYFUNCTION("googletranslate(E5109,""en"",""ja"")"),"生物学的標本中の総腫瘍壊死因子スーパーファミリーメンバー 12 の測定。")</f>
        <v>生物学的標本中の総腫瘍壊死因子スーパーファミリーメンバー 12 の測定。</v>
      </c>
      <c r="I5109" s="3" t="str">
        <f ca="1">IFERROR(__xludf.DUMMYFUNCTION("googletranslate(F5109,""en"",""ja"")"),"TNFスーパーファミリーメンバー12の測定")</f>
        <v>TNFスーパーファミリーメンバー12の測定</v>
      </c>
    </row>
    <row r="5110" spans="1:9" ht="45">
      <c r="A5110" s="3" t="s">
        <v>6</v>
      </c>
      <c r="B5110" s="3" t="s">
        <v>21176</v>
      </c>
      <c r="C5110" s="3" t="s">
        <v>21177</v>
      </c>
      <c r="D5110" s="3" t="s">
        <v>21178</v>
      </c>
      <c r="E5110" s="3" t="s">
        <v>21179</v>
      </c>
      <c r="F5110" s="3" t="s">
        <v>21177</v>
      </c>
      <c r="G5110" s="3" t="str">
        <f ca="1">IFERROR(__xludf.DUMMYFUNCTION("googletranslate(D5110,""en"",""ja"")"),"TNF スーパーファミリー メンバー 12 の排泄率;排泄率を調整する")</f>
        <v>TNF スーパーファミリー メンバー 12 の排泄率;排泄率を調整する</v>
      </c>
      <c r="H5110" s="3" t="str">
        <f ca="1">IFERROR(__xludf.DUMMYFUNCTION("googletranslate(E5110,""en"",""ja"")"),"規定の期間（たとえば、1 時間）にわたって生物学的標本中に排泄される TNF スーパーファミリーメンバー 12 の量の測定。")</f>
        <v>規定の期間（たとえば、1 時間）にわたって生物学的標本中に排泄される TNF スーパーファミリーメンバー 12 の量の測定。</v>
      </c>
      <c r="I5110" s="3" t="str">
        <f ca="1">IFERROR(__xludf.DUMMYFUNCTION("googletranslate(F5110,""en"",""ja"")"),"TNF スーパーファミリー メンバー 12 の排泄率")</f>
        <v>TNF スーパーファミリー メンバー 12 の排泄率</v>
      </c>
    </row>
    <row r="5111" spans="1:9" ht="30">
      <c r="A5111" s="3" t="s">
        <v>6</v>
      </c>
      <c r="B5111" s="3" t="s">
        <v>21180</v>
      </c>
      <c r="C5111" s="3" t="s">
        <v>21181</v>
      </c>
      <c r="D5111" s="3" t="s">
        <v>21182</v>
      </c>
      <c r="E5111" s="3" t="s">
        <v>21183</v>
      </c>
      <c r="F5111" s="3" t="s">
        <v>21184</v>
      </c>
      <c r="G5111" s="3" t="str">
        <f ca="1">IFERROR(__xludf.DUMMYFUNCTION("googletranslate(D5111,""en"",""ja"")"),"可溶性 TNF スーパーファミリー メンバー 12;可溶性TNFSF12")</f>
        <v>可溶性 TNF スーパーファミリー メンバー 12;可溶性TNFSF12</v>
      </c>
      <c r="H5111" s="3" t="str">
        <f ca="1">IFERROR(__xludf.DUMMYFUNCTION("googletranslate(E5111,""en"",""ja"")"),"生物学的標本中の可溶性腫瘍壊死因子スーパーファミリーメンバー 12 の測定。")</f>
        <v>生物学的標本中の可溶性腫瘍壊死因子スーパーファミリーメンバー 12 の測定。</v>
      </c>
      <c r="I5111" s="3" t="str">
        <f ca="1">IFERROR(__xludf.DUMMYFUNCTION("googletranslate(F5111,""en"",""ja"")"),"可溶性TNFスーパーファミリーメンバー12の測定")</f>
        <v>可溶性TNFスーパーファミリーメンバー12の測定</v>
      </c>
    </row>
    <row r="5112" spans="1:9" ht="90">
      <c r="A5112" s="3" t="s">
        <v>6</v>
      </c>
      <c r="B5112" s="3" t="s">
        <v>21185</v>
      </c>
      <c r="C5112" s="3" t="s">
        <v>21186</v>
      </c>
      <c r="D5112" s="3" t="s">
        <v>21187</v>
      </c>
      <c r="E5112" s="3" t="s">
        <v>21188</v>
      </c>
      <c r="F5112" s="3" t="s">
        <v>21189</v>
      </c>
      <c r="G5112" s="3" t="str">
        <f ca="1">IFERROR(__xludf.DUMMYFUNCTION("googletranslate(D5112,""en"",""ja"")"),"可溶性CD154;可溶性 CD40 リガンド;可溶性CD40L;可溶性CD40LG;可溶性 gp39;可溶性T-BAM;可溶性 TNF スーパーファミリー メンバー 5;可溶性TNFSF5;可溶性トラップ")</f>
        <v>可溶性CD154;可溶性 CD40 リガンド;可溶性CD40L;可溶性CD40LG;可溶性 gp39;可溶性T-BAM;可溶性 TNF スーパーファミリー メンバー 5;可溶性TNFSF5;可溶性トラップ</v>
      </c>
      <c r="H5112" s="3" t="str">
        <f ca="1">IFERROR(__xludf.DUMMYFUNCTION("googletranslate(E5112,""en"",""ja"")"),"生物学的標本中の可溶性腫瘍壊死因子スーパーファミリーメンバー 5 の測定。")</f>
        <v>生物学的標本中の可溶性腫瘍壊死因子スーパーファミリーメンバー 5 の測定。</v>
      </c>
      <c r="I5112" s="3" t="str">
        <f ca="1">IFERROR(__xludf.DUMMYFUNCTION("googletranslate(F5112,""en"",""ja"")"),"可溶性TNFスーパーファミリーメンバー5の測定")</f>
        <v>可溶性TNFスーパーファミリーメンバー5の測定</v>
      </c>
    </row>
    <row r="5113" spans="1:9" ht="30">
      <c r="A5113" s="3" t="s">
        <v>6</v>
      </c>
      <c r="B5113" s="3" t="s">
        <v>21190</v>
      </c>
      <c r="C5113" s="3" t="s">
        <v>21191</v>
      </c>
      <c r="D5113" s="3" t="s">
        <v>21192</v>
      </c>
      <c r="E5113" s="3" t="s">
        <v>21193</v>
      </c>
      <c r="F5113" s="3" t="s">
        <v>21194</v>
      </c>
      <c r="G5113" s="3" t="str">
        <f ca="1">IFERROR(__xludf.DUMMYFUNCTION("googletranslate(D5113,""en"",""ja"")"),"TNF-α産生阻害; TNF-α産生阻害活性")</f>
        <v>TNF-α産生阻害; TNF-α産生阻害活性</v>
      </c>
      <c r="H5113" s="3" t="str">
        <f ca="1">IFERROR(__xludf.DUMMYFUNCTION("googletranslate(E5113,""en"",""ja"")"),"生体試料における TNF-α 産生阻害活性の測定。")</f>
        <v>生体試料における TNF-α 産生阻害活性の測定。</v>
      </c>
      <c r="I5113" s="3" t="str">
        <f ca="1">IFERROR(__xludf.DUMMYFUNCTION("googletranslate(F5113,""en"",""ja"")"),"TNF-α産生阻害活性測定")</f>
        <v>TNF-α産生阻害活性測定</v>
      </c>
    </row>
    <row r="5114" spans="1:9" ht="30">
      <c r="A5114" s="3" t="s">
        <v>6</v>
      </c>
      <c r="B5114" s="3" t="s">
        <v>21195</v>
      </c>
      <c r="C5114" s="3" t="s">
        <v>21196</v>
      </c>
      <c r="D5114" s="3" t="s">
        <v>21197</v>
      </c>
      <c r="E5114" s="3" t="s">
        <v>21198</v>
      </c>
      <c r="F5114" s="3" t="s">
        <v>21199</v>
      </c>
      <c r="G5114" s="3" t="str">
        <f ca="1">IFERROR(__xludf.DUMMYFUNCTION("googletranslate(D5114,""en"",""ja"")"),"可溶性CD120a;腫瘍壊死因子受容体 1")</f>
        <v>可溶性CD120a;腫瘍壊死因子受容体 1</v>
      </c>
      <c r="H5114" s="3" t="str">
        <f ca="1">IFERROR(__xludf.DUMMYFUNCTION("googletranslate(E5114,""en"",""ja"")"),"生物学的検体中の腫瘍壊死因子受容体 1 (CD120a) の測定。")</f>
        <v>生物学的検体中の腫瘍壊死因子受容体 1 (CD120a) の測定。</v>
      </c>
      <c r="I5114" s="3" t="str">
        <f ca="1">IFERROR(__xludf.DUMMYFUNCTION("googletranslate(F5114,""en"",""ja"")"),"腫瘍壊死因子受容体 1 の測定")</f>
        <v>腫瘍壊死因子受容体 1 の測定</v>
      </c>
    </row>
    <row r="5115" spans="1:9" ht="75">
      <c r="A5115" s="3" t="s">
        <v>6</v>
      </c>
      <c r="B5115" s="3" t="s">
        <v>21200</v>
      </c>
      <c r="C5115" s="3" t="s">
        <v>21201</v>
      </c>
      <c r="D5115" s="3" t="s">
        <v>21202</v>
      </c>
      <c r="E5115" s="3" t="s">
        <v>21203</v>
      </c>
      <c r="F5115" s="3" t="s">
        <v>21204</v>
      </c>
      <c r="G5115" s="3" t="str">
        <f ca="1">IFERROR(__xludf.DUMMYFUNCTION("googletranslate(D5115,""en"",""ja"")"),"p75; p75TNFR;可溶性CD120b; TBPII; TNF受容体1B; TNF-R-II; TNF-R75; TNFBR; TNFR1B; TNFR2; TNFR80;腫瘍壊死因子受容体 2")</f>
        <v>p75; p75TNFR;可溶性CD120b; TBPII; TNF受容体1B; TNF-R-II; TNF-R75; TNFBR; TNFR1B; TNFR2; TNFR80;腫瘍壊死因子受容体 2</v>
      </c>
      <c r="H5115" s="3" t="str">
        <f ca="1">IFERROR(__xludf.DUMMYFUNCTION("googletranslate(E5115,""en"",""ja"")"),"生物学的標本中の腫瘍壊死因子受容体スーパーファミリーのメンバー 1B の測定。")</f>
        <v>生物学的標本中の腫瘍壊死因子受容体スーパーファミリーのメンバー 1B の測定。</v>
      </c>
      <c r="I5115" s="3" t="str">
        <f ca="1">IFERROR(__xludf.DUMMYFUNCTION("googletranslate(F5115,""en"",""ja"")"),"TNF受容体1Bの測定")</f>
        <v>TNF受容体1Bの測定</v>
      </c>
    </row>
    <row r="5116" spans="1:9" ht="135">
      <c r="A5116" s="3" t="s">
        <v>6</v>
      </c>
      <c r="B5116" s="3" t="s">
        <v>21205</v>
      </c>
      <c r="C5116" s="3" t="s">
        <v>21206</v>
      </c>
      <c r="D5116" s="3" t="s">
        <v>21207</v>
      </c>
      <c r="E5116" s="3" t="s">
        <v>21208</v>
      </c>
      <c r="F5116" s="3" t="s">
        <v>21209</v>
      </c>
      <c r="G5116" s="3" t="str">
        <f ca="1">IFERROR(__xludf.DUMMYFUNCTION("googletranslate(D5116,""en"",""ja"")"),"可溶性B細胞表面抗原CD40;可溶性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f>
        <v>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v>
      </c>
      <c r="H5116" s="3" t="str">
        <f ca="1">IFERROR(__xludf.DUMMYFUNCTION("googletranslate(E5116,""en"",""ja"")"),"生物学的標本中の可溶性腫瘍壊死因子受容体スーパーファミリーメンバー 5 (CD40) の測定。")</f>
        <v>生物学的標本中の可溶性腫瘍壊死因子受容体スーパーファミリーメンバー 5 (CD40) の測定。</v>
      </c>
      <c r="I5116" s="3" t="str">
        <f ca="1">IFERROR(__xludf.DUMMYFUNCTION("googletranslate(F5116,""en"",""ja"")"),"可溶性TNF受容体スーパーファミリーメンバー5の測定")</f>
        <v>可溶性TNF受容体スーパーファミリーメンバー5の測定</v>
      </c>
    </row>
    <row r="5117" spans="1:9" ht="90">
      <c r="A5117" s="3" t="s">
        <v>6</v>
      </c>
      <c r="B5117" s="3" t="s">
        <v>21210</v>
      </c>
      <c r="C5117" s="3" t="s">
        <v>21211</v>
      </c>
      <c r="D5117" s="3" t="s">
        <v>21212</v>
      </c>
      <c r="E5117" s="3" t="s">
        <v>21213</v>
      </c>
      <c r="F5117" s="3" t="s">
        <v>21214</v>
      </c>
      <c r="G5117" s="3" t="str">
        <f ca="1">IFERROR(__xludf.DUMMYFUNCTION("googletranslate(D5117,""en"",""ja"")"),"可溶性CD27;可溶性 CD27 抗原。可溶性 CD27 分子;可溶性 TNF 受容体スーパーファミリー Mem 7;可溶性TNFRSF7;可溶性腫瘍壊死因子受容体スーパーファミリーメンバー 7")</f>
        <v>可溶性CD27;可溶性 CD27 抗原。可溶性 CD27 分子;可溶性 TNF 受容体スーパーファミリー Mem 7;可溶性TNFRSF7;可溶性腫瘍壊死因子受容体スーパーファミリーメンバー 7</v>
      </c>
      <c r="H5117" s="3" t="str">
        <f ca="1">IFERROR(__xludf.DUMMYFUNCTION("googletranslate(E5117,""en"",""ja"")"),"生物学的標本中の可溶性腫瘍壊死因子受容体スーパーファミリーメンバー 7 (CD27) の測定。")</f>
        <v>生物学的標本中の可溶性腫瘍壊死因子受容体スーパーファミリーメンバー 7 (CD27) の測定。</v>
      </c>
      <c r="I5117" s="3" t="str">
        <f ca="1">IFERROR(__xludf.DUMMYFUNCTION("googletranslate(F5117,""en"",""ja"")"),"可溶性 TNF 受容体スーパーファミリー Mem 7 の測定")</f>
        <v>可溶性 TNF 受容体スーパーファミリー Mem 7 の測定</v>
      </c>
    </row>
    <row r="5118" spans="1:9" ht="75">
      <c r="A5118" s="3" t="s">
        <v>6</v>
      </c>
      <c r="B5118" s="3" t="s">
        <v>21215</v>
      </c>
      <c r="C5118" s="3" t="s">
        <v>21216</v>
      </c>
      <c r="D5118" s="3" t="s">
        <v>21217</v>
      </c>
      <c r="E5118" s="3" t="s">
        <v>21218</v>
      </c>
      <c r="F5118" s="3" t="s">
        <v>21219</v>
      </c>
      <c r="G5118" s="3" t="str">
        <f ca="1">IFERROR(__xludf.DUMMYFUNCTION("googletranslate(D5118,""en"",""ja"")"),"sCD137;可溶性CD137;可溶性 TNF 受容体スーパーファミリー Mem 9;可溶性 TNF 受容体スーパーファミリー メンバー 9;可溶性TNFRSF9")</f>
        <v>sCD137;可溶性CD137;可溶性 TNF 受容体スーパーファミリー Mem 9;可溶性 TNF 受容体スーパーファミリー メンバー 9;可溶性TNFRSF9</v>
      </c>
      <c r="H5118" s="3" t="str">
        <f ca="1">IFERROR(__xludf.DUMMYFUNCTION("googletranslate(E5118,""en"",""ja"")"),"生物学的標本中の可溶性腫瘍壊死因子受容体スーパーファミリーメンバー 9 (CD137) の測定。")</f>
        <v>生物学的標本中の可溶性腫瘍壊死因子受容体スーパーファミリーメンバー 9 (CD137) の測定。</v>
      </c>
      <c r="I5118" s="3" t="str">
        <f ca="1">IFERROR(__xludf.DUMMYFUNCTION("googletranslate(F5118,""en"",""ja"")"),"可溶性腫瘍壊死因子受容体スーパーファミリーメンバー9の測定")</f>
        <v>可溶性腫瘍壊死因子受容体スーパーファミリーメンバー9の測定</v>
      </c>
    </row>
    <row r="5119" spans="1:9" ht="30">
      <c r="A5119" s="3" t="s">
        <v>6</v>
      </c>
      <c r="B5119" s="3" t="s">
        <v>21220</v>
      </c>
      <c r="C5119" s="3" t="s">
        <v>21221</v>
      </c>
      <c r="D5119" s="3" t="s">
        <v>21221</v>
      </c>
      <c r="E5119" s="3" t="s">
        <v>21222</v>
      </c>
      <c r="F5119" s="3" t="s">
        <v>21223</v>
      </c>
      <c r="G5119" s="3" t="str">
        <f ca="1">IFERROR(__xludf.DUMMYFUNCTION("googletranslate(D5119,""en"",""ja"")"),"可溶性腫瘍壊死因子受容体")</f>
        <v>可溶性腫瘍壊死因子受容体</v>
      </c>
      <c r="H5119" s="3" t="str">
        <f ca="1">IFERROR(__xludf.DUMMYFUNCTION("googletranslate(E5119,""en"",""ja"")"),"生物学的標本中の総可溶性腫瘍壊死因子受容体の測定。")</f>
        <v>生物学的標本中の総可溶性腫瘍壊死因子受容体の測定。</v>
      </c>
      <c r="I5119" s="3" t="str">
        <f ca="1">IFERROR(__xludf.DUMMYFUNCTION("googletranslate(F5119,""en"",""ja"")"),"可溶性腫瘍壊死因子受容体の測定")</f>
        <v>可溶性腫瘍壊死因子受容体の測定</v>
      </c>
    </row>
    <row r="5120" spans="1:9" ht="30">
      <c r="A5120" s="3" t="s">
        <v>6</v>
      </c>
      <c r="B5120" s="3" t="s">
        <v>21224</v>
      </c>
      <c r="C5120" s="3" t="s">
        <v>21225</v>
      </c>
      <c r="D5120" s="3" t="s">
        <v>21225</v>
      </c>
      <c r="E5120" s="3" t="s">
        <v>21226</v>
      </c>
      <c r="F5120" s="3" t="s">
        <v>21227</v>
      </c>
      <c r="G5120" s="3" t="str">
        <f ca="1">IFERROR(__xludf.DUMMYFUNCTION("googletranslate(D5120,""en"",""ja"")"),"可溶性 TNF 受容体 I 型")</f>
        <v>可溶性 TNF 受容体 I 型</v>
      </c>
      <c r="H5120" s="3" t="str">
        <f ca="1">IFERROR(__xludf.DUMMYFUNCTION("googletranslate(E5120,""en"",""ja"")"),"生物学的標本中の可溶性腫瘍壊死因子受容体 I 型の測定。")</f>
        <v>生物学的標本中の可溶性腫瘍壊死因子受容体 I 型の測定。</v>
      </c>
      <c r="I5120" s="3" t="str">
        <f ca="1">IFERROR(__xludf.DUMMYFUNCTION("googletranslate(F5120,""en"",""ja"")"),"可溶性腫瘍壊死因子受容体 I 型の測定")</f>
        <v>可溶性腫瘍壊死因子受容体 I 型の測定</v>
      </c>
    </row>
    <row r="5121" spans="1:9" ht="45">
      <c r="A5121" s="3" t="s">
        <v>6</v>
      </c>
      <c r="B5121" s="3" t="s">
        <v>21228</v>
      </c>
      <c r="C5121" s="3" t="s">
        <v>21229</v>
      </c>
      <c r="D5121" s="3" t="s">
        <v>21230</v>
      </c>
      <c r="E5121" s="3" t="s">
        <v>21231</v>
      </c>
      <c r="F5121" s="3" t="s">
        <v>21232</v>
      </c>
      <c r="G5121" s="3" t="str">
        <f ca="1">IFERROR(__xludf.DUMMYFUNCTION("googletranslate(D5121,""en"",""ja"")"),"可溶性CD120b;可溶性 TNF 受容体 1B;可溶性 TNF 受容体 II 型。可溶性TNFR1B")</f>
        <v>可溶性CD120b;可溶性 TNF 受容体 1B;可溶性 TNF 受容体 II 型。可溶性TNFR1B</v>
      </c>
      <c r="H5121" s="3" t="str">
        <f ca="1">IFERROR(__xludf.DUMMYFUNCTION("googletranslate(E5121,""en"",""ja"")"),"生物学的検体中の可溶性腫瘍壊死因子受容体 II 型の測定。")</f>
        <v>生物学的検体中の可溶性腫瘍壊死因子受容体 II 型の測定。</v>
      </c>
      <c r="I5121" s="3" t="str">
        <f ca="1">IFERROR(__xludf.DUMMYFUNCTION("googletranslate(F5121,""en"",""ja"")"),"可溶性腫瘍壊死因子受容体 II 型の測定")</f>
        <v>可溶性腫瘍壊死因子受容体 II 型の測定</v>
      </c>
    </row>
    <row r="5122" spans="1:9">
      <c r="A5122" s="3" t="s">
        <v>51</v>
      </c>
      <c r="B5122" s="3" t="s">
        <v>21233</v>
      </c>
      <c r="C5122" s="3" t="s">
        <v>21234</v>
      </c>
      <c r="D5122" s="3" t="s">
        <v>21234</v>
      </c>
      <c r="E5122" s="3" t="s">
        <v>21235</v>
      </c>
      <c r="F5122" s="3" t="s">
        <v>21234</v>
      </c>
      <c r="G5122" s="3" t="str">
        <f ca="1">IFERROR(__xludf.DUMMYFUNCTION("googletranslate(D5122,""en"",""ja"")"),"タバコのカットサイズ")</f>
        <v>タバコのカットサイズ</v>
      </c>
      <c r="H5122" s="3" t="str">
        <f ca="1">IFERROR(__xludf.DUMMYFUNCTION("googletranslate(E5122,""en"",""ja"")"),"タバコ製品におけるタバコの物理的寸法。")</f>
        <v>タバコ製品におけるタバコの物理的寸法。</v>
      </c>
      <c r="I5122" s="3" t="str">
        <f ca="1">IFERROR(__xludf.DUMMYFUNCTION("googletranslate(F5122,""en"",""ja"")"),"タバコのカットサイズ")</f>
        <v>タバコのカットサイズ</v>
      </c>
    </row>
    <row r="5123" spans="1:9" ht="30">
      <c r="A5123" s="3" t="s">
        <v>51</v>
      </c>
      <c r="B5123" s="3" t="s">
        <v>21236</v>
      </c>
      <c r="C5123" s="3" t="s">
        <v>21237</v>
      </c>
      <c r="D5123" s="3" t="s">
        <v>21238</v>
      </c>
      <c r="E5123" s="3" t="s">
        <v>21239</v>
      </c>
      <c r="F5123" s="3" t="s">
        <v>21240</v>
      </c>
      <c r="G5123" s="3" t="str">
        <f ca="1">IFERROR(__xludf.DUMMYFUNCTION("googletranslate(D5123,""en"",""ja"")"),"メチルベンゼン;フェニルメタン;トルエン;トルオール")</f>
        <v>メチルベンゼン;フェニルメタン;トルエン;トルオール</v>
      </c>
      <c r="H5123" s="3" t="str">
        <f ca="1">IFERROR(__xludf.DUMMYFUNCTION("googletranslate(E5123,""en"",""ja"")"),"試料中のトルエンの測定。")</f>
        <v>試料中のトルエンの測定。</v>
      </c>
      <c r="I5123" s="3" t="str">
        <f ca="1">IFERROR(__xludf.DUMMYFUNCTION("googletranslate(F5123,""en"",""ja"")"),"トルエン測定")</f>
        <v>トルエン測定</v>
      </c>
    </row>
    <row r="5124" spans="1:9" ht="30">
      <c r="A5124" s="3" t="s">
        <v>6</v>
      </c>
      <c r="B5124" s="3" t="s">
        <v>21236</v>
      </c>
      <c r="C5124" s="3" t="s">
        <v>21237</v>
      </c>
      <c r="D5124" s="3" t="s">
        <v>21238</v>
      </c>
      <c r="E5124" s="3" t="s">
        <v>21239</v>
      </c>
      <c r="F5124" s="3" t="s">
        <v>21240</v>
      </c>
      <c r="G5124" s="3" t="str">
        <f ca="1">IFERROR(__xludf.DUMMYFUNCTION("googletranslate(D5124,""en"",""ja"")"),"メチルベンゼン;フェニルメタン;トルエン;トルオール")</f>
        <v>メチルベンゼン;フェニルメタン;トルエン;トルオール</v>
      </c>
      <c r="H5124" s="3" t="str">
        <f ca="1">IFERROR(__xludf.DUMMYFUNCTION("googletranslate(E5124,""en"",""ja"")"),"試料中のトルエンの測定。")</f>
        <v>試料中のトルエンの測定。</v>
      </c>
      <c r="I5124" s="3" t="str">
        <f ca="1">IFERROR(__xludf.DUMMYFUNCTION("googletranslate(F5124,""en"",""ja"")"),"トルエン測定")</f>
        <v>トルエン測定</v>
      </c>
    </row>
    <row r="5125" spans="1:9" ht="45">
      <c r="A5125" s="3" t="s">
        <v>6</v>
      </c>
      <c r="B5125" s="3" t="s">
        <v>21241</v>
      </c>
      <c r="C5125" s="3" t="s">
        <v>21242</v>
      </c>
      <c r="D5125" s="3" t="s">
        <v>21243</v>
      </c>
      <c r="E5125" s="3" t="s">
        <v>21244</v>
      </c>
      <c r="F5125" s="3" t="s">
        <v>21245</v>
      </c>
      <c r="G5125" s="3" t="str">
        <f ca="1">IFERROR(__xludf.DUMMYFUNCTION("googletranslate(D5125,""en"",""ja"")"),"トモレグリン-2; EGF 様ドメインと 2 つのフォリスタチン様ドメインを持つ膜貫通タンパク質 2")</f>
        <v>トモレグリン-2; EGF 様ドメインと 2 つのフォリスタチン様ドメインを持つ膜貫通タンパク質 2</v>
      </c>
      <c r="H5125" s="3" t="str">
        <f ca="1">IFERROR(__xludf.DUMMYFUNCTION("googletranslate(E5125,""en"",""ja"")"),"生体試料中のトモレグリン-2の測定。")</f>
        <v>生体試料中のトモレグリン-2の測定。</v>
      </c>
      <c r="I5125" s="3" t="str">
        <f ca="1">IFERROR(__xludf.DUMMYFUNCTION("googletranslate(F5125,""en"",""ja"")"),"トモレグリン-2の測定")</f>
        <v>トモレグリン-2の測定</v>
      </c>
    </row>
    <row r="5126" spans="1:9">
      <c r="A5126" s="3" t="s">
        <v>51</v>
      </c>
      <c r="B5126" s="3" t="s">
        <v>21246</v>
      </c>
      <c r="C5126" s="3" t="s">
        <v>21247</v>
      </c>
      <c r="D5126" s="3" t="s">
        <v>21247</v>
      </c>
      <c r="E5126" s="3" t="s">
        <v>21248</v>
      </c>
      <c r="F5126" s="3" t="s">
        <v>21247</v>
      </c>
      <c r="G5126" s="3" t="str">
        <f ca="1">IFERROR(__xludf.DUMMYFUNCTION("googletranslate(D5126,""en"",""ja"")"),"タバコの粒径")</f>
        <v>タバコの粒径</v>
      </c>
      <c r="H5126" s="3" t="str">
        <f ca="1">IFERROR(__xludf.DUMMYFUNCTION("googletranslate(E5126,""en"",""ja"")"),"タバコの煙の粒子の幅。")</f>
        <v>タバコの煙の粒子の幅。</v>
      </c>
      <c r="I5126" s="3" t="str">
        <f ca="1">IFERROR(__xludf.DUMMYFUNCTION("googletranslate(F5126,""en"",""ja"")"),"タバコの粒径")</f>
        <v>タバコの粒径</v>
      </c>
    </row>
    <row r="5127" spans="1:9">
      <c r="A5127" s="3" t="s">
        <v>51</v>
      </c>
      <c r="B5127" s="3" t="s">
        <v>21249</v>
      </c>
      <c r="C5127" s="3" t="s">
        <v>21250</v>
      </c>
      <c r="D5127" s="3" t="s">
        <v>21250</v>
      </c>
      <c r="E5127" s="3" t="s">
        <v>21251</v>
      </c>
      <c r="F5127" s="3" t="s">
        <v>21250</v>
      </c>
      <c r="G5127" s="3" t="str">
        <f ca="1">IFERROR(__xludf.DUMMYFUNCTION("googletranslate(D5127,""en"",""ja"")"),"タバコロッドの密度")</f>
        <v>タバコロッドの密度</v>
      </c>
      <c r="H5127" s="3" t="str">
        <f ca="1">IFERROR(__xludf.DUMMYFUNCTION("googletranslate(E5127,""en"",""ja"")"),"包装紙内の刻みタバコ充填材の密度。")</f>
        <v>包装紙内の刻みタバコ充填材の密度。</v>
      </c>
      <c r="I5127" s="3" t="str">
        <f ca="1">IFERROR(__xludf.DUMMYFUNCTION("googletranslate(F5127,""en"",""ja"")"),"タバコロッドの密度")</f>
        <v>タバコロッドの密度</v>
      </c>
    </row>
    <row r="5128" spans="1:9">
      <c r="A5128" s="3" t="s">
        <v>185</v>
      </c>
      <c r="B5128" s="3" t="s">
        <v>21252</v>
      </c>
      <c r="C5128" s="3" t="s">
        <v>21253</v>
      </c>
      <c r="D5128" s="3" t="s">
        <v>21253</v>
      </c>
      <c r="E5128" s="3" t="s">
        <v>21254</v>
      </c>
      <c r="F5128" s="3" t="s">
        <v>21253</v>
      </c>
      <c r="G5128" s="3" t="str">
        <f ca="1">IFERROR(__xludf.DUMMYFUNCTION("googletranslate(D5128,""en"",""ja"")"),"総数")</f>
        <v>総数</v>
      </c>
      <c r="H5128" s="3" t="str">
        <f ca="1">IFERROR(__xludf.DUMMYFUNCTION("googletranslate(E5128,""en"",""ja"")"),"エンティティの総数の測定値。")</f>
        <v>エンティティの総数の測定値。</v>
      </c>
      <c r="I5128" s="3" t="str">
        <f ca="1">IFERROR(__xludf.DUMMYFUNCTION("googletranslate(F5128,""en"",""ja"")"),"総数")</f>
        <v>総数</v>
      </c>
    </row>
    <row r="5129" spans="1:9" ht="30">
      <c r="A5129" s="3" t="s">
        <v>103</v>
      </c>
      <c r="B5129" s="3" t="s">
        <v>21255</v>
      </c>
      <c r="C5129" s="3" t="s">
        <v>21256</v>
      </c>
      <c r="D5129" s="3" t="s">
        <v>21257</v>
      </c>
      <c r="E5129" s="3" t="s">
        <v>21258</v>
      </c>
      <c r="F5129" s="3" t="s">
        <v>21259</v>
      </c>
      <c r="G5129" s="3" t="str">
        <f ca="1">IFERROR(__xludf.DUMMYFUNCTION("googletranslate(D5129,""en"",""ja"")"),"TOX1+TOX2 の発現。 TOX1/2の発現")</f>
        <v>TOX1+TOX2 の発現。 TOX1/2の発現</v>
      </c>
      <c r="H5129" s="3" t="str">
        <f ca="1">IFERROR(__xludf.DUMMYFUNCTION("googletranslate(E5129,""en"",""ja"")"),"生物学的標本における細胞 TOX1 および細胞 TOX2 発現の測定。")</f>
        <v>生物学的標本における細胞 TOX1 および細胞 TOX2 発現の測定。</v>
      </c>
      <c r="I5129" s="3" t="str">
        <f ca="1">IFERROR(__xludf.DUMMYFUNCTION("googletranslate(F5129,""en"",""ja"")"),"TOX1およびTOX2発現測定")</f>
        <v>TOX1およびTOX2発現測定</v>
      </c>
    </row>
    <row r="5130" spans="1:9" ht="30">
      <c r="A5130" s="3" t="s">
        <v>67</v>
      </c>
      <c r="B5130" s="3" t="s">
        <v>21260</v>
      </c>
      <c r="C5130" s="3" t="s">
        <v>21261</v>
      </c>
      <c r="D5130" s="3" t="s">
        <v>21261</v>
      </c>
      <c r="E5130" s="3" t="s">
        <v>21262</v>
      </c>
      <c r="F5130" s="3" t="s">
        <v>21263</v>
      </c>
      <c r="G5130" s="3" t="str">
        <f ca="1">IFERROR(__xludf.DUMMYFUNCTION("googletranslate(D5130,""en"",""ja"")"),"毒素Bを産生するクロストリジウム・ディフィシル")</f>
        <v>毒素Bを産生するクロストリジウム・ディフィシル</v>
      </c>
      <c r="H5130" s="3" t="str">
        <f ca="1">IFERROR(__xludf.DUMMYFUNCTION("googletranslate(E5130,""en"",""ja"")"),"生物学的標本中のクロストリジウム ディフィシルの毒素 B 産生株の測定。")</f>
        <v>生物学的標本中のクロストリジウム ディフィシルの毒素 B 産生株の測定。</v>
      </c>
      <c r="I5130" s="3" t="str">
        <f ca="1">IFERROR(__xludf.DUMMYFUNCTION("googletranslate(F5130,""en"",""ja"")"),"毒素B産生クロストリジウム・ディフィシルの測定")</f>
        <v>毒素B産生クロストリジウム・ディフィシルの測定</v>
      </c>
    </row>
    <row r="5131" spans="1:9" ht="30">
      <c r="A5131" s="3" t="s">
        <v>67</v>
      </c>
      <c r="B5131" s="3" t="s">
        <v>21264</v>
      </c>
      <c r="C5131" s="3" t="s">
        <v>21265</v>
      </c>
      <c r="D5131" s="3" t="s">
        <v>21265</v>
      </c>
      <c r="E5131" s="3" t="s">
        <v>21266</v>
      </c>
      <c r="F5131" s="3" t="s">
        <v>21267</v>
      </c>
      <c r="G5131" s="3" t="str">
        <f ca="1">IFERROR(__xludf.DUMMYFUNCTION("googletranslate(D5131,""en"",""ja"")"),"毒素産生性クロストリジウム・ディフィシル")</f>
        <v>毒素産生性クロストリジウム・ディフィシル</v>
      </c>
      <c r="H5131" s="3" t="str">
        <f ca="1">IFERROR(__xludf.DUMMYFUNCTION("googletranslate(E5131,""en"",""ja"")"),"生物学的標本中のクロストリジウム ディフィシルの毒素産生株の測定。")</f>
        <v>生物学的標本中のクロストリジウム ディフィシルの毒素産生株の測定。</v>
      </c>
      <c r="I5131" s="3" t="str">
        <f ca="1">IFERROR(__xludf.DUMMYFUNCTION("googletranslate(F5131,""en"",""ja"")"),"毒素原性クロストリジウム・ディフィシルの測定")</f>
        <v>毒素原性クロストリジウム・ディフィシルの測定</v>
      </c>
    </row>
    <row r="5132" spans="1:9" ht="30">
      <c r="A5132" s="3" t="s">
        <v>185</v>
      </c>
      <c r="B5132" s="3" t="s">
        <v>21268</v>
      </c>
      <c r="C5132" s="3" t="s">
        <v>21269</v>
      </c>
      <c r="D5132" s="3" t="s">
        <v>21269</v>
      </c>
      <c r="E5132" s="3" t="s">
        <v>21270</v>
      </c>
      <c r="F5132" s="3" t="s">
        <v>21269</v>
      </c>
      <c r="G5132" s="3" t="str">
        <f ca="1">IFERROR(__xludf.DUMMYFUNCTION("googletranslate(D5132,""en"",""ja"")"),"毒性グレード")</f>
        <v>毒性グレード</v>
      </c>
      <c r="H5132" s="3" t="str">
        <f ca="1">IFERROR(__xludf.DUMMYFUNCTION("googletranslate(E5132,""en"",""ja"")"),"イベントまたは所見の重大度の標準化されたカテゴリ分類。")</f>
        <v>イベントまたは所見の重大度の標準化されたカテゴリ分類。</v>
      </c>
      <c r="I5132" s="3" t="str">
        <f ca="1">IFERROR(__xludf.DUMMYFUNCTION("googletranslate(F5132,""en"",""ja"")"),"毒性グレード")</f>
        <v>毒性グレード</v>
      </c>
    </row>
    <row r="5133" spans="1:9" ht="30">
      <c r="A5133" s="3" t="s">
        <v>6</v>
      </c>
      <c r="B5133" s="3" t="s">
        <v>21271</v>
      </c>
      <c r="C5133" s="3" t="s">
        <v>21272</v>
      </c>
      <c r="D5133" s="3" t="s">
        <v>21272</v>
      </c>
      <c r="E5133" s="3" t="s">
        <v>21273</v>
      </c>
      <c r="F5133" s="3" t="s">
        <v>21274</v>
      </c>
      <c r="G5133" s="3" t="str">
        <f ca="1">IFERROR(__xludf.DUMMYFUNCTION("googletranslate(D5133,""en"",""ja"")"),"有毒な造粒")</f>
        <v>有毒な造粒</v>
      </c>
      <c r="H5133" s="3" t="str">
        <f ca="1">IFERROR(__xludf.DUMMYFUNCTION("googletranslate(E5133,""en"",""ja"")"),"顆粒球血球内の有毒な肉芽の測定。")</f>
        <v>顆粒球血球内の有毒な肉芽の測定。</v>
      </c>
      <c r="I5133" s="3" t="str">
        <f ca="1">IFERROR(__xludf.DUMMYFUNCTION("googletranslate(F5133,""en"",""ja"")"),"有毒顆粒測定")</f>
        <v>有毒顆粒測定</v>
      </c>
    </row>
    <row r="5134" spans="1:9" ht="30">
      <c r="A5134" s="3" t="s">
        <v>6</v>
      </c>
      <c r="B5134" s="3" t="s">
        <v>21275</v>
      </c>
      <c r="C5134" s="3" t="s">
        <v>21276</v>
      </c>
      <c r="D5134" s="3" t="s">
        <v>21276</v>
      </c>
      <c r="E5134" s="3" t="s">
        <v>21277</v>
      </c>
      <c r="F5134" s="3" t="s">
        <v>21278</v>
      </c>
      <c r="G5134" s="3" t="str">
        <f ca="1">IFERROR(__xludf.DUMMYFUNCTION("googletranslate(D5134,""en"",""ja"")"),"有毒な空胞化")</f>
        <v>有毒な空胞化</v>
      </c>
      <c r="H5134" s="3" t="str">
        <f ca="1">IFERROR(__xludf.DUMMYFUNCTION("googletranslate(E5134,""en"",""ja"")"),"顆粒球血球の毒性の空胞化の測定。")</f>
        <v>顆粒球血球の毒性の空胞化の測定。</v>
      </c>
      <c r="I5134" s="3" t="str">
        <f ca="1">IFERROR(__xludf.DUMMYFUNCTION("googletranslate(F5134,""en"",""ja"")"),"有毒な空胞の評価")</f>
        <v>有毒な空胞の評価</v>
      </c>
    </row>
    <row r="5135" spans="1:9" ht="30">
      <c r="A5135" s="3" t="s">
        <v>67</v>
      </c>
      <c r="B5135" s="3" t="s">
        <v>21279</v>
      </c>
      <c r="C5135" s="3" t="s">
        <v>21280</v>
      </c>
      <c r="D5135" s="3" t="s">
        <v>21280</v>
      </c>
      <c r="E5135" s="3" t="s">
        <v>21281</v>
      </c>
      <c r="F5135" s="3" t="s">
        <v>21282</v>
      </c>
      <c r="G5135" s="3" t="str">
        <f ca="1">IFERROR(__xludf.DUMMYFUNCTION("googletranslate(D5135,""en"",""ja"")"),"梅毒トレポネーマ")</f>
        <v>梅毒トレポネーマ</v>
      </c>
      <c r="H5135" s="3" t="str">
        <f ca="1">IFERROR(__xludf.DUMMYFUNCTION("googletranslate(E5135,""en"",""ja"")"),"生物学的標本中の梅毒トレポネーマの測定。")</f>
        <v>生物学的標本中の梅毒トレポネーマの測定。</v>
      </c>
      <c r="I5135" s="3" t="str">
        <f ca="1">IFERROR(__xludf.DUMMYFUNCTION("googletranslate(F5135,""en"",""ja"")"),"梅毒トレポネーマの測定")</f>
        <v>梅毒トレポネーマの測定</v>
      </c>
    </row>
    <row r="5136" spans="1:9" ht="30">
      <c r="A5136" s="3" t="s">
        <v>6</v>
      </c>
      <c r="B5136" s="3" t="s">
        <v>21283</v>
      </c>
      <c r="C5136" s="3" t="s">
        <v>21284</v>
      </c>
      <c r="D5136" s="3" t="s">
        <v>21284</v>
      </c>
      <c r="E5136" s="3" t="s">
        <v>21285</v>
      </c>
      <c r="F5136" s="3" t="s">
        <v>21286</v>
      </c>
      <c r="G5136" s="3" t="str">
        <f ca="1">IFERROR(__xludf.DUMMYFUNCTION("googletranslate(D5136,""en"",""ja"")"),"組織プラスミノーゲンアクチベーター抗原")</f>
        <v>組織プラスミノーゲンアクチベーター抗原</v>
      </c>
      <c r="H5136" s="3" t="str">
        <f ca="1">IFERROR(__xludf.DUMMYFUNCTION("googletranslate(E5136,""en"",""ja"")"),"生物学的標本中の組織プラスミノーゲンアクチベーター抗原の測定。")</f>
        <v>生物学的標本中の組織プラスミノーゲンアクチベーター抗原の測定。</v>
      </c>
      <c r="I5136" s="3" t="str">
        <f ca="1">IFERROR(__xludf.DUMMYFUNCTION("googletranslate(F5136,""en"",""ja"")"),"組織プラスミノーゲンアクチベーターの測定")</f>
        <v>組織プラスミノーゲンアクチベーターの測定</v>
      </c>
    </row>
    <row r="5137" spans="1:9" ht="30">
      <c r="A5137" s="3" t="s">
        <v>67</v>
      </c>
      <c r="B5137" s="3" t="s">
        <v>21287</v>
      </c>
      <c r="C5137" s="3" t="s">
        <v>21288</v>
      </c>
      <c r="D5137" s="3" t="s">
        <v>21288</v>
      </c>
      <c r="E5137" s="3" t="s">
        <v>21289</v>
      </c>
      <c r="F5137" s="3" t="s">
        <v>21290</v>
      </c>
      <c r="G5137" s="3" t="str">
        <f ca="1">IFERROR(__xludf.DUMMYFUNCTION("googletranslate(D5137,""en"",""ja"")"),"梅毒トレポネーマのDNA")</f>
        <v>梅毒トレポネーマのDNA</v>
      </c>
      <c r="H5137" s="3" t="str">
        <f ca="1">IFERROR(__xludf.DUMMYFUNCTION("googletranslate(E5137,""en"",""ja"")"),"生物学的標本中の梅毒トレポネーマ DNA の測定。")</f>
        <v>生物学的標本中の梅毒トレポネーマ DNA の測定。</v>
      </c>
      <c r="I5137" s="3" t="str">
        <f ca="1">IFERROR(__xludf.DUMMYFUNCTION("googletranslate(F5137,""en"",""ja"")"),"梅毒トレポネーマDNA測定")</f>
        <v>梅毒トレポネーマDNA測定</v>
      </c>
    </row>
    <row r="5138" spans="1:9" ht="30">
      <c r="A5138" s="3" t="s">
        <v>6</v>
      </c>
      <c r="B5138" s="3" t="s">
        <v>21291</v>
      </c>
      <c r="C5138" s="3" t="s">
        <v>21292</v>
      </c>
      <c r="D5138" s="3" t="s">
        <v>21293</v>
      </c>
      <c r="E5138" s="3" t="s">
        <v>21294</v>
      </c>
      <c r="F5138" s="3" t="s">
        <v>21295</v>
      </c>
      <c r="G5138" s="3" t="str">
        <f ca="1">IFERROR(__xludf.DUMMYFUNCTION("googletranslate(D5138,""en"",""ja"")"),"組織ポリペプチド抗原; TPA")</f>
        <v>組織ポリペプチド抗原; TPA</v>
      </c>
      <c r="H5138" s="3" t="str">
        <f ca="1">IFERROR(__xludf.DUMMYFUNCTION("googletranslate(E5138,""en"",""ja"")"),"生物学的標本中の組織ポリペプチド抗原の測定。")</f>
        <v>生物学的標本中の組織ポリペプチド抗原の測定。</v>
      </c>
      <c r="I5138" s="3" t="str">
        <f ca="1">IFERROR(__xludf.DUMMYFUNCTION("googletranslate(F5138,""en"",""ja"")"),"組織ポリペプチド抗原測定")</f>
        <v>組織ポリペプチド抗原測定</v>
      </c>
    </row>
    <row r="5139" spans="1:9" ht="45">
      <c r="A5139" s="3" t="s">
        <v>185</v>
      </c>
      <c r="B5139" s="3" t="s">
        <v>21296</v>
      </c>
      <c r="C5139" s="3" t="s">
        <v>21297</v>
      </c>
      <c r="D5139" s="3" t="s">
        <v>21297</v>
      </c>
      <c r="E5139" s="3" t="s">
        <v>21298</v>
      </c>
      <c r="F5139" s="3" t="s">
        <v>21297</v>
      </c>
      <c r="G5139" s="3" t="str">
        <f ca="1">IFERROR(__xludf.DUMMYFUNCTION("googletranslate(D5139,""en"",""ja"")"),"依存するインジケーターをテーパリングできません")</f>
        <v>依存するインジケーターをテーパリングできません</v>
      </c>
      <c r="H5139" s="3" t="str">
        <f ca="1">IFERROR(__xludf.DUMMYFUNCTION("googletranslate(E5139,""en"",""ja"")"),"個人が依存症のために摂取する物質の量を減らすことができないかどうかを示す指標。")</f>
        <v>個人が依存症のために摂取する物質の量を減らすことができないかどうかを示す指標。</v>
      </c>
      <c r="I5139" s="3" t="str">
        <f ca="1">IFERROR(__xludf.DUMMYFUNCTION("googletranslate(F5139,""en"",""ja"")"),"依存するインジケーターをテーパリングできません")</f>
        <v>依存するインジケーターをテーパリングできません</v>
      </c>
    </row>
    <row r="5140" spans="1:9" ht="45">
      <c r="A5140" s="3" t="s">
        <v>51</v>
      </c>
      <c r="B5140" s="3" t="s">
        <v>21299</v>
      </c>
      <c r="C5140" s="3" t="s">
        <v>21300</v>
      </c>
      <c r="D5140" s="3" t="s">
        <v>21300</v>
      </c>
      <c r="E5140" s="3" t="s">
        <v>21301</v>
      </c>
      <c r="F5140" s="3" t="s">
        <v>21300</v>
      </c>
      <c r="G5140" s="3" t="str">
        <f ca="1">IFERROR(__xludf.DUMMYFUNCTION("googletranslate(D5140,""en"",""ja"")"),"ティッピングペーパーの長さ")</f>
        <v>ティッピングペーパーの長さ</v>
      </c>
      <c r="H5140" s="3" t="str">
        <f ca="1">IFERROR(__xludf.DUMMYFUNCTION("googletranslate(E5140,""en"",""ja"")"),"フィルターをタバコロッドに結合するために使用される、製品のフィルター部分の外側の包装の長さ。")</f>
        <v>フィルターをタバコロッドに結合するために使用される、製品のフィルター部分の外側の包装の長さ。</v>
      </c>
      <c r="I5140" s="3" t="str">
        <f ca="1">IFERROR(__xludf.DUMMYFUNCTION("googletranslate(F5140,""en"",""ja"")"),"ティッピングペーパーの長さ")</f>
        <v>ティッピングペーパーの長さ</v>
      </c>
    </row>
    <row r="5141" spans="1:9">
      <c r="A5141" s="3" t="s">
        <v>6</v>
      </c>
      <c r="B5141" s="3" t="s">
        <v>21302</v>
      </c>
      <c r="C5141" s="3" t="s">
        <v>21303</v>
      </c>
      <c r="D5141" s="3" t="s">
        <v>21303</v>
      </c>
      <c r="E5141" s="3" t="s">
        <v>21304</v>
      </c>
      <c r="F5141" s="3" t="s">
        <v>21305</v>
      </c>
      <c r="G5141" s="3" t="str">
        <f ca="1">IFERROR(__xludf.DUMMYFUNCTION("googletranslate(D5141,""en"",""ja"")"),"タペンタドール")</f>
        <v>タペンタドール</v>
      </c>
      <c r="H5141" s="3" t="str">
        <f ca="1">IFERROR(__xludf.DUMMYFUNCTION("googletranslate(E5141,""en"",""ja"")"),"生物学的標本中のタペンタドールの測定。")</f>
        <v>生物学的標本中のタペンタドールの測定。</v>
      </c>
      <c r="I5141" s="3" t="str">
        <f ca="1">IFERROR(__xludf.DUMMYFUNCTION("googletranslate(F5141,""en"",""ja"")"),"タペンタドールの測定")</f>
        <v>タペンタドールの測定</v>
      </c>
    </row>
    <row r="5142" spans="1:9" ht="30">
      <c r="A5142" s="3" t="s">
        <v>6</v>
      </c>
      <c r="B5142" s="3" t="s">
        <v>21306</v>
      </c>
      <c r="C5142" s="3" t="s">
        <v>21307</v>
      </c>
      <c r="D5142" s="3" t="s">
        <v>21307</v>
      </c>
      <c r="E5142" s="3" t="s">
        <v>21308</v>
      </c>
      <c r="F5142" s="3" t="s">
        <v>21309</v>
      </c>
      <c r="G5142" s="3" t="str">
        <f ca="1">IFERROR(__xludf.DUMMYFUNCTION("googletranslate(D5142,""en"",""ja"")"),"非リン酸化タウタンパク質")</f>
        <v>非リン酸化タウタンパク質</v>
      </c>
      <c r="H5142" s="3" t="str">
        <f ca="1">IFERROR(__xludf.DUMMYFUNCTION("googletranslate(E5142,""en"",""ja"")"),"生体試料中の非リン酸化タウタンパク質の測定。")</f>
        <v>生体試料中の非リン酸化タウタンパク質の測定。</v>
      </c>
      <c r="I5142" s="3" t="str">
        <f ca="1">IFERROR(__xludf.DUMMYFUNCTION("googletranslate(F5142,""en"",""ja"")"),"非リン酸化タウタンパク質の測定")</f>
        <v>非リン酸化タウタンパク質の測定</v>
      </c>
    </row>
    <row r="5143" spans="1:9" ht="30">
      <c r="A5143" s="3" t="s">
        <v>6</v>
      </c>
      <c r="B5143" s="3" t="s">
        <v>21310</v>
      </c>
      <c r="C5143" s="3" t="s">
        <v>21311</v>
      </c>
      <c r="D5143" s="3" t="s">
        <v>21312</v>
      </c>
      <c r="E5143" s="3" t="s">
        <v>21313</v>
      </c>
      <c r="F5143" s="3" t="s">
        <v>21314</v>
      </c>
      <c r="G5143" s="3" t="str">
        <f ca="1">IFERROR(__xludf.DUMMYFUNCTION("googletranslate(D5143,""en"",""ja"")"),"タウタンパク質;総タウタンパク質")</f>
        <v>タウタンパク質;総タウタンパク質</v>
      </c>
      <c r="H5143" s="3" t="str">
        <f ca="1">IFERROR(__xludf.DUMMYFUNCTION("googletranslate(E5143,""en"",""ja"")"),"生物学的標本中の総タウタンパク質の測定。")</f>
        <v>生物学的標本中の総タウタンパク質の測定。</v>
      </c>
      <c r="I5143" s="3" t="str">
        <f ca="1">IFERROR(__xludf.DUMMYFUNCTION("googletranslate(F5143,""en"",""ja"")"),"タウタンパク質の測定")</f>
        <v>タウタンパク質の測定</v>
      </c>
    </row>
    <row r="5144" spans="1:9" ht="30">
      <c r="A5144" s="3" t="s">
        <v>6</v>
      </c>
      <c r="B5144" s="3" t="s">
        <v>21315</v>
      </c>
      <c r="C5144" s="3" t="s">
        <v>21316</v>
      </c>
      <c r="D5144" s="3" t="s">
        <v>21316</v>
      </c>
      <c r="E5144" s="3" t="s">
        <v>21317</v>
      </c>
      <c r="F5144" s="3" t="s">
        <v>21318</v>
      </c>
      <c r="G5144" s="3" t="str">
        <f ca="1">IFERROR(__xludf.DUMMYFUNCTION("googletranslate(D5144,""en"",""ja"")"),"タウプロテイン、無料")</f>
        <v>タウプロテイン、無料</v>
      </c>
      <c r="H5144" s="3" t="str">
        <f ca="1">IFERROR(__xludf.DUMMYFUNCTION("googletranslate(E5144,""en"",""ja"")"),"生物学的標本中の遊離タウタンパク質の測定。")</f>
        <v>生物学的標本中の遊離タウタンパク質の測定。</v>
      </c>
      <c r="I5144" s="3" t="str">
        <f ca="1">IFERROR(__xludf.DUMMYFUNCTION("googletranslate(F5144,""en"",""ja"")"),"無料のタウタンパク質測定")</f>
        <v>無料のタウタンパク質測定</v>
      </c>
    </row>
    <row r="5145" spans="1:9" ht="30">
      <c r="A5145" s="3" t="s">
        <v>6</v>
      </c>
      <c r="B5145" s="3" t="s">
        <v>21319</v>
      </c>
      <c r="C5145" s="3" t="s">
        <v>21320</v>
      </c>
      <c r="D5145" s="3" t="s">
        <v>21321</v>
      </c>
      <c r="E5145" s="3" t="s">
        <v>21322</v>
      </c>
      <c r="F5145" s="3" t="s">
        <v>21323</v>
      </c>
      <c r="G5145" s="3" t="str">
        <f ca="1">IFERROR(__xludf.DUMMYFUNCTION("googletranslate(D5145,""en"",""ja"")"),"リン酸化タウタンパク質;プタウ")</f>
        <v>リン酸化タウタンパク質;プタウ</v>
      </c>
      <c r="H5145" s="3" t="str">
        <f ca="1">IFERROR(__xludf.DUMMYFUNCTION("googletranslate(E5145,""en"",""ja"")"),"生物学的標本中のリン酸化タウタンパク質の測定。")</f>
        <v>生物学的標本中のリン酸化タウタンパク質の測定。</v>
      </c>
      <c r="I5145" s="3" t="str">
        <f ca="1">IFERROR(__xludf.DUMMYFUNCTION("googletranslate(F5145,""en"",""ja"")"),"リン酸化タウタンパク質の測定")</f>
        <v>リン酸化タウタンパク質の測定</v>
      </c>
    </row>
    <row r="5146" spans="1:9" ht="60">
      <c r="A5146" s="3" t="s">
        <v>985</v>
      </c>
      <c r="B5146" s="3" t="s">
        <v>21324</v>
      </c>
      <c r="C5146" s="3" t="s">
        <v>21325</v>
      </c>
      <c r="D5146" s="3" t="s">
        <v>21325</v>
      </c>
      <c r="E5146" s="3" t="s">
        <v>21326</v>
      </c>
      <c r="F5146" s="3" t="s">
        <v>21327</v>
      </c>
      <c r="G5146" s="3" t="str">
        <f ca="1">IFERROR(__xludf.DUMMYFUNCTION("googletranslate(D5146,""en"",""ja"")"),"Tpeak-Tend 間隔、集計")</f>
        <v>Tpeak-Tend 間隔、集計</v>
      </c>
      <c r="H5146" s="3" t="str">
        <f ca="1">IFERROR(__xludf.DUMMYFUNCTION("googletranslate(E5146,""en"",""ja"")"),"単一の ECG 内の複数の拍動からの Tpeak-Tend の測定に基づく集計 Tpeak-Tend 値。集計方法はさまざまですが、通常は平均などの中心傾向の尺度です。")</f>
        <v>単一の ECG 内の複数の拍動からの Tpeak-Tend の測定に基づく集計 Tpeak-Tend 値。集計方法はさまざまですが、通常は平均などの中心傾向の尺度です。</v>
      </c>
      <c r="I5146" s="3" t="str">
        <f ca="1">IFERROR(__xludf.DUMMYFUNCTION("googletranslate(F5146,""en"",""ja"")"),"T ピーク-T 終了間隔の集計")</f>
        <v>T ピーク-T 終了間隔の集計</v>
      </c>
    </row>
    <row r="5147" spans="1:9" ht="45">
      <c r="A5147" s="3" t="s">
        <v>985</v>
      </c>
      <c r="B5147" s="3" t="s">
        <v>21328</v>
      </c>
      <c r="C5147" s="3" t="s">
        <v>21329</v>
      </c>
      <c r="D5147" s="3" t="s">
        <v>21329</v>
      </c>
      <c r="E5147" s="3" t="s">
        <v>21330</v>
      </c>
      <c r="F5147" s="3" t="s">
        <v>21331</v>
      </c>
      <c r="G5147" s="3" t="str">
        <f ca="1">IFERROR(__xludf.DUMMYFUNCTION("googletranslate(D5147,""en"",""ja"")"),"Tpeak-Tend 間隔、シングルビート")</f>
        <v>Tpeak-Tend 間隔、シングルビート</v>
      </c>
      <c r="H5147" s="3" t="str">
        <f ca="1">IFERROR(__xludf.DUMMYFUNCTION("googletranslate(E5147,""en"",""ja"")"),"1 つ以上のリードを使用して、単一拍動の T 波のピークから T 波のオフセットまで測定される心電図間隔。")</f>
        <v>1 つ以上のリードを使用して、単一拍動の T 波のピークから T 波のオフセットまで測定される心電図間隔。</v>
      </c>
      <c r="I5147" s="3" t="str">
        <f ca="1">IFERROR(__xludf.DUMMYFUNCTION("googletranslate(F5147,""en"",""ja"")"),"T ピーク-T エンド間隔 1 拍")</f>
        <v>T ピーク-T エンド間隔 1 拍</v>
      </c>
    </row>
    <row r="5148" spans="1:9" ht="30">
      <c r="A5148" s="3" t="s">
        <v>6</v>
      </c>
      <c r="B5148" s="3" t="s">
        <v>21332</v>
      </c>
      <c r="C5148" s="3" t="s">
        <v>21333</v>
      </c>
      <c r="D5148" s="3" t="s">
        <v>21334</v>
      </c>
      <c r="E5148" s="3" t="s">
        <v>21335</v>
      </c>
      <c r="F5148" s="3" t="s">
        <v>21336</v>
      </c>
      <c r="G5148" s="3" t="str">
        <f ca="1">IFERROR(__xludf.DUMMYFUNCTION("googletranslate(D5148,""en"",""ja"")"),"酒石酸耐性酸性ホスファターゼ 5b;トラップ5B")</f>
        <v>酒石酸耐性酸性ホスファターゼ 5b;トラップ5B</v>
      </c>
      <c r="H5148" s="3" t="str">
        <f ca="1">IFERROR(__xludf.DUMMYFUNCTION("googletranslate(E5148,""en"",""ja"")"),"生体試料中の酒石酸耐性酸性ホスファターゼ 5b の測定。")</f>
        <v>生体試料中の酒石酸耐性酸性ホスファターゼ 5b の測定。</v>
      </c>
      <c r="I5148" s="3" t="str">
        <f ca="1">IFERROR(__xludf.DUMMYFUNCTION("googletranslate(F5148,""en"",""ja"")"),"酒石酸耐性酸性ホスファターゼ 5b の測定")</f>
        <v>酒石酸耐性酸性ホスファターゼ 5b の測定</v>
      </c>
    </row>
    <row r="5149" spans="1:9" ht="30">
      <c r="A5149" s="3" t="s">
        <v>6</v>
      </c>
      <c r="B5149" s="3" t="s">
        <v>21337</v>
      </c>
      <c r="C5149" s="3" t="s">
        <v>21338</v>
      </c>
      <c r="D5149" s="3" t="s">
        <v>21338</v>
      </c>
      <c r="E5149" s="3" t="s">
        <v>21339</v>
      </c>
      <c r="F5149" s="3" t="s">
        <v>21340</v>
      </c>
      <c r="G5149" s="3" t="str">
        <f ca="1">IFERROR(__xludf.DUMMYFUNCTION("googletranslate(D5149,""en"",""ja"")"),"トラマドール")</f>
        <v>トラマドール</v>
      </c>
      <c r="H5149" s="3" t="str">
        <f ca="1">IFERROR(__xludf.DUMMYFUNCTION("googletranslate(E5149,""en"",""ja"")"),"生物学的標本中に存在するトラマドールの測定。")</f>
        <v>生物学的標本中に存在するトラマドールの測定。</v>
      </c>
      <c r="I5149" s="3" t="str">
        <f ca="1">IFERROR(__xludf.DUMMYFUNCTION("googletranslate(F5149,""en"",""ja"")"),"トラマドールの測定")</f>
        <v>トラマドールの測定</v>
      </c>
    </row>
    <row r="5150" spans="1:9" ht="45">
      <c r="A5150" s="3" t="s">
        <v>6</v>
      </c>
      <c r="B5150" s="3" t="s">
        <v>21341</v>
      </c>
      <c r="C5150" s="3" t="s">
        <v>21342</v>
      </c>
      <c r="D5150" s="3" t="s">
        <v>21343</v>
      </c>
      <c r="E5150" s="3" t="s">
        <v>21344</v>
      </c>
      <c r="F5150" s="3" t="s">
        <v>21345</v>
      </c>
      <c r="G5150" s="3" t="str">
        <f ca="1">IFERROR(__xludf.DUMMYFUNCTION("googletranslate(D5150,""en"",""ja"")"),"TPR およびアンキリンリピート含有タンパク質 1; TPR-アンキリンリピート含有タンパク質 1")</f>
        <v>TPR およびアンキリンリピート含有タンパク質 1; TPR-アンキリンリピート含有タンパク質 1</v>
      </c>
      <c r="H5150" s="3" t="str">
        <f ca="1">IFERROR(__xludf.DUMMYFUNCTION("googletranslate(E5150,""en"",""ja"")"),"生体試料中の TPR アンキリン リピート含有タンパク質 1 の測定。")</f>
        <v>生体試料中の TPR アンキリン リピート含有タンパク質 1 の測定。</v>
      </c>
      <c r="I5150" s="3" t="str">
        <f ca="1">IFERROR(__xludf.DUMMYFUNCTION("googletranslate(F5150,""en"",""ja"")"),"TPR-アンキリンリピート含有タンパク質1の測定")</f>
        <v>TPR-アンキリンリピート含有タンパク質1の測定</v>
      </c>
    </row>
    <row r="5151" spans="1:9" ht="30">
      <c r="A5151" s="3" t="s">
        <v>6</v>
      </c>
      <c r="B5151" s="3" t="s">
        <v>21346</v>
      </c>
      <c r="C5151" s="3" t="s">
        <v>21347</v>
      </c>
      <c r="D5151" s="3" t="s">
        <v>21347</v>
      </c>
      <c r="E5151" s="3" t="s">
        <v>21348</v>
      </c>
      <c r="F5151" s="3" t="s">
        <v>21349</v>
      </c>
      <c r="G5151" s="3" t="str">
        <f ca="1">IFERROR(__xludf.DUMMYFUNCTION("googletranslate(D5151,""en"",""ja"")"),"総ラジカルトラップ抗酸化能力")</f>
        <v>総ラジカルトラップ抗酸化能力</v>
      </c>
      <c r="H5151" s="3" t="str">
        <f ca="1">IFERROR(__xludf.DUMMYFUNCTION("googletranslate(E5151,""en"",""ja"")"),"生物学的標本中の抗酸化物質が懸濁液中のフリーラジカルを緩衝する能力の測定。")</f>
        <v>生物学的標本中の抗酸化物質が懸濁液中のフリーラジカルを緩衝する能力の測定。</v>
      </c>
      <c r="I5151" s="3" t="str">
        <f ca="1">IFERROR(__xludf.DUMMYFUNCTION("googletranslate(F5151,""en"",""ja"")"),"総ラジカルトラップ抗酸化力の測定")</f>
        <v>総ラジカルトラップ抗酸化力の測定</v>
      </c>
    </row>
    <row r="5152" spans="1:9" ht="30">
      <c r="A5152" s="3" t="s">
        <v>6</v>
      </c>
      <c r="B5152" s="3" t="s">
        <v>21350</v>
      </c>
      <c r="C5152" s="3" t="s">
        <v>21351</v>
      </c>
      <c r="D5152" s="3" t="s">
        <v>21351</v>
      </c>
      <c r="E5152" s="3" t="s">
        <v>21352</v>
      </c>
      <c r="F5152" s="3" t="s">
        <v>21353</v>
      </c>
      <c r="G5152" s="3" t="str">
        <f ca="1">IFERROR(__xludf.DUMMYFUNCTION("googletranslate(D5152,""en"",""ja"")"),"三環系抗うつ薬")</f>
        <v>三環系抗うつ薬</v>
      </c>
      <c r="H5152" s="3" t="str">
        <f ca="1">IFERROR(__xludf.DUMMYFUNCTION("googletranslate(E5152,""en"",""ja"")"),"生物学的標本中の三環系抗うつ薬の測定。")</f>
        <v>生物学的標本中の三環系抗うつ薬の測定。</v>
      </c>
      <c r="I5152" s="3" t="str">
        <f ca="1">IFERROR(__xludf.DUMMYFUNCTION("googletranslate(F5152,""en"",""ja"")"),"三環系抗うつ薬の測定")</f>
        <v>三環系抗うつ薬の測定</v>
      </c>
    </row>
    <row r="5153" spans="1:9" ht="45">
      <c r="A5153" s="3" t="s">
        <v>159</v>
      </c>
      <c r="B5153" s="3" t="s">
        <v>21354</v>
      </c>
      <c r="C5153" s="3" t="s">
        <v>21355</v>
      </c>
      <c r="D5153" s="3" t="s">
        <v>21355</v>
      </c>
      <c r="E5153" s="3" t="s">
        <v>21356</v>
      </c>
      <c r="F5153" s="3" t="s">
        <v>21357</v>
      </c>
      <c r="G5153" s="3" t="str">
        <f ca="1">IFERROR(__xludf.DUMMYFUNCTION("googletranslate(D5153,""en"",""ja"")"),"震え")</f>
        <v>震え</v>
      </c>
      <c r="H5153" s="3" t="str">
        <f ca="1">IFERROR(__xludf.DUMMYFUNCTION("googletranslate(E5153,""en"",""ja"")"),"振戦（体全体またはその一部のみが震える動き。多くの場合、筋肉の動作を担当するニューロンの問題によって引き起こされます）の評価。")</f>
        <v>振戦（体全体またはその一部のみが震える動き。多くの場合、筋肉の動作を担当するニューロンの問題によって引き起こされます）の評価。</v>
      </c>
      <c r="I5153" s="3" t="str">
        <f ca="1">IFERROR(__xludf.DUMMYFUNCTION("googletranslate(F5153,""en"",""ja"")"),"振戦の評価")</f>
        <v>振戦の評価</v>
      </c>
    </row>
    <row r="5154" spans="1:9" ht="30">
      <c r="A5154" s="3" t="s">
        <v>159</v>
      </c>
      <c r="B5154" s="3" t="s">
        <v>21358</v>
      </c>
      <c r="C5154" s="3" t="s">
        <v>21359</v>
      </c>
      <c r="D5154" s="3" t="s">
        <v>21359</v>
      </c>
      <c r="E5154" s="3" t="s">
        <v>21360</v>
      </c>
      <c r="F5154" s="3" t="s">
        <v>21361</v>
      </c>
      <c r="G5154" s="3" t="str">
        <f ca="1">IFERROR(__xludf.DUMMYFUNCTION("googletranslate(D5154,""en"",""ja"")"),"姿勢振戦")</f>
        <v>姿勢振戦</v>
      </c>
      <c r="H5154" s="3" t="str">
        <f ca="1">IFERROR(__xludf.DUMMYFUNCTION("googletranslate(E5154,""en"",""ja"")"),"姿勢振戦（重力に逆らって保持されている身体部分の不随意でリズミカルな震え）の評価。")</f>
        <v>姿勢振戦（重力に逆らって保持されている身体部分の不随意でリズミカルな震え）の評価。</v>
      </c>
      <c r="I5154" s="3" t="str">
        <f ca="1">IFERROR(__xludf.DUMMYFUNCTION("googletranslate(F5154,""en"",""ja"")"),"姿勢振戦の評価")</f>
        <v>姿勢振戦の評価</v>
      </c>
    </row>
    <row r="5155" spans="1:9" ht="60">
      <c r="A5155" s="3" t="s">
        <v>159</v>
      </c>
      <c r="B5155" s="3" t="s">
        <v>21362</v>
      </c>
      <c r="C5155" s="3" t="s">
        <v>21363</v>
      </c>
      <c r="D5155" s="3" t="s">
        <v>21363</v>
      </c>
      <c r="E5155" s="3" t="s">
        <v>21364</v>
      </c>
      <c r="F5155" s="3" t="s">
        <v>21365</v>
      </c>
      <c r="G5155" s="3" t="str">
        <f ca="1">IFERROR(__xludf.DUMMYFUNCTION("googletranslate(D5155,""en"",""ja"")"),"安静時振戦")</f>
        <v>安静時振戦</v>
      </c>
      <c r="H5155" s="3" t="str">
        <f ca="1">IFERROR(__xludf.DUMMYFUNCTION("googletranslate(E5155,""en"",""ja"")"),"安静時振戦（リラックスして重力に逆らっていない身体部分の不随意でリズミカルな震え、および随意運動により振戦の振幅が減少する）の評価。")</f>
        <v>安静時振戦（リラックスして重力に逆らっていない身体部分の不随意でリズミカルな震え、および随意運動により振戦の振幅が減少する）の評価。</v>
      </c>
      <c r="I5155" s="3" t="str">
        <f ca="1">IFERROR(__xludf.DUMMYFUNCTION("googletranslate(F5155,""en"",""ja"")"),"安静時振戦の評価")</f>
        <v>安静時振戦の評価</v>
      </c>
    </row>
    <row r="5156" spans="1:9" ht="45">
      <c r="A5156" s="3" t="s">
        <v>81</v>
      </c>
      <c r="B5156" s="3" t="s">
        <v>21366</v>
      </c>
      <c r="C5156" s="3" t="s">
        <v>21367</v>
      </c>
      <c r="D5156" s="3" t="s">
        <v>21368</v>
      </c>
      <c r="E5156" s="3" t="s">
        <v>21369</v>
      </c>
      <c r="F5156" s="3" t="s">
        <v>21370</v>
      </c>
      <c r="G5156" s="3" t="str">
        <f ca="1">IFERROR(__xludf.DUMMYFUNCTION("googletranslate(D5156,""en"",""ja"")"),"Tricus Regur Jet 領域 R 心房領域 Rt;三尖弁逆流ジェット面積と右心房面積の比")</f>
        <v>Tricus Regur Jet 領域 R 心房領域 Rt;三尖弁逆流ジェット面積と右心房面積の比</v>
      </c>
      <c r="H5156" s="3" t="str">
        <f ca="1">IFERROR(__xludf.DUMMYFUNCTION("googletranslate(E5156,""en"",""ja"")"),"右心房領域に対する三尖弁逆流ジェット領域の相対測定値 (比)。")</f>
        <v>右心房領域に対する三尖弁逆流ジェット領域の相対測定値 (比)。</v>
      </c>
      <c r="I5156" s="3" t="str">
        <f ca="1">IFERROR(__xludf.DUMMYFUNCTION("googletranslate(F5156,""en"",""ja"")"),"三尖弁逆流ジェット面積と右心房面積の比")</f>
        <v>三尖弁逆流ジェット面積と右心房面積の比</v>
      </c>
    </row>
    <row r="5157" spans="1:9">
      <c r="A5157" s="3" t="s">
        <v>6</v>
      </c>
      <c r="B5157" s="3" t="s">
        <v>21371</v>
      </c>
      <c r="C5157" s="3" t="s">
        <v>21372</v>
      </c>
      <c r="D5157" s="3" t="s">
        <v>21373</v>
      </c>
      <c r="E5157" s="3" t="s">
        <v>21374</v>
      </c>
      <c r="F5157" s="3" t="s">
        <v>21375</v>
      </c>
      <c r="G5157" s="3" t="str">
        <f ca="1">IFERROR(__xludf.DUMMYFUNCTION("googletranslate(D5157,""en"",""ja"")"),"コドサイト。標的細胞")</f>
        <v>コドサイト。標的細胞</v>
      </c>
      <c r="H5157" s="3" t="str">
        <f ca="1">IFERROR(__xludf.DUMMYFUNCTION("googletranslate(E5157,""en"",""ja"")"),"生物学的標本中の標的細胞の測定。")</f>
        <v>生物学的標本中の標的細胞の測定。</v>
      </c>
      <c r="I5157" s="3" t="str">
        <f ca="1">IFERROR(__xludf.DUMMYFUNCTION("googletranslate(F5157,""en"",""ja"")"),"ターゲット細胞数")</f>
        <v>ターゲット細胞数</v>
      </c>
    </row>
    <row r="5158" spans="1:9" ht="45">
      <c r="A5158" s="3" t="s">
        <v>6</v>
      </c>
      <c r="B5158" s="3" t="s">
        <v>21376</v>
      </c>
      <c r="C5158" s="3" t="s">
        <v>21377</v>
      </c>
      <c r="D5158" s="3" t="s">
        <v>21378</v>
      </c>
      <c r="E5158" s="3" t="s">
        <v>21379</v>
      </c>
      <c r="F5158" s="3" t="s">
        <v>21380</v>
      </c>
      <c r="G5158" s="3" t="str">
        <f ca="1">IFERROR(__xludf.DUMMYFUNCTION("googletranslate(D5158,""en"",""ja"")"),"甲状腺刺激ホルモン放出因子;甲状腺刺激ホルモン放出ホルモン")</f>
        <v>甲状腺刺激ホルモン放出因子;甲状腺刺激ホルモン放出ホルモン</v>
      </c>
      <c r="H5158" s="3" t="str">
        <f ca="1">IFERROR(__xludf.DUMMYFUNCTION("googletranslate(E5158,""en"",""ja"")"),"生物学的標本中の甲状腺刺激ホルモン放出ホルモンの測定。")</f>
        <v>生物学的標本中の甲状腺刺激ホルモン放出ホルモンの測定。</v>
      </c>
      <c r="I5158" s="3" t="str">
        <f ca="1">IFERROR(__xludf.DUMMYFUNCTION("googletranslate(F5158,""en"",""ja"")"),"甲状腺刺激ホルモン放出ホルモンの測定")</f>
        <v>甲状腺刺激ホルモン放出ホルモンの測定</v>
      </c>
    </row>
    <row r="5159" spans="1:9">
      <c r="A5159" s="3" t="s">
        <v>503</v>
      </c>
      <c r="B5159" s="3" t="s">
        <v>21381</v>
      </c>
      <c r="C5159" s="3" t="s">
        <v>21382</v>
      </c>
      <c r="D5159" s="3" t="s">
        <v>21382</v>
      </c>
      <c r="E5159" s="3" t="s">
        <v>21383</v>
      </c>
      <c r="F5159" s="3" t="s">
        <v>21382</v>
      </c>
      <c r="G5159" s="3" t="str">
        <f ca="1">IFERROR(__xludf.DUMMYFUNCTION("googletranslate(D5159,""en"",""ja"")"),"所属部族")</f>
        <v>所属部族</v>
      </c>
      <c r="H5159" s="3" t="str">
        <f ca="1">IFERROR(__xludf.DUMMYFUNCTION("googletranslate(E5159,""en"",""ja"")"),"人が所属する部族または集団。 (USCDI)")</f>
        <v>人が所属する部族または集団。 (USCDI)</v>
      </c>
      <c r="I5159" s="3" t="str">
        <f ca="1">IFERROR(__xludf.DUMMYFUNCTION("googletranslate(F5159,""en"",""ja"")"),"所属部族")</f>
        <v>所属部族</v>
      </c>
    </row>
    <row r="5160" spans="1:9" ht="30">
      <c r="A5160" s="3" t="s">
        <v>6</v>
      </c>
      <c r="B5160" s="3" t="s">
        <v>21384</v>
      </c>
      <c r="C5160" s="3" t="s">
        <v>21385</v>
      </c>
      <c r="D5160" s="3" t="s">
        <v>21385</v>
      </c>
      <c r="E5160" s="3" t="s">
        <v>21386</v>
      </c>
      <c r="F5160" s="3" t="s">
        <v>21387</v>
      </c>
      <c r="G5160" s="3" t="str">
        <f ca="1">IFERROR(__xludf.DUMMYFUNCTION("googletranslate(D5160,""en"",""ja"")"),"トリコモナス")</f>
        <v>トリコモナス</v>
      </c>
      <c r="H5160" s="3" t="str">
        <f ca="1">IFERROR(__xludf.DUMMYFUNCTION("googletranslate(E5160,""en"",""ja"")"),"トリコモナス属に属する原虫の存在を検出するための生物学的標本の検査。")</f>
        <v>トリコモナス属に属する原虫の存在を検出するための生物学的標本の検査。</v>
      </c>
      <c r="I5160" s="3" t="str">
        <f ca="1">IFERROR(__xludf.DUMMYFUNCTION("googletranslate(F5160,""en"",""ja"")"),"トリコモナス検査")</f>
        <v>トリコモナス検査</v>
      </c>
    </row>
    <row r="5161" spans="1:9" ht="30">
      <c r="A5161" s="3" t="s">
        <v>67</v>
      </c>
      <c r="B5161" s="3" t="s">
        <v>21384</v>
      </c>
      <c r="C5161" s="3" t="s">
        <v>21385</v>
      </c>
      <c r="D5161" s="3" t="s">
        <v>21385</v>
      </c>
      <c r="E5161" s="3" t="s">
        <v>21386</v>
      </c>
      <c r="F5161" s="3" t="s">
        <v>21387</v>
      </c>
      <c r="G5161" s="3" t="str">
        <f ca="1">IFERROR(__xludf.DUMMYFUNCTION("googletranslate(D5161,""en"",""ja"")"),"トリコモナス")</f>
        <v>トリコモナス</v>
      </c>
      <c r="H5161" s="3" t="str">
        <f ca="1">IFERROR(__xludf.DUMMYFUNCTION("googletranslate(E5161,""en"",""ja"")"),"トリコモナス属に属する原虫の存在を検出するための生物学的標本の検査。")</f>
        <v>トリコモナス属に属する原虫の存在を検出するための生物学的標本の検査。</v>
      </c>
      <c r="I5161" s="3" t="str">
        <f ca="1">IFERROR(__xludf.DUMMYFUNCTION("googletranslate(F5161,""en"",""ja"")"),"トリコモナス検査")</f>
        <v>トリコモナス検査</v>
      </c>
    </row>
    <row r="5162" spans="1:9" ht="30">
      <c r="A5162" s="3" t="s">
        <v>67</v>
      </c>
      <c r="B5162" s="3" t="s">
        <v>21388</v>
      </c>
      <c r="C5162" s="3" t="s">
        <v>21389</v>
      </c>
      <c r="D5162" s="3" t="s">
        <v>21389</v>
      </c>
      <c r="E5162" s="3" t="s">
        <v>21390</v>
      </c>
      <c r="F5162" s="3" t="s">
        <v>21391</v>
      </c>
      <c r="G5162" s="3" t="str">
        <f ca="1">IFERROR(__xludf.DUMMYFUNCTION("googletranslate(D5162,""en"",""ja"")"),"トリコモナスRNA")</f>
        <v>トリコモナスRNA</v>
      </c>
      <c r="H5162" s="3" t="str">
        <f ca="1">IFERROR(__xludf.DUMMYFUNCTION("googletranslate(E5162,""en"",""ja"")"),"生物学的標本中のトリコモナス属のメンバーからの RNA の測定。")</f>
        <v>生物学的標本中のトリコモナス属のメンバーからの RNA の測定。</v>
      </c>
      <c r="I5162" s="3" t="str">
        <f ca="1">IFERROR(__xludf.DUMMYFUNCTION("googletranslate(F5162,""en"",""ja"")"),"トリコモナスRNA測定")</f>
        <v>トリコモナスRNA測定</v>
      </c>
    </row>
    <row r="5163" spans="1:9" ht="30">
      <c r="A5163" s="3" t="s">
        <v>6</v>
      </c>
      <c r="B5163" s="3" t="s">
        <v>21392</v>
      </c>
      <c r="C5163" s="3" t="s">
        <v>21393</v>
      </c>
      <c r="D5163" s="3" t="s">
        <v>21393</v>
      </c>
      <c r="E5163" s="3" t="s">
        <v>21394</v>
      </c>
      <c r="F5163" s="3" t="s">
        <v>21395</v>
      </c>
      <c r="G5163" s="3" t="str">
        <f ca="1">IFERROR(__xludf.DUMMYFUNCTION("googletranslate(D5163,""en"",""ja"")"),"トリフルオペラジン")</f>
        <v>トリフルオペラジン</v>
      </c>
      <c r="H5163" s="3" t="str">
        <f ca="1">IFERROR(__xludf.DUMMYFUNCTION("googletranslate(E5163,""en"",""ja"")"),"生物学的標本中のトリフルオペラジンの測定。")</f>
        <v>生物学的標本中のトリフルオペラジンの測定。</v>
      </c>
      <c r="I5163" s="3" t="str">
        <f ca="1">IFERROR(__xludf.DUMMYFUNCTION("googletranslate(F5163,""en"",""ja"")"),"トリフルオペラジンの測定")</f>
        <v>トリフルオペラジンの測定</v>
      </c>
    </row>
    <row r="5164" spans="1:9">
      <c r="A5164" s="3" t="s">
        <v>6</v>
      </c>
      <c r="B5164" s="3" t="s">
        <v>21396</v>
      </c>
      <c r="C5164" s="3" t="s">
        <v>21397</v>
      </c>
      <c r="D5164" s="3" t="s">
        <v>21397</v>
      </c>
      <c r="E5164" s="3" t="s">
        <v>21398</v>
      </c>
      <c r="F5164" s="3" t="s">
        <v>21399</v>
      </c>
      <c r="G5164" s="3" t="str">
        <f ca="1">IFERROR(__xludf.DUMMYFUNCTION("googletranslate(D5164,""en"",""ja"")"),"中性脂肪")</f>
        <v>中性脂肪</v>
      </c>
      <c r="H5164" s="3" t="str">
        <f ca="1">IFERROR(__xludf.DUMMYFUNCTION("googletranslate(E5164,""en"",""ja"")"),"生物学的標本中のトリグリセリドの測定。")</f>
        <v>生物学的標本中のトリグリセリドの測定。</v>
      </c>
      <c r="I5164" s="3" t="str">
        <f ca="1">IFERROR(__xludf.DUMMYFUNCTION("googletranslate(F5164,""en"",""ja"")"),"中性脂肪測定")</f>
        <v>中性脂肪測定</v>
      </c>
    </row>
    <row r="5165" spans="1:9" ht="45">
      <c r="A5165" s="3" t="s">
        <v>6</v>
      </c>
      <c r="B5165" s="3" t="s">
        <v>21400</v>
      </c>
      <c r="C5165" s="3" t="s">
        <v>21401</v>
      </c>
      <c r="D5165" s="3" t="s">
        <v>21401</v>
      </c>
      <c r="E5165" s="3" t="s">
        <v>21402</v>
      </c>
      <c r="F5165" s="3" t="s">
        <v>21403</v>
      </c>
      <c r="G5165" s="3" t="str">
        <f ca="1">IFERROR(__xludf.DUMMYFUNCTION("googletranslate(D5165,""en"",""ja"")"),"中性脂肪/HDLコレステロール")</f>
        <v>中性脂肪/HDLコレステロール</v>
      </c>
      <c r="H5165" s="3" t="str">
        <f ca="1">IFERROR(__xludf.DUMMYFUNCTION("googletranslate(E5165,""en"",""ja"")"),"生体試料中の高密度リポタンパク質コレステロールに対するトリグリセリドの相対測定値 (比率またはパーセンテージ)。")</f>
        <v>生体試料中の高密度リポタンパク質コレステロールに対するトリグリセリドの相対測定値 (比率またはパーセンテージ)。</v>
      </c>
      <c r="I5165" s="3" t="str">
        <f ca="1">IFERROR(__xludf.DUMMYFUNCTION("googletranslate(F5165,""en"",""ja"")"),"トリグリセリド対HDLコレステロール比の測定")</f>
        <v>トリグリセリド対HDLコレステロール比の測定</v>
      </c>
    </row>
    <row r="5166" spans="1:9" ht="75">
      <c r="A5166" s="3" t="s">
        <v>6</v>
      </c>
      <c r="B5166" s="3" t="s">
        <v>21404</v>
      </c>
      <c r="C5166" s="3" t="s">
        <v>21405</v>
      </c>
      <c r="D5166" s="3" t="s">
        <v>21406</v>
      </c>
      <c r="E5166" s="3" t="s">
        <v>21407</v>
      </c>
      <c r="F5166" s="3" t="s">
        <v>21408</v>
      </c>
      <c r="G5166" s="3" t="str">
        <f ca="1">IFERROR(__xludf.DUMMYFUNCTION("googletranslate(D5166,""en"",""ja"")"),"E3 ユビキチン-タンパク質リガーゼ TRIM21; Ro(SS-A);シェーグレン症候群 A 型抗原。プロテイン21を含む三部構成モチーフ")</f>
        <v>E3 ユビキチン-タンパク質リガーゼ TRIM21; Ro(SS-A);シェーグレン症候群 A 型抗原。プロテイン21を含む三部構成モチーフ</v>
      </c>
      <c r="H5166" s="3" t="str">
        <f ca="1">IFERROR(__xludf.DUMMYFUNCTION("googletranslate(E5166,""en"",""ja"")"),"生物学的標本中のタンパク質 21 を含む三部構成モチーフの測定。")</f>
        <v>生物学的標本中のタンパク質 21 を含む三部構成モチーフの測定。</v>
      </c>
      <c r="I5166" s="3" t="str">
        <f ca="1">IFERROR(__xludf.DUMMYFUNCTION("googletranslate(F5166,""en"",""ja"")"),"プロテイン 21 を含む三部構成モチーフの測定")</f>
        <v>プロテイン 21 を含む三部構成モチーフの測定</v>
      </c>
    </row>
    <row r="5167" spans="1:9" ht="45">
      <c r="A5167" s="3" t="s">
        <v>6</v>
      </c>
      <c r="B5167" s="3" t="s">
        <v>21409</v>
      </c>
      <c r="C5167" s="3" t="s">
        <v>21410</v>
      </c>
      <c r="D5167" s="3" t="s">
        <v>21411</v>
      </c>
      <c r="E5167" s="3" t="s">
        <v>21412</v>
      </c>
      <c r="F5167" s="3" t="s">
        <v>21413</v>
      </c>
      <c r="G5167" s="3" t="str">
        <f ca="1">IFERROR(__xludf.DUMMYFUNCTION("googletranslate(D5167,""en"",""ja"")"),"E3 ユビキチン-タンパク質リガーゼ TRIM33;三部構成のモチーフ 33 個入り")</f>
        <v>E3 ユビキチン-タンパク質リガーゼ TRIM33;三部構成のモチーフ 33 個入り</v>
      </c>
      <c r="H5167" s="3" t="str">
        <f ca="1">IFERROR(__xludf.DUMMYFUNCTION("googletranslate(E5167,""en"",""ja"")"),"生物学的標本中の E3 ユビキチンタンパク質リガーゼ TRIM33 の測定。")</f>
        <v>生物学的標本中の E3 ユビキチンタンパク質リガーゼ TRIM33 の測定。</v>
      </c>
      <c r="I5167" s="3" t="str">
        <f ca="1">IFERROR(__xludf.DUMMYFUNCTION("googletranslate(F5167,""en"",""ja"")"),"E3 ユビキチン-タンパク質リガーゼ TRIM33 の測定")</f>
        <v>E3 ユビキチン-タンパク質リガーゼ TRIM33 の測定</v>
      </c>
    </row>
    <row r="5168" spans="1:9" ht="30">
      <c r="A5168" s="3" t="s">
        <v>6</v>
      </c>
      <c r="B5168" s="3" t="s">
        <v>21414</v>
      </c>
      <c r="C5168" s="3" t="s">
        <v>21415</v>
      </c>
      <c r="D5168" s="3" t="s">
        <v>21415</v>
      </c>
      <c r="E5168" s="3" t="s">
        <v>21416</v>
      </c>
      <c r="F5168" s="3" t="s">
        <v>21417</v>
      </c>
      <c r="G5168" s="3" t="str">
        <f ca="1">IFERROR(__xludf.DUMMYFUNCTION("googletranslate(D5168,""en"",""ja"")"),"タンパク質を含む三部構成モチーフ 38")</f>
        <v>タンパク質を含む三部構成モチーフ 38</v>
      </c>
      <c r="H5168" s="3" t="str">
        <f ca="1">IFERROR(__xludf.DUMMYFUNCTION("googletranslate(E5168,""en"",""ja"")"),"生物学的標本中のタンパク質 38 を含む三部構成モチーフの測定。")</f>
        <v>生物学的標本中のタンパク質 38 を含む三部構成モチーフの測定。</v>
      </c>
      <c r="I5168" s="3" t="str">
        <f ca="1">IFERROR(__xludf.DUMMYFUNCTION("googletranslate(F5168,""en"",""ja"")"),"タンパク質 38 を含む三部構成モチーフの測定")</f>
        <v>タンパク質 38 を含む三部構成モチーフの測定</v>
      </c>
    </row>
    <row r="5169" spans="1:9" ht="30">
      <c r="A5169" s="3" t="s">
        <v>142</v>
      </c>
      <c r="B5169" s="3" t="s">
        <v>21418</v>
      </c>
      <c r="C5169" s="3" t="s">
        <v>21419</v>
      </c>
      <c r="D5169" s="3" t="s">
        <v>21419</v>
      </c>
      <c r="E5169" s="3" t="s">
        <v>21420</v>
      </c>
      <c r="F5169" s="3" t="s">
        <v>21419</v>
      </c>
      <c r="G5169" s="3" t="str">
        <f ca="1">IFERROR(__xludf.DUMMYFUNCTION("googletranslate(D5169,""en"",""ja"")"),"正期妊娠カテゴリー")</f>
        <v>正期妊娠カテゴリー</v>
      </c>
      <c r="H5169" s="3" t="str">
        <f ca="1">IFERROR(__xludf.DUMMYFUNCTION("googletranslate(E5169,""en"",""ja"")"),"出産時の妊娠の在胎期間の分類。")</f>
        <v>出産時の妊娠の在胎期間の分類。</v>
      </c>
      <c r="I5169" s="3" t="str">
        <f ca="1">IFERROR(__xludf.DUMMYFUNCTION("googletranslate(F5169,""en"",""ja"")"),"正期妊娠カテゴリー")</f>
        <v>正期妊娠カテゴリー</v>
      </c>
    </row>
    <row r="5170" spans="1:9" ht="30">
      <c r="A5170" s="3" t="s">
        <v>6</v>
      </c>
      <c r="B5170" s="3" t="s">
        <v>21421</v>
      </c>
      <c r="C5170" s="3" t="s">
        <v>21422</v>
      </c>
      <c r="D5170" s="3" t="s">
        <v>21423</v>
      </c>
      <c r="E5170" s="3" t="s">
        <v>21424</v>
      </c>
      <c r="F5170" s="3" t="s">
        <v>21425</v>
      </c>
      <c r="G5170" s="3" t="str">
        <f ca="1">IFERROR(__xludf.DUMMYFUNCTION("googletranslate(D5170,""en"",""ja"")"),"17ベータ-トレンボロン;トレンボロン;トリエンボローネ")</f>
        <v>17ベータ-トレンボロン;トレンボロン;トリエンボローネ</v>
      </c>
      <c r="H5170" s="3" t="str">
        <f ca="1">IFERROR(__xludf.DUMMYFUNCTION("googletranslate(E5170,""en"",""ja"")"),"生物学的標本中のトレンボロンの測定。")</f>
        <v>生物学的標本中のトレンボロンの測定。</v>
      </c>
      <c r="I5170" s="3" t="str">
        <f ca="1">IFERROR(__xludf.DUMMYFUNCTION("googletranslate(F5170,""en"",""ja"")"),"トレンボロンの測定")</f>
        <v>トレンボロンの測定</v>
      </c>
    </row>
    <row r="5171" spans="1:9" ht="30">
      <c r="A5171" s="3" t="s">
        <v>5065</v>
      </c>
      <c r="B5171" s="3" t="s">
        <v>21426</v>
      </c>
      <c r="C5171" s="3" t="s">
        <v>21427</v>
      </c>
      <c r="D5171" s="3" t="s">
        <v>21427</v>
      </c>
      <c r="E5171" s="3" t="s">
        <v>21428</v>
      </c>
      <c r="F5171" s="3" t="s">
        <v>21427</v>
      </c>
      <c r="G5171" s="3" t="str">
        <f ca="1">IFERROR(__xludf.DUMMYFUNCTION("googletranslate(D5171,""en"",""ja"")"),"転写")</f>
        <v>転写</v>
      </c>
      <c r="H5171" s="3" t="str">
        <f ca="1">IFERROR(__xludf.DUMMYFUNCTION("googletranslate(E5171,""en"",""ja"")"),"生物学的標本中の転写された RNA 分子の評価。")</f>
        <v>生物学的標本中の転写された RNA 分子の評価。</v>
      </c>
      <c r="I5171" s="3" t="str">
        <f ca="1">IFERROR(__xludf.DUMMYFUNCTION("googletranslate(F5171,""en"",""ja"")"),"転写")</f>
        <v>転写</v>
      </c>
    </row>
    <row r="5172" spans="1:9" ht="30">
      <c r="A5172" s="3" t="s">
        <v>6</v>
      </c>
      <c r="B5172" s="3" t="s">
        <v>21429</v>
      </c>
      <c r="C5172" s="3" t="s">
        <v>21430</v>
      </c>
      <c r="D5172" s="3" t="s">
        <v>21430</v>
      </c>
      <c r="E5172" s="3" t="s">
        <v>21431</v>
      </c>
      <c r="F5172" s="3" t="s">
        <v>21432</v>
      </c>
      <c r="G5172" s="3" t="str">
        <f ca="1">IFERROR(__xludf.DUMMYFUNCTION("googletranslate(D5172,""en"",""ja"")"),"トロポニン I")</f>
        <v>トロポニン I</v>
      </c>
      <c r="H5172" s="3" t="str">
        <f ca="1">IFERROR(__xludf.DUMMYFUNCTION("googletranslate(E5172,""en"",""ja"")"),"生物学的標本中のアクチン結合トロポニンの測定。")</f>
        <v>生物学的標本中のアクチン結合トロポニンの測定。</v>
      </c>
      <c r="I5172" s="3" t="str">
        <f ca="1">IFERROR(__xludf.DUMMYFUNCTION("googletranslate(F5172,""en"",""ja"")"),"トロポニン I の測定")</f>
        <v>トロポニン I の測定</v>
      </c>
    </row>
    <row r="5173" spans="1:9" ht="30">
      <c r="A5173" s="3" t="s">
        <v>6</v>
      </c>
      <c r="B5173" s="3" t="s">
        <v>21433</v>
      </c>
      <c r="C5173" s="3" t="s">
        <v>21434</v>
      </c>
      <c r="D5173" s="3" t="s">
        <v>21435</v>
      </c>
      <c r="E5173" s="3" t="s">
        <v>21436</v>
      </c>
      <c r="F5173" s="3" t="s">
        <v>21437</v>
      </c>
      <c r="G5173" s="3" t="str">
        <f ca="1">IFERROR(__xludf.DUMMYFUNCTION("googletranslate(D5173,""en"",""ja"")"),"遅筋骨格筋トロポニン I; ssTnI;トロポニン I タイプ 1")</f>
        <v>遅筋骨格筋トロポニン I; ssTnI;トロポニン I タイプ 1</v>
      </c>
      <c r="H5173" s="3" t="str">
        <f ca="1">IFERROR(__xludf.DUMMYFUNCTION("googletranslate(E5173,""en"",""ja"")"),"生物学的標本におけるトロポニン I タイプ 1 (遅筋骨格筋) の測定。")</f>
        <v>生物学的標本におけるトロポニン I タイプ 1 (遅筋骨格筋) の測定。</v>
      </c>
      <c r="I5173" s="3" t="str">
        <f ca="1">IFERROR(__xludf.DUMMYFUNCTION("googletranslate(F5173,""en"",""ja"")"),"トロポニン I タイプ 1 の測定")</f>
        <v>トロポニン I タイプ 1 の測定</v>
      </c>
    </row>
    <row r="5174" spans="1:9" ht="30">
      <c r="A5174" s="3" t="s">
        <v>6</v>
      </c>
      <c r="B5174" s="3" t="s">
        <v>21438</v>
      </c>
      <c r="C5174" s="3" t="s">
        <v>21439</v>
      </c>
      <c r="D5174" s="3" t="s">
        <v>21440</v>
      </c>
      <c r="E5174" s="3" t="s">
        <v>21441</v>
      </c>
      <c r="F5174" s="3" t="s">
        <v>21442</v>
      </c>
      <c r="G5174" s="3" t="str">
        <f ca="1">IFERROR(__xludf.DUMMYFUNCTION("googletranslate(D5174,""en"",""ja"")"),"速筋骨格筋トロポニン I; fsTnI;トロポニン I タイプ 2")</f>
        <v>速筋骨格筋トロポニン I; fsTnI;トロポニン I タイプ 2</v>
      </c>
      <c r="H5174" s="3" t="str">
        <f ca="1">IFERROR(__xludf.DUMMYFUNCTION("googletranslate(E5174,""en"",""ja"")"),"生物学的標本におけるトロポニン I タイプ 2 (速筋骨格筋) の測定。")</f>
        <v>生物学的標本におけるトロポニン I タイプ 2 (速筋骨格筋) の測定。</v>
      </c>
      <c r="I5174" s="3" t="str">
        <f ca="1">IFERROR(__xludf.DUMMYFUNCTION("googletranslate(F5174,""en"",""ja"")"),"トロポニン I タイプ 2 の測定")</f>
        <v>トロポニン I タイプ 2 の測定</v>
      </c>
    </row>
    <row r="5175" spans="1:9" ht="30">
      <c r="A5175" s="3" t="s">
        <v>6</v>
      </c>
      <c r="B5175" s="3" t="s">
        <v>21443</v>
      </c>
      <c r="C5175" s="3" t="s">
        <v>21444</v>
      </c>
      <c r="D5175" s="3" t="s">
        <v>21445</v>
      </c>
      <c r="E5175" s="3" t="s">
        <v>21446</v>
      </c>
      <c r="F5175" s="3" t="s">
        <v>21447</v>
      </c>
      <c r="G5175" s="3" t="str">
        <f ca="1">IFERROR(__xludf.DUMMYFUNCTION("googletranslate(D5175,""en"",""ja"")"),"心筋トロポニン I; cTnI; TNNC1;トロポニン I タイプ 3")</f>
        <v>心筋トロポニン I; cTnI; TNNC1;トロポニン I タイプ 3</v>
      </c>
      <c r="H5175" s="3" t="str">
        <f ca="1">IFERROR(__xludf.DUMMYFUNCTION("googletranslate(E5175,""en"",""ja"")"),"生体標本中のトロポニン I タイプ 3 (心筋) の測定。")</f>
        <v>生体標本中のトロポニン I タイプ 3 (心筋) の測定。</v>
      </c>
      <c r="I5175" s="3" t="str">
        <f ca="1">IFERROR(__xludf.DUMMYFUNCTION("googletranslate(F5175,""en"",""ja"")"),"トロポニン I タイプ 3 の測定")</f>
        <v>トロポニン I タイプ 3 の測定</v>
      </c>
    </row>
    <row r="5176" spans="1:9">
      <c r="A5176" s="3" t="s">
        <v>6</v>
      </c>
      <c r="B5176" s="3" t="s">
        <v>21448</v>
      </c>
      <c r="C5176" s="3" t="s">
        <v>21449</v>
      </c>
      <c r="D5176" s="3" t="s">
        <v>21449</v>
      </c>
      <c r="E5176" s="3" t="s">
        <v>21450</v>
      </c>
      <c r="F5176" s="3" t="s">
        <v>21451</v>
      </c>
      <c r="G5176" s="3" t="str">
        <f ca="1">IFERROR(__xludf.DUMMYFUNCTION("googletranslate(D5176,""en"",""ja"")"),"トロポニン")</f>
        <v>トロポニン</v>
      </c>
      <c r="H5176" s="3" t="str">
        <f ca="1">IFERROR(__xludf.DUMMYFUNCTION("googletranslate(E5176,""en"",""ja"")"),"生物学的標本中の総トロポニンの測定。")</f>
        <v>生物学的標本中の総トロポニンの測定。</v>
      </c>
      <c r="I5176" s="3" t="str">
        <f ca="1">IFERROR(__xludf.DUMMYFUNCTION("googletranslate(F5176,""en"",""ja"")"),"トロポニンの測定")</f>
        <v>トロポニンの測定</v>
      </c>
    </row>
    <row r="5177" spans="1:9" ht="30">
      <c r="A5177" s="3" t="s">
        <v>6</v>
      </c>
      <c r="B5177" s="3" t="s">
        <v>21452</v>
      </c>
      <c r="C5177" s="3" t="s">
        <v>21453</v>
      </c>
      <c r="D5177" s="3" t="s">
        <v>21453</v>
      </c>
      <c r="E5177" s="3" t="s">
        <v>21454</v>
      </c>
      <c r="F5177" s="3" t="s">
        <v>21455</v>
      </c>
      <c r="G5177" s="3" t="str">
        <f ca="1">IFERROR(__xludf.DUMMYFUNCTION("googletranslate(D5177,""en"",""ja"")"),"トロポニンT")</f>
        <v>トロポニンT</v>
      </c>
      <c r="H5177" s="3" t="str">
        <f ca="1">IFERROR(__xludf.DUMMYFUNCTION("googletranslate(E5177,""en"",""ja"")"),"生物学的標本中のトロポニンと結合するトロポミオシンの測定。")</f>
        <v>生物学的標本中のトロポニンと結合するトロポミオシンの測定。</v>
      </c>
      <c r="I5177" s="3" t="str">
        <f ca="1">IFERROR(__xludf.DUMMYFUNCTION("googletranslate(F5177,""en"",""ja"")"),"トロポニンTの測定")</f>
        <v>トロポニンTの測定</v>
      </c>
    </row>
    <row r="5178" spans="1:9">
      <c r="A5178" s="3" t="s">
        <v>6</v>
      </c>
      <c r="B5178" s="3" t="s">
        <v>21456</v>
      </c>
      <c r="C5178" s="3" t="s">
        <v>21457</v>
      </c>
      <c r="D5178" s="3" t="s">
        <v>21457</v>
      </c>
      <c r="E5178" s="3" t="s">
        <v>21458</v>
      </c>
      <c r="F5178" s="3" t="s">
        <v>21459</v>
      </c>
      <c r="G5178" s="3" t="str">
        <f ca="1">IFERROR(__xludf.DUMMYFUNCTION("googletranslate(D5178,""en"",""ja"")"),"トリプトファン")</f>
        <v>トリプトファン</v>
      </c>
      <c r="H5178" s="3" t="str">
        <f ca="1">IFERROR(__xludf.DUMMYFUNCTION("googletranslate(E5178,""en"",""ja"")"),"生物学的標本中のトリプトファンの測定。")</f>
        <v>生物学的標本中のトリプトファンの測定。</v>
      </c>
      <c r="I5178" s="3" t="str">
        <f ca="1">IFERROR(__xludf.DUMMYFUNCTION("googletranslate(F5178,""en"",""ja"")"),"トリプトファンの測定")</f>
        <v>トリプトファンの測定</v>
      </c>
    </row>
    <row r="5179" spans="1:9" ht="30">
      <c r="A5179" s="3" t="s">
        <v>6</v>
      </c>
      <c r="B5179" s="3" t="s">
        <v>21460</v>
      </c>
      <c r="C5179" s="3" t="s">
        <v>21461</v>
      </c>
      <c r="D5179" s="3" t="s">
        <v>21461</v>
      </c>
      <c r="E5179" s="3" t="s">
        <v>21462</v>
      </c>
      <c r="F5179" s="3" t="s">
        <v>21463</v>
      </c>
      <c r="G5179" s="3" t="str">
        <f ca="1">IFERROR(__xludf.DUMMYFUNCTION("googletranslate(D5179,""en"",""ja"")"),"トリプシン 1 とトリプシノーゲン 1")</f>
        <v>トリプシン 1 とトリプシノーゲン 1</v>
      </c>
      <c r="H5179" s="3" t="str">
        <f ca="1">IFERROR(__xludf.DUMMYFUNCTION("googletranslate(E5179,""en"",""ja"")"),"生体試料中のトリプシン 1 とトリプシノーゲン 1 の測定。")</f>
        <v>生体試料中のトリプシン 1 とトリプシノーゲン 1 の測定。</v>
      </c>
      <c r="I5179" s="3" t="str">
        <f ca="1">IFERROR(__xludf.DUMMYFUNCTION("googletranslate(F5179,""en"",""ja"")"),"トリプシン 1 およびトリプシノーゲン 1 の測定")</f>
        <v>トリプシン 1 およびトリプシノーゲン 1 の測定</v>
      </c>
    </row>
    <row r="5180" spans="1:9" ht="45">
      <c r="A5180" s="3" t="s">
        <v>6</v>
      </c>
      <c r="B5180" s="3" t="s">
        <v>21464</v>
      </c>
      <c r="C5180" s="3" t="s">
        <v>21465</v>
      </c>
      <c r="D5180" s="3" t="s">
        <v>21465</v>
      </c>
      <c r="E5180" s="3" t="s">
        <v>21466</v>
      </c>
      <c r="F5180" s="3" t="s">
        <v>21467</v>
      </c>
      <c r="G5180" s="3" t="str">
        <f ca="1">IFERROR(__xludf.DUMMYFUNCTION("googletranslate(D5180,""en"",""ja"")"),"トリプトファン/クレアチニン")</f>
        <v>トリプトファン/クレアチニン</v>
      </c>
      <c r="H5180" s="3" t="str">
        <f ca="1">IFERROR(__xludf.DUMMYFUNCTION("googletranslate(E5180,""en"",""ja"")"),"生物学的標本中のクレアチニンに対するトリプトファンの相対測定値 (比率またはパーセンテージ)。")</f>
        <v>生物学的標本中のクレアチニンに対するトリプトファンの相対測定値 (比率またはパーセンテージ)。</v>
      </c>
      <c r="I5180" s="3" t="str">
        <f ca="1">IFERROR(__xludf.DUMMYFUNCTION("googletranslate(F5180,""en"",""ja"")"),"トリプトファンとクレアチニンの比率の測定")</f>
        <v>トリプトファンとクレアチニンの比率の測定</v>
      </c>
    </row>
    <row r="5181" spans="1:9" ht="30">
      <c r="A5181" s="3" t="s">
        <v>51</v>
      </c>
      <c r="B5181" s="3" t="s">
        <v>21468</v>
      </c>
      <c r="C5181" s="3" t="s">
        <v>21469</v>
      </c>
      <c r="D5181" s="3" t="s">
        <v>21470</v>
      </c>
      <c r="E5181" s="3" t="s">
        <v>21471</v>
      </c>
      <c r="F5181" s="3" t="s">
        <v>21472</v>
      </c>
      <c r="G5181" s="3" t="str">
        <f ca="1">IFERROR(__xludf.DUMMYFUNCTION("googletranslate(D5181,""en"",""ja"")"),"3-アミノ-1,4-ジメチル-5H-ピリド[4,3-b]インドール;トリプ-P-1")</f>
        <v>3-アミノ-1,4-ジメチル-5H-ピリド[4,3-b]インドール;トリプ-P-1</v>
      </c>
      <c r="H5181" s="3" t="str">
        <f ca="1">IFERROR(__xludf.DUMMYFUNCTION("googletranslate(E5181,""en"",""ja"")"),"検体中の Trp-P-1 の測定。")</f>
        <v>検体中の Trp-P-1 の測定。</v>
      </c>
      <c r="I5181" s="3" t="str">
        <f ca="1">IFERROR(__xludf.DUMMYFUNCTION("googletranslate(F5181,""en"",""ja"")"),"Trp-P-1の測定")</f>
        <v>Trp-P-1の測定</v>
      </c>
    </row>
    <row r="5182" spans="1:9" ht="30">
      <c r="A5182" s="3" t="s">
        <v>51</v>
      </c>
      <c r="B5182" s="3" t="s">
        <v>21473</v>
      </c>
      <c r="C5182" s="3" t="s">
        <v>21474</v>
      </c>
      <c r="D5182" s="3" t="s">
        <v>21475</v>
      </c>
      <c r="E5182" s="3" t="s">
        <v>21476</v>
      </c>
      <c r="F5182" s="3" t="s">
        <v>21477</v>
      </c>
      <c r="G5182" s="3" t="str">
        <f ca="1">IFERROR(__xludf.DUMMYFUNCTION("googletranslate(D5182,""en"",""ja"")"),"1-メチル-3-アミノ-5H-ピリド[4,3-b]インドール;トリプ-P-2")</f>
        <v>1-メチル-3-アミノ-5H-ピリド[4,3-b]インドール;トリプ-P-2</v>
      </c>
      <c r="H5182" s="3" t="str">
        <f ca="1">IFERROR(__xludf.DUMMYFUNCTION("googletranslate(E5182,""en"",""ja"")"),"検体中の Trp-P-2 の測定。")</f>
        <v>検体中の Trp-P-2 の測定。</v>
      </c>
      <c r="I5182" s="3" t="str">
        <f ca="1">IFERROR(__xludf.DUMMYFUNCTION("googletranslate(F5182,""en"",""ja"")"),"Trp-P-2の測定")</f>
        <v>Trp-P-2の測定</v>
      </c>
    </row>
    <row r="5183" spans="1:9" ht="30">
      <c r="A5183" s="3" t="s">
        <v>6</v>
      </c>
      <c r="B5183" s="3" t="s">
        <v>21478</v>
      </c>
      <c r="C5183" s="3" t="s">
        <v>21479</v>
      </c>
      <c r="D5183" s="3" t="s">
        <v>21479</v>
      </c>
      <c r="E5183" s="3" t="s">
        <v>21480</v>
      </c>
      <c r="F5183" s="3" t="s">
        <v>21481</v>
      </c>
      <c r="G5183" s="3" t="str">
        <f ca="1">IFERROR(__xludf.DUMMYFUNCTION("googletranslate(D5183,""en"",""ja"")"),"トリプシンとトリプシノーゲン")</f>
        <v>トリプシンとトリプシノーゲン</v>
      </c>
      <c r="H5183" s="3" t="str">
        <f ca="1">IFERROR(__xludf.DUMMYFUNCTION("googletranslate(E5183,""en"",""ja"")"),"生物学的標本中の総トリプシンと総トリプシノーゲンの測定。")</f>
        <v>生物学的標本中の総トリプシンと総トリプシノーゲンの測定。</v>
      </c>
      <c r="I5183" s="3" t="str">
        <f ca="1">IFERROR(__xludf.DUMMYFUNCTION("googletranslate(F5183,""en"",""ja"")"),"トリプシンおよびトリプシノーゲンの測定")</f>
        <v>トリプシンおよびトリプシノーゲンの測定</v>
      </c>
    </row>
    <row r="5184" spans="1:9" ht="30">
      <c r="A5184" s="3" t="s">
        <v>118</v>
      </c>
      <c r="B5184" s="3" t="s">
        <v>21482</v>
      </c>
      <c r="C5184" s="3" t="s">
        <v>21483</v>
      </c>
      <c r="D5184" s="3" t="s">
        <v>21483</v>
      </c>
      <c r="E5184" s="3" t="s">
        <v>21484</v>
      </c>
      <c r="F5184" s="3" t="s">
        <v>21483</v>
      </c>
      <c r="G5184" s="3" t="str">
        <f ca="1">IFERROR(__xludf.DUMMYFUNCTION("googletranslate(D5184,""en"",""ja"")"),"上腕三頭筋の皮下脂肪の厚さ")</f>
        <v>上腕三頭筋の皮下脂肪の厚さ</v>
      </c>
      <c r="H5184" s="3" t="str">
        <f ca="1">IFERROR(__xludf.DUMMYFUNCTION("googletranslate(E5184,""en"",""ja"")"),"上腕三頭筋の皮膚のひとつまみの厚さを測定します。 (NCI)")</f>
        <v>上腕三頭筋の皮膚のひとつまみの厚さを測定します。 (NCI)</v>
      </c>
      <c r="I5184" s="3" t="str">
        <f ca="1">IFERROR(__xludf.DUMMYFUNCTION("googletranslate(F5184,""en"",""ja"")"),"上腕三頭筋の皮下脂肪の厚さ")</f>
        <v>上腕三頭筋の皮下脂肪の厚さ</v>
      </c>
    </row>
    <row r="5185" spans="1:9">
      <c r="A5185" s="3" t="s">
        <v>1255</v>
      </c>
      <c r="B5185" s="3" t="s">
        <v>21485</v>
      </c>
      <c r="C5185" s="3" t="s">
        <v>21486</v>
      </c>
      <c r="D5185" s="3" t="s">
        <v>21486</v>
      </c>
      <c r="E5185" s="3" t="s">
        <v>21487</v>
      </c>
      <c r="F5185" s="3" t="s">
        <v>21486</v>
      </c>
      <c r="G5185" s="3" t="str">
        <f ca="1">IFERROR(__xludf.DUMMYFUNCTION("googletranslate(D5185,""en"",""ja"")"),"処理量")</f>
        <v>処理量</v>
      </c>
      <c r="H5185" s="3" t="str">
        <f ca="1">IFERROR(__xludf.DUMMYFUNCTION("googletranslate(E5185,""en"",""ja"")"),"治療の濃度または量。")</f>
        <v>治療の濃度または量。</v>
      </c>
      <c r="I5185" s="3" t="str">
        <f ca="1">IFERROR(__xludf.DUMMYFUNCTION("googletranslate(F5185,""en"",""ja"")"),"処理量")</f>
        <v>処理量</v>
      </c>
    </row>
    <row r="5186" spans="1:9">
      <c r="A5186" s="3" t="s">
        <v>2904</v>
      </c>
      <c r="B5186" s="3" t="s">
        <v>21485</v>
      </c>
      <c r="C5186" s="3" t="s">
        <v>21486</v>
      </c>
      <c r="D5186" s="3" t="s">
        <v>21486</v>
      </c>
      <c r="E5186" s="3" t="s">
        <v>21487</v>
      </c>
      <c r="F5186" s="3" t="s">
        <v>21486</v>
      </c>
      <c r="G5186" s="3" t="str">
        <f ca="1">IFERROR(__xludf.DUMMYFUNCTION("googletranslate(D5186,""en"",""ja"")"),"処理量")</f>
        <v>処理量</v>
      </c>
      <c r="H5186" s="3" t="str">
        <f ca="1">IFERROR(__xludf.DUMMYFUNCTION("googletranslate(E5186,""en"",""ja"")"),"治療の濃度または量。")</f>
        <v>治療の濃度または量。</v>
      </c>
      <c r="I5186" s="3" t="str">
        <f ca="1">IFERROR(__xludf.DUMMYFUNCTION("googletranslate(F5186,""en"",""ja"")"),"処理量")</f>
        <v>処理量</v>
      </c>
    </row>
    <row r="5187" spans="1:9" ht="30">
      <c r="A5187" s="3" t="s">
        <v>185</v>
      </c>
      <c r="B5187" s="3" t="s">
        <v>21488</v>
      </c>
      <c r="C5187" s="3" t="s">
        <v>21489</v>
      </c>
      <c r="D5187" s="3" t="s">
        <v>21490</v>
      </c>
      <c r="E5187" s="3" t="s">
        <v>21491</v>
      </c>
      <c r="F5187" s="3" t="s">
        <v>21492</v>
      </c>
      <c r="G5187" s="3" t="str">
        <f ca="1">IFERROR(__xludf.DUMMYFUNCTION("googletranslate(D5187,""en"",""ja"")"),"治療環境の設定;治療設定")</f>
        <v>治療環境の設定;治療設定</v>
      </c>
      <c r="H5187" s="3" t="str">
        <f ca="1">IFERROR(__xludf.DUMMYFUNCTION("googletranslate(E5187,""en"",""ja"")"),"対象者が症状の治療を受ける環境または環境。")</f>
        <v>対象者が症状の治療を受ける環境または環境。</v>
      </c>
      <c r="I5187" s="3" t="str">
        <f ca="1">IFERROR(__xludf.DUMMYFUNCTION("googletranslate(F5187,""en"",""ja"")"),"治療環境の設定")</f>
        <v>治療環境の設定</v>
      </c>
    </row>
    <row r="5188" spans="1:9">
      <c r="A5188" s="3" t="s">
        <v>6</v>
      </c>
      <c r="B5188" s="3" t="s">
        <v>21493</v>
      </c>
      <c r="C5188" s="3" t="s">
        <v>21494</v>
      </c>
      <c r="D5188" s="3" t="s">
        <v>21494</v>
      </c>
      <c r="E5188" s="3" t="s">
        <v>21495</v>
      </c>
      <c r="F5188" s="3" t="s">
        <v>21496</v>
      </c>
      <c r="G5188" s="3" t="str">
        <f ca="1">IFERROR(__xludf.DUMMYFUNCTION("googletranslate(D5188,""en"",""ja"")"),"トリプシン")</f>
        <v>トリプシン</v>
      </c>
      <c r="H5188" s="3" t="str">
        <f ca="1">IFERROR(__xludf.DUMMYFUNCTION("googletranslate(E5188,""en"",""ja"")"),"生物学的標本中のトリプシンの測定。")</f>
        <v>生物学的標本中のトリプシンの測定。</v>
      </c>
      <c r="I5188" s="3" t="str">
        <f ca="1">IFERROR(__xludf.DUMMYFUNCTION("googletranslate(F5188,""en"",""ja"")"),"トリプシン測定")</f>
        <v>トリプシン測定</v>
      </c>
    </row>
    <row r="5189" spans="1:9">
      <c r="A5189" s="3" t="s">
        <v>6</v>
      </c>
      <c r="B5189" s="3" t="s">
        <v>21497</v>
      </c>
      <c r="C5189" s="3" t="s">
        <v>21498</v>
      </c>
      <c r="D5189" s="3" t="s">
        <v>21498</v>
      </c>
      <c r="E5189" s="3" t="s">
        <v>21499</v>
      </c>
      <c r="F5189" s="3" t="s">
        <v>21500</v>
      </c>
      <c r="G5189" s="3" t="str">
        <f ca="1">IFERROR(__xludf.DUMMYFUNCTION("googletranslate(D5189,""en"",""ja"")"),"トリプターゼ")</f>
        <v>トリプターゼ</v>
      </c>
      <c r="H5189" s="3" t="str">
        <f ca="1">IFERROR(__xludf.DUMMYFUNCTION("googletranslate(E5189,""en"",""ja"")"),"生物学的標本中のトリプターゼの測定。")</f>
        <v>生物学的標本中のトリプターゼの測定。</v>
      </c>
      <c r="I5189" s="3" t="str">
        <f ca="1">IFERROR(__xludf.DUMMYFUNCTION("googletranslate(F5189,""en"",""ja"")"),"トリプターゼ測定")</f>
        <v>トリプターゼ測定</v>
      </c>
    </row>
    <row r="5190" spans="1:9">
      <c r="A5190" s="3" t="s">
        <v>6</v>
      </c>
      <c r="B5190" s="3" t="s">
        <v>21501</v>
      </c>
      <c r="C5190" s="3" t="s">
        <v>21502</v>
      </c>
      <c r="D5190" s="3" t="s">
        <v>21502</v>
      </c>
      <c r="E5190" s="3" t="s">
        <v>21503</v>
      </c>
      <c r="F5190" s="3" t="s">
        <v>21504</v>
      </c>
      <c r="G5190" s="3" t="str">
        <f ca="1">IFERROR(__xludf.DUMMYFUNCTION("googletranslate(D5190,""en"",""ja"")"),"トラゾドン")</f>
        <v>トラゾドン</v>
      </c>
      <c r="H5190" s="3" t="str">
        <f ca="1">IFERROR(__xludf.DUMMYFUNCTION("googletranslate(E5190,""en"",""ja"")"),"生物学的標本中のトラゾドンの測定。")</f>
        <v>生物学的標本中のトラゾドンの測定。</v>
      </c>
      <c r="I5190" s="3" t="str">
        <f ca="1">IFERROR(__xludf.DUMMYFUNCTION("googletranslate(F5190,""en"",""ja"")"),"トラゾドンの測定")</f>
        <v>トラゾドンの測定</v>
      </c>
    </row>
    <row r="5191" spans="1:9">
      <c r="A5191" s="3" t="s">
        <v>6</v>
      </c>
      <c r="B5191" s="3" t="s">
        <v>21505</v>
      </c>
      <c r="C5191" s="3" t="s">
        <v>21506</v>
      </c>
      <c r="D5191" s="3" t="s">
        <v>21506</v>
      </c>
      <c r="E5191" s="3" t="s">
        <v>21507</v>
      </c>
      <c r="F5191" s="3" t="s">
        <v>21508</v>
      </c>
      <c r="G5191" s="3" t="str">
        <f ca="1">IFERROR(__xludf.DUMMYFUNCTION("googletranslate(D5191,""en"",""ja"")"),"トリアゾラム")</f>
        <v>トリアゾラム</v>
      </c>
      <c r="H5191" s="3" t="str">
        <f ca="1">IFERROR(__xludf.DUMMYFUNCTION("googletranslate(E5191,""en"",""ja"")"),"生物学的標本中のトリアゾラムの測定。")</f>
        <v>生物学的標本中のトリアゾラムの測定。</v>
      </c>
      <c r="I5191" s="3" t="str">
        <f ca="1">IFERROR(__xludf.DUMMYFUNCTION("googletranslate(F5191,""en"",""ja"")"),"トリアゾラムの測定")</f>
        <v>トリアゾラムの測定</v>
      </c>
    </row>
    <row r="5192" spans="1:9" ht="30">
      <c r="A5192" s="3" t="s">
        <v>6</v>
      </c>
      <c r="B5192" s="3" t="s">
        <v>21509</v>
      </c>
      <c r="C5192" s="3" t="s">
        <v>21510</v>
      </c>
      <c r="D5192" s="3" t="s">
        <v>21511</v>
      </c>
      <c r="E5192" s="3" t="s">
        <v>21512</v>
      </c>
      <c r="F5192" s="3" t="s">
        <v>21513</v>
      </c>
      <c r="G5192" s="3" t="str">
        <f ca="1">IFERROR(__xludf.DUMMYFUNCTION("googletranslate(D5192,""en"",""ja"")"),"甲状腺刺激ホルモン;甲状腺刺激ホルモン")</f>
        <v>甲状腺刺激ホルモン;甲状腺刺激ホルモン</v>
      </c>
      <c r="H5192" s="3" t="str">
        <f ca="1">IFERROR(__xludf.DUMMYFUNCTION("googletranslate(E5192,""en"",""ja"")"),"生物学的標本中の甲状腺刺激ホルモンの測定。")</f>
        <v>生物学的標本中の甲状腺刺激ホルモンの測定。</v>
      </c>
      <c r="I5192" s="3" t="str">
        <f ca="1">IFERROR(__xludf.DUMMYFUNCTION("googletranslate(F5192,""en"",""ja"")"),"甲状腺刺激ホルモンの測定")</f>
        <v>甲状腺刺激ホルモンの測定</v>
      </c>
    </row>
    <row r="5193" spans="1:9" ht="45">
      <c r="A5193" s="3" t="s">
        <v>6</v>
      </c>
      <c r="B5193" s="3" t="s">
        <v>21514</v>
      </c>
      <c r="C5193" s="3" t="s">
        <v>21515</v>
      </c>
      <c r="D5193" s="3" t="s">
        <v>21516</v>
      </c>
      <c r="E5193" s="3" t="s">
        <v>21517</v>
      </c>
      <c r="F5193" s="3" t="s">
        <v>21518</v>
      </c>
      <c r="G5193" s="3" t="str">
        <f ca="1">IFERROR(__xludf.DUMMYFUNCTION("googletranslate(D5193,""en"",""ja"")"),"甲状腺刺激ホルモン/遊離T4;甲状腺刺激ホルモン/チロキシン、無料")</f>
        <v>甲状腺刺激ホルモン/遊離T4;甲状腺刺激ホルモン/チロキシン、無料</v>
      </c>
      <c r="H5193" s="3" t="str">
        <f ca="1">IFERROR(__xludf.DUMMYFUNCTION("googletranslate(E5193,""en"",""ja"")"),"生物学的標本中の遊離チロキシンに対する甲状腺刺激ホルモンの相対測定値 (比)。")</f>
        <v>生物学的標本中の遊離チロキシンに対する甲状腺刺激ホルモンの相対測定値 (比)。</v>
      </c>
      <c r="I5193" s="3" t="str">
        <f ca="1">IFERROR(__xludf.DUMMYFUNCTION("googletranslate(F5193,""en"",""ja"")"),"甲状腺刺激ホルモンと遊離チロキシンの比の測定")</f>
        <v>甲状腺刺激ホルモンと遊離チロキシンの比の測定</v>
      </c>
    </row>
    <row r="5194" spans="1:9" ht="45">
      <c r="A5194" s="3" t="s">
        <v>180</v>
      </c>
      <c r="B5194" s="3" t="s">
        <v>21519</v>
      </c>
      <c r="C5194" s="3" t="s">
        <v>21520</v>
      </c>
      <c r="D5194" s="3" t="s">
        <v>21521</v>
      </c>
      <c r="E5194" s="3" t="s">
        <v>21522</v>
      </c>
      <c r="F5194" s="3" t="s">
        <v>21523</v>
      </c>
      <c r="G5194" s="3" t="str">
        <f ca="1">IFERROR(__xludf.DUMMYFUNCTION("googletranslate(D5194,""en"",""ja"")"),"自己抗体、甲状腺刺激免疫グロブリン。自己抗体、TSI")</f>
        <v>自己抗体、甲状腺刺激免疫グロブリン。自己抗体、TSI</v>
      </c>
      <c r="H5194" s="3" t="str">
        <f ca="1">IFERROR(__xludf.DUMMYFUNCTION("googletranslate(E5194,""en"",""ja"")"),"生物学的検体中の甲状腺刺激免疫グロブリン自己抗体の測定。")</f>
        <v>生物学的検体中の甲状腺刺激免疫グロブリン自己抗体の測定。</v>
      </c>
      <c r="I5194" s="3" t="str">
        <f ca="1">IFERROR(__xludf.DUMMYFUNCTION("googletranslate(F5194,""en"",""ja"")"),"甲状腺刺激免疫グロブリン自己抗体測定")</f>
        <v>甲状腺刺激免疫グロブリン自己抗体測定</v>
      </c>
    </row>
    <row r="5195" spans="1:9" ht="75">
      <c r="A5195" s="3" t="s">
        <v>180</v>
      </c>
      <c r="B5195" s="3" t="s">
        <v>21524</v>
      </c>
      <c r="C5195" s="3" t="s">
        <v>21525</v>
      </c>
      <c r="D5195" s="3" t="s">
        <v>21526</v>
      </c>
      <c r="E5195" s="3" t="s">
        <v>21527</v>
      </c>
      <c r="F5195" s="3" t="s">
        <v>21528</v>
      </c>
      <c r="G5195" s="3" t="str">
        <f ca="1">IFERROR(__xludf.DUMMYFUNCTION("googletranslate(D5195,""en"",""ja"")"),"甲状腺刺激免疫グロブリンの実際/対照。甲状腺刺激免疫グロブリン 実際/正常; TSI 実測/制御")</f>
        <v>甲状腺刺激免疫グロブリンの実際/対照。甲状腺刺激免疫グロブリン 実際/正常; TSI 実測/制御</v>
      </c>
      <c r="H5195" s="3" t="str">
        <f ca="1">IFERROR(__xludf.DUMMYFUNCTION("googletranslate(E5195,""en"",""ja"")"),"対照検体と比較した場合の、被験者の検体中の甲状腺刺激免疫グロブリンの相対測定値（比率またはパーセンテージ）。")</f>
        <v>対照検体と比較した場合の、被験者の検体中の甲状腺刺激免疫グロブリンの相対測定値（比率またはパーセンテージ）。</v>
      </c>
      <c r="I5195" s="3" t="str">
        <f ca="1">IFERROR(__xludf.DUMMYFUNCTION("googletranslate(F5195,""en"",""ja"")"),"甲状腺刺激免疫グロブリンの実対対照比測定")</f>
        <v>甲状腺刺激免疫グロブリンの実対対照比測定</v>
      </c>
    </row>
    <row r="5196" spans="1:9" ht="30">
      <c r="A5196" s="3" t="s">
        <v>6</v>
      </c>
      <c r="B5196" s="3" t="s">
        <v>21529</v>
      </c>
      <c r="C5196" s="3" t="s">
        <v>21530</v>
      </c>
      <c r="D5196" s="3" t="s">
        <v>21530</v>
      </c>
      <c r="E5196" s="3" t="s">
        <v>21531</v>
      </c>
      <c r="F5196" s="3" t="s">
        <v>21532</v>
      </c>
      <c r="G5196" s="3" t="str">
        <f ca="1">IFERROR(__xludf.DUMMYFUNCTION("googletranslate(D5196,""en"",""ja"")"),"胸腺間質リンホポエチン")</f>
        <v>胸腺間質リンホポエチン</v>
      </c>
      <c r="H5196" s="3" t="str">
        <f ca="1">IFERROR(__xludf.DUMMYFUNCTION("googletranslate(E5196,""en"",""ja"")"),"生物学的標本中の胸腺間質リンホポエチンの測定。")</f>
        <v>生物学的標本中の胸腺間質リンホポエチンの測定。</v>
      </c>
      <c r="I5196" s="3" t="str">
        <f ca="1">IFERROR(__xludf.DUMMYFUNCTION("googletranslate(F5196,""en"",""ja"")"),"胸腺間質リンパポエチンの測定")</f>
        <v>胸腺間質リンパポエチンの測定</v>
      </c>
    </row>
    <row r="5197" spans="1:9" ht="30">
      <c r="A5197" s="3" t="s">
        <v>6</v>
      </c>
      <c r="B5197" s="3" t="s">
        <v>21533</v>
      </c>
      <c r="C5197" s="3" t="s">
        <v>21534</v>
      </c>
      <c r="D5197" s="3" t="s">
        <v>21535</v>
      </c>
      <c r="E5197" s="3" t="s">
        <v>21536</v>
      </c>
      <c r="F5197" s="3" t="s">
        <v>21537</v>
      </c>
      <c r="G5197" s="3" t="str">
        <f ca="1">IFERROR(__xludf.DUMMYFUNCTION("googletranslate(D5197,""en"",""ja"")"),"THBS1;トロンボスポンジン 1")</f>
        <v>THBS1;トロンボスポンジン 1</v>
      </c>
      <c r="H5197" s="3" t="str">
        <f ca="1">IFERROR(__xludf.DUMMYFUNCTION("googletranslate(E5197,""en"",""ja"")"),"生物学的標本中のトロンボスポンジン 1 の測定。")</f>
        <v>生物学的標本中のトロンボスポンジン 1 の測定。</v>
      </c>
      <c r="I5197" s="3" t="str">
        <f ca="1">IFERROR(__xludf.DUMMYFUNCTION("googletranslate(F5197,""en"",""ja"")"),"トロンボスポンジン 1 の測定")</f>
        <v>トロンボスポンジン 1 の測定</v>
      </c>
    </row>
    <row r="5198" spans="1:9" ht="60">
      <c r="A5198" s="3" t="s">
        <v>6</v>
      </c>
      <c r="B5198" s="3" t="s">
        <v>21538</v>
      </c>
      <c r="C5198" s="3" t="s">
        <v>21539</v>
      </c>
      <c r="D5198" s="3" t="s">
        <v>21540</v>
      </c>
      <c r="E5198" s="3" t="s">
        <v>21541</v>
      </c>
      <c r="F5198" s="3" t="s">
        <v>21542</v>
      </c>
      <c r="G5198" s="3" t="str">
        <f ca="1">IFERROR(__xludf.DUMMYFUNCTION("googletranslate(D5198,""en"",""ja"")"),"BA2; CD9; CD9 抗原; CD9 分子; MIC3; MRP-1; P24;可溶性CD9;テトラスパニン-29; TSPAN-29")</f>
        <v>BA2; CD9; CD9 抗原; CD9 分子; MIC3; MRP-1; P24;可溶性CD9;テトラスパニン-29; TSPAN-29</v>
      </c>
      <c r="H5198" s="3" t="str">
        <f ca="1">IFERROR(__xludf.DUMMYFUNCTION("googletranslate(E5198,""en"",""ja"")"),"生物学的標本中のテトラスパニン 29 の測定。")</f>
        <v>生物学的標本中のテトラスパニン 29 の測定。</v>
      </c>
      <c r="I5198" s="3" t="str">
        <f ca="1">IFERROR(__xludf.DUMMYFUNCTION("googletranslate(F5198,""en"",""ja"")"),"テトラスパニン-29の測定")</f>
        <v>テトラスパニン-29の測定</v>
      </c>
    </row>
    <row r="5199" spans="1:9" ht="45">
      <c r="A5199" s="3" t="s">
        <v>159</v>
      </c>
      <c r="B5199" s="3" t="s">
        <v>21543</v>
      </c>
      <c r="C5199" s="3" t="s">
        <v>21544</v>
      </c>
      <c r="D5199" s="3" t="s">
        <v>21544</v>
      </c>
      <c r="E5199" s="3" t="s">
        <v>21545</v>
      </c>
      <c r="F5199" s="3" t="s">
        <v>21544</v>
      </c>
      <c r="G5199" s="3" t="str">
        <f ca="1">IFERROR(__xludf.DUMMYFUNCTION("googletranslate(D5199,""en"",""ja"")"),"合計睡眠時間")</f>
        <v>合計睡眠時間</v>
      </c>
      <c r="H5199" s="3" t="str">
        <f ca="1">IFERROR(__xludf.DUMMYFUNCTION("googletranslate(E5199,""en"",""ja"")"),"睡眠開始から睡眠終了までの睡眠時間の合計。N1 睡眠、N2 睡眠、N3 睡眠、およびレム睡眠の継続時間を合計することによって決定されます。")</f>
        <v>睡眠開始から睡眠終了までの睡眠時間の合計。N1 睡眠、N2 睡眠、N3 睡眠、およびレム睡眠の継続時間を合計することによって決定されます。</v>
      </c>
      <c r="I5199" s="3" t="str">
        <f ca="1">IFERROR(__xludf.DUMMYFUNCTION("googletranslate(F5199,""en"",""ja"")"),"合計睡眠時間")</f>
        <v>合計睡眠時間</v>
      </c>
    </row>
    <row r="5200" spans="1:9" ht="30">
      <c r="A5200" s="3" t="s">
        <v>6</v>
      </c>
      <c r="B5200" s="3" t="s">
        <v>21546</v>
      </c>
      <c r="C5200" s="3" t="s">
        <v>21547</v>
      </c>
      <c r="D5200" s="3" t="s">
        <v>21547</v>
      </c>
      <c r="E5200" s="3" t="s">
        <v>21548</v>
      </c>
      <c r="F5200" s="3" t="s">
        <v>21549</v>
      </c>
      <c r="G5200" s="3" t="str">
        <f ca="1">IFERROR(__xludf.DUMMYFUNCTION("googletranslate(D5200,""en"",""ja"")"),"11-ケトテストステロン")</f>
        <v>11-ケトテストステロン</v>
      </c>
      <c r="H5200" s="3" t="str">
        <f ca="1">IFERROR(__xludf.DUMMYFUNCTION("googletranslate(E5200,""en"",""ja"")"),"生物学的標本中の 11-ケトテストステロンの測定。")</f>
        <v>生物学的標本中の 11-ケトテストステロンの測定。</v>
      </c>
      <c r="I5200" s="3" t="str">
        <f ca="1">IFERROR(__xludf.DUMMYFUNCTION("googletranslate(F5200,""en"",""ja"")"),"11-ケトテストステロンの測定")</f>
        <v>11-ケトテストステロンの測定</v>
      </c>
    </row>
    <row r="5201" spans="1:9" ht="30">
      <c r="A5201" s="3" t="s">
        <v>6</v>
      </c>
      <c r="B5201" s="3" t="s">
        <v>21550</v>
      </c>
      <c r="C5201" s="3" t="s">
        <v>21551</v>
      </c>
      <c r="D5201" s="3" t="s">
        <v>21551</v>
      </c>
      <c r="E5201" s="3" t="s">
        <v>21552</v>
      </c>
      <c r="F5201" s="3" t="s">
        <v>21553</v>
      </c>
      <c r="G5201" s="3" t="str">
        <f ca="1">IFERROR(__xludf.DUMMYFUNCTION("googletranslate(D5201,""en"",""ja"")"),"4-ヒドロキシテストステロン")</f>
        <v>4-ヒドロキシテストステロン</v>
      </c>
      <c r="H5201" s="3" t="str">
        <f ca="1">IFERROR(__xludf.DUMMYFUNCTION("googletranslate(E5201,""en"",""ja"")"),"生物学的標本中の 4-ヒドロキシテストステロンの測定。")</f>
        <v>生物学的標本中の 4-ヒドロキシテストステロンの測定。</v>
      </c>
      <c r="I5201" s="3" t="str">
        <f ca="1">IFERROR(__xludf.DUMMYFUNCTION("googletranslate(F5201,""en"",""ja"")"),"4-ヒドロキシテストステロンの測定")</f>
        <v>4-ヒドロキシテストステロンの測定</v>
      </c>
    </row>
    <row r="5202" spans="1:9" ht="45">
      <c r="A5202" s="3" t="s">
        <v>6</v>
      </c>
      <c r="B5202" s="3" t="s">
        <v>21554</v>
      </c>
      <c r="C5202" s="3" t="s">
        <v>21555</v>
      </c>
      <c r="D5202" s="3" t="s">
        <v>21555</v>
      </c>
      <c r="E5202" s="3" t="s">
        <v>21556</v>
      </c>
      <c r="F5202" s="3" t="s">
        <v>21557</v>
      </c>
      <c r="G5202" s="3" t="str">
        <f ca="1">IFERROR(__xludf.DUMMYFUNCTION("googletranslate(D5202,""en"",""ja"")"),"テストステロン、フリー/テストステロン")</f>
        <v>テストステロン、フリー/テストステロン</v>
      </c>
      <c r="H5202" s="3" t="str">
        <f ca="1">IFERROR(__xludf.DUMMYFUNCTION("googletranslate(E5202,""en"",""ja"")"),"生物学的検体中の総テストステロンと比較した、生体利用可能なテストステロンの量の相対測定値 (比率またはパーセンテージ)。")</f>
        <v>生物学的検体中の総テストステロンと比較した、生体利用可能なテストステロンの量の相対測定値 (比率またはパーセンテージ)。</v>
      </c>
      <c r="I5202" s="3" t="str">
        <f ca="1">IFERROR(__xludf.DUMMYFUNCTION("googletranslate(F5202,""en"",""ja"")"),"遊離テストステロン対テストステロン比の測定")</f>
        <v>遊離テストステロン対テストステロン比の測定</v>
      </c>
    </row>
    <row r="5203" spans="1:9" ht="75">
      <c r="A5203" s="3" t="s">
        <v>6</v>
      </c>
      <c r="B5203" s="3" t="s">
        <v>21558</v>
      </c>
      <c r="C5203" s="3" t="s">
        <v>21559</v>
      </c>
      <c r="D5203" s="3" t="s">
        <v>21560</v>
      </c>
      <c r="E5203" s="3" t="s">
        <v>21561</v>
      </c>
      <c r="F5203" s="3" t="s">
        <v>21562</v>
      </c>
      <c r="G5203" s="3" t="str">
        <f ca="1">IFERROR(__xludf.DUMMYFUNCTION("googletranslate(D5203,""en"",""ja"")"),"テストステロンフリー+弱結合/テストステロン;テストステロン、遊離型および弱く結合したテストステロン/テストステロン")</f>
        <v>テストステロンフリー+弱結合/テストステロン;テストステロン、遊離型および弱く結合したテストステロン/テストステロン</v>
      </c>
      <c r="H5203" s="3" t="str">
        <f ca="1">IFERROR(__xludf.DUMMYFUNCTION("googletranslate(E5203,""en"",""ja"")"),"生物学的標本中の総テストステロンに対する遊離および弱く結合したテストステロンの相対測定値 (比率またはパーセンテージ)。")</f>
        <v>生物学的標本中の総テストステロンに対する遊離および弱く結合したテストステロンの相対測定値 (比率またはパーセンテージ)。</v>
      </c>
      <c r="I5203" s="3" t="str">
        <f ca="1">IFERROR(__xludf.DUMMYFUNCTION("googletranslate(F5203,""en"",""ja"")"),"遊離テストステロンと総テストステロンに弱く結合したテストステロン比の測定")</f>
        <v>遊離テストステロンと総テストステロンに弱く結合したテストステロン比の測定</v>
      </c>
    </row>
    <row r="5204" spans="1:9">
      <c r="A5204" s="3" t="s">
        <v>6</v>
      </c>
      <c r="B5204" s="3" t="s">
        <v>21563</v>
      </c>
      <c r="C5204" s="3" t="s">
        <v>21564</v>
      </c>
      <c r="D5204" s="3" t="s">
        <v>21564</v>
      </c>
      <c r="E5204" s="3" t="s">
        <v>21565</v>
      </c>
      <c r="F5204" s="3" t="s">
        <v>21566</v>
      </c>
      <c r="G5204" s="3" t="str">
        <f ca="1">IFERROR(__xludf.DUMMYFUNCTION("googletranslate(D5204,""en"",""ja"")"),"テストラクトン")</f>
        <v>テストラクトン</v>
      </c>
      <c r="H5204" s="3" t="str">
        <f ca="1">IFERROR(__xludf.DUMMYFUNCTION("googletranslate(E5204,""en"",""ja"")"),"生物学的標本中のテストラクトンの測定。")</f>
        <v>生物学的標本中のテストラクトンの測定。</v>
      </c>
      <c r="I5204" s="3" t="str">
        <f ca="1">IFERROR(__xludf.DUMMYFUNCTION("googletranslate(F5204,""en"",""ja"")"),"テストラクトン測定")</f>
        <v>テストラクトン測定</v>
      </c>
    </row>
    <row r="5205" spans="1:9" ht="45">
      <c r="A5205" s="3" t="s">
        <v>6</v>
      </c>
      <c r="B5205" s="3" t="s">
        <v>21567</v>
      </c>
      <c r="C5205" s="3" t="s">
        <v>21568</v>
      </c>
      <c r="D5205" s="3" t="s">
        <v>21568</v>
      </c>
      <c r="E5205" s="3" t="s">
        <v>21569</v>
      </c>
      <c r="F5205" s="3" t="s">
        <v>21570</v>
      </c>
      <c r="G5205" s="3" t="str">
        <f ca="1">IFERROR(__xludf.DUMMYFUNCTION("googletranslate(D5205,""en"",""ja"")"),"テストステロン、遊離/総タンパク質")</f>
        <v>テストステロン、遊離/総タンパク質</v>
      </c>
      <c r="H5205" s="3" t="str">
        <f ca="1">IFERROR(__xludf.DUMMYFUNCTION("googletranslate(E5205,""en"",""ja"")"),"生物学的標本中の総タンパク質に対する遊離テストステロンの相対測定値 (比率またはパーセンテージ)。")</f>
        <v>生物学的標本中の総タンパク質に対する遊離テストステロンの相対測定値 (比率またはパーセンテージ)。</v>
      </c>
      <c r="I5205" s="3" t="str">
        <f ca="1">IFERROR(__xludf.DUMMYFUNCTION("googletranslate(F5205,""en"",""ja"")"),"遊離テストステロンと総タンパク質の比率の測定")</f>
        <v>遊離テストステロンと総タンパク質の比率の測定</v>
      </c>
    </row>
    <row r="5206" spans="1:9" ht="30">
      <c r="A5206" s="3" t="s">
        <v>490</v>
      </c>
      <c r="B5206" s="3" t="s">
        <v>21571</v>
      </c>
      <c r="C5206" s="3" t="s">
        <v>21572</v>
      </c>
      <c r="D5206" s="3" t="s">
        <v>21572</v>
      </c>
      <c r="E5206" s="3" t="s">
        <v>21573</v>
      </c>
      <c r="F5206" s="3" t="s">
        <v>21572</v>
      </c>
      <c r="G5206" s="3" t="str">
        <f ca="1">IFERROR(__xludf.DUMMYFUNCTION("googletranslate(D5206,""en"",""ja"")"),"組織のエラスタンス")</f>
        <v>組織のエラスタンス</v>
      </c>
      <c r="H5206" s="3" t="str">
        <f ca="1">IFERROR(__xludf.DUMMYFUNCTION("googletranslate(E5206,""en"",""ja"")"),"特定の組織内のエネルギー保存の反映の測定値。")</f>
        <v>特定の組織内のエネルギー保存の反映の測定値。</v>
      </c>
      <c r="I5206" s="3" t="str">
        <f ca="1">IFERROR(__xludf.DUMMYFUNCTION("googletranslate(F5206,""en"",""ja"")"),"組織のエラスタンス")</f>
        <v>組織のエラスタンス</v>
      </c>
    </row>
    <row r="5207" spans="1:9" ht="60">
      <c r="A5207" s="3" t="s">
        <v>490</v>
      </c>
      <c r="B5207" s="3" t="s">
        <v>21574</v>
      </c>
      <c r="C5207" s="3" t="s">
        <v>21575</v>
      </c>
      <c r="D5207" s="3" t="s">
        <v>21575</v>
      </c>
      <c r="E5207" s="3" t="s">
        <v>21576</v>
      </c>
      <c r="F5207" s="3" t="s">
        <v>21577</v>
      </c>
      <c r="G5207" s="3" t="str">
        <f ca="1">IFERROR(__xludf.DUMMYFUNCTION("googletranslate(D5207,""en"",""ja"")"),"組織のヒステリシス")</f>
        <v>組織のヒステリシス</v>
      </c>
      <c r="H5207" s="3" t="str">
        <f ca="1">IFERROR(__xludf.DUMMYFUNCTION("googletranslate(E5207,""en"",""ja"")"),"エネルギーは、P-V サイクルで組織に蓄えられた弾性エネルギーと比較して散逸します。 (Fredberg JJ, Stamenovic D. 肺組織の不完全な弾性について。J Appl Physiol (1985). 1989 Dec;67(6):2408-19)。")</f>
        <v>エネルギーは、P-V サイクルで組織に蓄えられた弾性エネルギーと比較して散逸します。 (Fredberg JJ, Stamenovic D. 肺組織の不完全な弾性について。J Appl Physiol (1985). 1989 Dec;67(6):2408-19)。</v>
      </c>
      <c r="I5207" s="3" t="str">
        <f ca="1">IFERROR(__xludf.DUMMYFUNCTION("googletranslate(F5207,""en"",""ja"")"),"組織のヒステリシティ測定")</f>
        <v>組織のヒステリシティ測定</v>
      </c>
    </row>
    <row r="5208" spans="1:9" ht="30">
      <c r="A5208" s="3" t="s">
        <v>142</v>
      </c>
      <c r="B5208" s="3" t="s">
        <v>21578</v>
      </c>
      <c r="C5208" s="3" t="s">
        <v>21579</v>
      </c>
      <c r="D5208" s="3" t="s">
        <v>21579</v>
      </c>
      <c r="E5208" s="3" t="s">
        <v>21580</v>
      </c>
      <c r="F5208" s="3" t="s">
        <v>21579</v>
      </c>
      <c r="G5208" s="3" t="str">
        <f ca="1">IFERROR(__xludf.DUMMYFUNCTION("googletranslate(D5208,""en"",""ja"")"),"性的パートナーの総数")</f>
        <v>性的パートナーの総数</v>
      </c>
      <c r="H5208" s="3" t="str">
        <f ca="1">IFERROR(__xludf.DUMMYFUNCTION("googletranslate(E5208,""en"",""ja"")"),"指定された期間内に性行為を行った人の総数。")</f>
        <v>指定された期間内に性行為を行った人の総数。</v>
      </c>
      <c r="I5208" s="3" t="str">
        <f ca="1">IFERROR(__xludf.DUMMYFUNCTION("googletranslate(F5208,""en"",""ja"")"),"性的パートナーの総数")</f>
        <v>性的パートナーの総数</v>
      </c>
    </row>
    <row r="5209" spans="1:9" ht="30">
      <c r="A5209" s="3" t="s">
        <v>6</v>
      </c>
      <c r="B5209" s="3" t="s">
        <v>21581</v>
      </c>
      <c r="C5209" s="3" t="s">
        <v>21582</v>
      </c>
      <c r="D5209" s="3" t="s">
        <v>21582</v>
      </c>
      <c r="E5209" s="3" t="s">
        <v>21583</v>
      </c>
      <c r="F5209" s="3" t="s">
        <v>21582</v>
      </c>
      <c r="G5209" s="3" t="str">
        <f ca="1">IFERROR(__xludf.DUMMYFUNCTION("googletranslate(D5209,""en"",""ja"")"),"トロンビンタイム")</f>
        <v>トロンビンタイム</v>
      </c>
      <c r="H5209" s="3" t="str">
        <f ca="1">IFERROR(__xludf.DUMMYFUNCTION("googletranslate(E5209,""en"",""ja"")"),"活性酵素トロンビンを添加した後、血漿サンプルが凝固するまでにかかる時間の測定値。 (NCI)")</f>
        <v>活性酵素トロンビンを添加した後、血漿サンプルが凝固するまでにかかる時間の測定値。 (NCI)</v>
      </c>
      <c r="I5209" s="3" t="str">
        <f ca="1">IFERROR(__xludf.DUMMYFUNCTION("googletranslate(F5209,""en"",""ja"")"),"トロンビンタイム")</f>
        <v>トロンビンタイム</v>
      </c>
    </row>
    <row r="5210" spans="1:9" ht="45">
      <c r="A5210" s="3" t="s">
        <v>6</v>
      </c>
      <c r="B5210" s="3" t="s">
        <v>21584</v>
      </c>
      <c r="C5210" s="3" t="s">
        <v>21585</v>
      </c>
      <c r="D5210" s="3" t="s">
        <v>21585</v>
      </c>
      <c r="E5210" s="3" t="s">
        <v>21586</v>
      </c>
      <c r="F5210" s="3" t="s">
        <v>21587</v>
      </c>
      <c r="G5210" s="3" t="str">
        <f ca="1">IFERROR(__xludf.DUMMYFUNCTION("googletranslate(D5210,""en"",""ja"")"),"トロンビン時間の実測値/制御値")</f>
        <v>トロンビン時間の実測値/制御値</v>
      </c>
      <c r="H5210" s="3" t="str">
        <f ca="1">IFERROR(__xludf.DUMMYFUNCTION("googletranslate(E5210,""en"",""ja"")"),"対照検体と比較した場合の、被験者の検体におけるトロンビン時間の相対測定値（比率またはパーセンテージ）。")</f>
        <v>対照検体と比較した場合の、被験者の検体におけるトロンビン時間の相対測定値（比率またはパーセンテージ）。</v>
      </c>
      <c r="I5210" s="3" t="str">
        <f ca="1">IFERROR(__xludf.DUMMYFUNCTION("googletranslate(F5210,""en"",""ja"")"),"実際のトロンビン時間とコントロールの比率の測定")</f>
        <v>実際のトロンビン時間とコントロールの比率の測定</v>
      </c>
    </row>
    <row r="5211" spans="1:9" ht="30">
      <c r="A5211" s="3" t="s">
        <v>185</v>
      </c>
      <c r="B5211" s="3" t="s">
        <v>21588</v>
      </c>
      <c r="C5211" s="3" t="s">
        <v>21589</v>
      </c>
      <c r="D5211" s="3" t="s">
        <v>21589</v>
      </c>
      <c r="E5211" s="3" t="s">
        <v>21590</v>
      </c>
      <c r="F5211" s="3" t="s">
        <v>21589</v>
      </c>
      <c r="G5211" s="3" t="str">
        <f ca="1">IFERROR(__xludf.DUMMYFUNCTION("googletranslate(D5211,""en"",""ja"")"),"一時停止の合計時間")</f>
        <v>一時停止の合計時間</v>
      </c>
      <c r="H5211" s="3" t="str">
        <f ca="1">IFERROR(__xludf.DUMMYFUNCTION("googletranslate(E5211,""en"",""ja"")"),"イベント、操作、アクティビティが中断または停止された合計時間。")</f>
        <v>イベント、操作、アクティビティが中断または停止された合計時間。</v>
      </c>
      <c r="I5211" s="3" t="str">
        <f ca="1">IFERROR(__xludf.DUMMYFUNCTION("googletranslate(F5211,""en"",""ja"")"),"一時停止の合計時間")</f>
        <v>一時停止の合計時間</v>
      </c>
    </row>
    <row r="5212" spans="1:9" ht="30">
      <c r="A5212" s="3" t="s">
        <v>185</v>
      </c>
      <c r="B5212" s="3" t="s">
        <v>21591</v>
      </c>
      <c r="C5212" s="3" t="s">
        <v>21592</v>
      </c>
      <c r="D5212" s="3" t="s">
        <v>21592</v>
      </c>
      <c r="E5212" s="3" t="s">
        <v>21593</v>
      </c>
      <c r="F5212" s="3" t="s">
        <v>21592</v>
      </c>
      <c r="G5212" s="3" t="str">
        <f ca="1">IFERROR(__xludf.DUMMYFUNCTION("googletranslate(D5212,""en"",""ja"")"),"身体的に活動した合計時間")</f>
        <v>身体的に活動した合計時間</v>
      </c>
      <c r="H5212" s="3" t="str">
        <f ca="1">IFERROR(__xludf.DUMMYFUNCTION("googletranslate(E5212,""en"",""ja"")"),"個人が積極的に身体活動に従事した合計時間。")</f>
        <v>個人が積極的に身体活動に従事した合計時間。</v>
      </c>
      <c r="I5212" s="3" t="str">
        <f ca="1">IFERROR(__xludf.DUMMYFUNCTION("googletranslate(F5212,""en"",""ja"")"),"身体的に活動した合計時間")</f>
        <v>身体的に活動した合計時間</v>
      </c>
    </row>
    <row r="5213" spans="1:9">
      <c r="A5213" s="3" t="s">
        <v>5519</v>
      </c>
      <c r="B5213" s="3" t="s">
        <v>21594</v>
      </c>
      <c r="C5213" s="3" t="s">
        <v>21595</v>
      </c>
      <c r="D5213" s="3" t="s">
        <v>21595</v>
      </c>
      <c r="E5213" s="3" t="s">
        <v>21596</v>
      </c>
      <c r="F5213" s="3" t="s">
        <v>21595</v>
      </c>
      <c r="G5213" s="3" t="str">
        <f ca="1">IFERROR(__xludf.DUMMYFUNCTION("googletranslate(D5213,""en"",""ja"")"),"骨腫瘍インジケーター")</f>
        <v>骨腫瘍インジケーター</v>
      </c>
      <c r="H5213" s="3" t="str">
        <f ca="1">IFERROR(__xludf.DUMMYFUNCTION("googletranslate(E5213,""en"",""ja"")"),"骨腫瘍が存在するかどうかの指標。")</f>
        <v>骨腫瘍が存在するかどうかの指標。</v>
      </c>
      <c r="I5213" s="3" t="str">
        <f ca="1">IFERROR(__xludf.DUMMYFUNCTION("googletranslate(F5213,""en"",""ja"")"),"骨腫瘍インジケーター")</f>
        <v>骨腫瘍インジケーター</v>
      </c>
    </row>
    <row r="5214" spans="1:9" ht="45">
      <c r="A5214" s="3" t="s">
        <v>6</v>
      </c>
      <c r="B5214" s="3" t="s">
        <v>21597</v>
      </c>
      <c r="C5214" s="3" t="s">
        <v>21598</v>
      </c>
      <c r="D5214" s="3" t="s">
        <v>21599</v>
      </c>
      <c r="E5214" s="3" t="s">
        <v>21600</v>
      </c>
      <c r="F5214" s="3" t="s">
        <v>21601</v>
      </c>
      <c r="G5214" s="3" t="str">
        <f ca="1">IFERROR(__xludf.DUMMYFUNCTION("googletranslate(D5214,""en"",""ja"")"),"タウロウルソデオキシコール酸塩;タウロウルソデオキシコール酸")</f>
        <v>タウロウルソデオキシコール酸塩;タウロウルソデオキシコール酸</v>
      </c>
      <c r="H5214" s="3" t="str">
        <f ca="1">IFERROR(__xludf.DUMMYFUNCTION("googletranslate(E5214,""en"",""ja"")"),"生物学的標本中のタウロウルソデオキシコール酸の測定。")</f>
        <v>生物学的標本中のタウロウルソデオキシコール酸の測定。</v>
      </c>
      <c r="I5214" s="3" t="str">
        <f ca="1">IFERROR(__xludf.DUMMYFUNCTION("googletranslate(F5214,""en"",""ja"")"),"タウロウルソデオキシコール酸の測定")</f>
        <v>タウロウルソデオキシコール酸の測定</v>
      </c>
    </row>
    <row r="5215" spans="1:9" ht="30">
      <c r="A5215" s="3" t="s">
        <v>5519</v>
      </c>
      <c r="B5215" s="3" t="s">
        <v>21602</v>
      </c>
      <c r="C5215" s="3" t="s">
        <v>21603</v>
      </c>
      <c r="D5215" s="3" t="s">
        <v>21603</v>
      </c>
      <c r="E5215" s="3" t="s">
        <v>21604</v>
      </c>
      <c r="F5215" s="3" t="s">
        <v>21603</v>
      </c>
      <c r="G5215" s="3" t="str">
        <f ca="1">IFERROR(__xludf.DUMMYFUNCTION("googletranslate(D5215,""en"",""ja"")"),"髄外疾患の指標")</f>
        <v>髄外疾患の指標</v>
      </c>
      <c r="H5215" s="3" t="str">
        <f ca="1">IFERROR(__xludf.DUMMYFUNCTION("googletranslate(E5215,""en"",""ja"")"),"髄外疾患が存在するかどうかの指標。")</f>
        <v>髄外疾患が存在するかどうかの指標。</v>
      </c>
      <c r="I5215" s="3" t="str">
        <f ca="1">IFERROR(__xludf.DUMMYFUNCTION("googletranslate(F5215,""en"",""ja"")"),"髄外疾患の指標")</f>
        <v>髄外疾患の指標</v>
      </c>
    </row>
    <row r="5216" spans="1:9" ht="45">
      <c r="A5216" s="3" t="s">
        <v>33</v>
      </c>
      <c r="B5216" s="3" t="s">
        <v>21605</v>
      </c>
      <c r="C5216" s="3" t="s">
        <v>21606</v>
      </c>
      <c r="D5216" s="3" t="s">
        <v>21607</v>
      </c>
      <c r="E5216" s="3" t="s">
        <v>21608</v>
      </c>
      <c r="F5216" s="3" t="s">
        <v>21609</v>
      </c>
      <c r="G5216" s="3" t="str">
        <f ca="1">IFERROR(__xludf.DUMMYFUNCTION("googletranslate(D5216,""en"",""ja"")"),"がんの細胞性。腫瘍細胞/全細胞;腫瘍細胞/総細胞数")</f>
        <v>がんの細胞性。腫瘍細胞/全細胞;腫瘍細胞/総細胞数</v>
      </c>
      <c r="H5216" s="3" t="str">
        <f ca="1">IFERROR(__xludf.DUMMYFUNCTION("googletranslate(E5216,""en"",""ja"")"),"生物学的標本の全細胞に対する腫瘍細胞の相対的な測定値 (比率またはパーセンテージ)。")</f>
        <v>生物学的標本の全細胞に対する腫瘍細胞の相対的な測定値 (比率またはパーセンテージ)。</v>
      </c>
      <c r="I5216" s="3" t="str">
        <f ca="1">IFERROR(__xludf.DUMMYFUNCTION("googletranslate(F5216,""en"",""ja"")"),"がんの細胞性の測定")</f>
        <v>がんの細胞性の測定</v>
      </c>
    </row>
    <row r="5217" spans="1:9" ht="30">
      <c r="A5217" s="3" t="s">
        <v>5519</v>
      </c>
      <c r="B5217" s="3" t="s">
        <v>21610</v>
      </c>
      <c r="C5217" s="3" t="s">
        <v>21611</v>
      </c>
      <c r="D5217" s="3" t="s">
        <v>21611</v>
      </c>
      <c r="E5217" s="3" t="s">
        <v>21612</v>
      </c>
      <c r="F5217" s="3" t="s">
        <v>21613</v>
      </c>
      <c r="G5217" s="3" t="str">
        <f ca="1">IFERROR(__xludf.DUMMYFUNCTION("googletranslate(D5217,""en"",""ja"")"),"融合した腫瘍")</f>
        <v>融合した腫瘍</v>
      </c>
      <c r="H5217" s="3" t="str">
        <f ca="1">IFERROR(__xludf.DUMMYFUNCTION("googletranslate(E5217,""en"",""ja"")"),"複数の腫瘍が合体して 1 つの腫瘍になったことを示します。")</f>
        <v>複数の腫瘍が合体して 1 つの腫瘍になったことを示します。</v>
      </c>
      <c r="I5217" s="3" t="str">
        <f ca="1">IFERROR(__xludf.DUMMYFUNCTION("googletranslate(F5217,""en"",""ja"")"),"マット状の腫瘍塊が存在する")</f>
        <v>マット状の腫瘍塊が存在する</v>
      </c>
    </row>
    <row r="5218" spans="1:9" ht="30">
      <c r="A5218" s="3" t="s">
        <v>5519</v>
      </c>
      <c r="B5218" s="3" t="s">
        <v>21614</v>
      </c>
      <c r="C5218" s="3" t="s">
        <v>21615</v>
      </c>
      <c r="D5218" s="3" t="s">
        <v>21615</v>
      </c>
      <c r="E5218" s="3" t="s">
        <v>21616</v>
      </c>
      <c r="F5218" s="3" t="s">
        <v>21615</v>
      </c>
      <c r="G5218" s="3" t="str">
        <f ca="1">IFERROR(__xludf.DUMMYFUNCTION("googletranslate(D5218,""en"",""ja"")"),"腫瘍の特定")</f>
        <v>腫瘍の特定</v>
      </c>
      <c r="H5218" s="3" t="str">
        <f ca="1">IFERROR(__xludf.DUMMYFUNCTION("googletranslate(E5218,""en"",""ja"")"),"反応評価の一部としての悪性疾患発現の分類。")</f>
        <v>反応評価の一部としての悪性疾患発現の分類。</v>
      </c>
      <c r="I5218" s="3" t="str">
        <f ca="1">IFERROR(__xludf.DUMMYFUNCTION("googletranslate(F5218,""en"",""ja"")"),"腫瘍の特定")</f>
        <v>腫瘍の特定</v>
      </c>
    </row>
    <row r="5219" spans="1:9">
      <c r="A5219" s="3" t="s">
        <v>210</v>
      </c>
      <c r="B5219" s="3" t="s">
        <v>21617</v>
      </c>
      <c r="C5219" s="3" t="s">
        <v>21618</v>
      </c>
      <c r="D5219" s="3" t="s">
        <v>21618</v>
      </c>
      <c r="E5219" s="3" t="s">
        <v>21619</v>
      </c>
      <c r="F5219" s="3" t="s">
        <v>21620</v>
      </c>
      <c r="G5219" s="3" t="str">
        <f ca="1">IFERROR(__xludf.DUMMYFUNCTION("googletranslate(D5219,""en"",""ja"")"),"腫瘍の状態")</f>
        <v>腫瘍の状態</v>
      </c>
      <c r="H5219" s="3" t="str">
        <f ca="1">IFERROR(__xludf.DUMMYFUNCTION("googletranslate(E5219,""en"",""ja"")"),"特定の時点における腫瘍の状態または状態。")</f>
        <v>特定の時点における腫瘍の状態または状態。</v>
      </c>
      <c r="I5219" s="3" t="str">
        <f ca="1">IFERROR(__xludf.DUMMYFUNCTION("googletranslate(F5219,""en"",""ja"")"),"腫瘍の状態")</f>
        <v>腫瘍の状態</v>
      </c>
    </row>
    <row r="5220" spans="1:9" ht="45">
      <c r="A5220" s="3" t="s">
        <v>33</v>
      </c>
      <c r="B5220" s="3" t="s">
        <v>21621</v>
      </c>
      <c r="C5220" s="3" t="s">
        <v>21622</v>
      </c>
      <c r="D5220" s="3" t="s">
        <v>21622</v>
      </c>
      <c r="E5220" s="3" t="s">
        <v>21623</v>
      </c>
      <c r="F5220" s="3" t="s">
        <v>21622</v>
      </c>
      <c r="G5220" s="3" t="str">
        <f ca="1">IFERROR(__xludf.DUMMYFUNCTION("googletranslate(D5220,""en"",""ja"")"),"腫瘍組織の起源")</f>
        <v>腫瘍組織の起源</v>
      </c>
      <c r="H5220" s="3" t="str">
        <f ca="1">IFERROR(__xludf.DUMMYFUNCTION("googletranslate(E5220,""en"",""ja"")"),"腫瘍組織サンプルが病気の蔓延後に発生した腫瘍から採取されたかどうかに基づく腫瘍組織サンプルの特徴付け。")</f>
        <v>腫瘍組織サンプルが病気の蔓延後に発生した腫瘍から採取されたかどうかに基づく腫瘍組織サンプルの特徴付け。</v>
      </c>
      <c r="I5220" s="3" t="str">
        <f ca="1">IFERROR(__xludf.DUMMYFUNCTION("googletranslate(F5220,""en"",""ja"")"),"腫瘍組織の起源")</f>
        <v>腫瘍組織の起源</v>
      </c>
    </row>
    <row r="5221" spans="1:9">
      <c r="A5221" s="3" t="s">
        <v>6</v>
      </c>
      <c r="B5221" s="3" t="s">
        <v>21624</v>
      </c>
      <c r="C5221" s="3" t="s">
        <v>21625</v>
      </c>
      <c r="D5221" s="3" t="s">
        <v>21625</v>
      </c>
      <c r="E5221" s="3" t="s">
        <v>21626</v>
      </c>
      <c r="F5221" s="3" t="s">
        <v>21627</v>
      </c>
      <c r="G5221" s="3" t="str">
        <f ca="1">IFERROR(__xludf.DUMMYFUNCTION("googletranslate(D5221,""en"",""ja"")"),"濁度")</f>
        <v>濁度</v>
      </c>
      <c r="H5221" s="3" t="str">
        <f ca="1">IFERROR(__xludf.DUMMYFUNCTION("googletranslate(E5221,""en"",""ja"")"),"生物学的標本の不透明度の測定。")</f>
        <v>生物学的標本の不透明度の測定。</v>
      </c>
      <c r="I5221" s="3" t="str">
        <f ca="1">IFERROR(__xludf.DUMMYFUNCTION("googletranslate(F5221,""en"",""ja"")"),"濁度測定")</f>
        <v>濁度測定</v>
      </c>
    </row>
    <row r="5222" spans="1:9" ht="30">
      <c r="A5222" s="3" t="s">
        <v>5519</v>
      </c>
      <c r="B5222" s="3" t="s">
        <v>21628</v>
      </c>
      <c r="C5222" s="3" t="s">
        <v>21629</v>
      </c>
      <c r="D5222" s="3" t="s">
        <v>21629</v>
      </c>
      <c r="E5222" s="3" t="s">
        <v>21630</v>
      </c>
      <c r="F5222" s="3" t="s">
        <v>21631</v>
      </c>
      <c r="G5222" s="3" t="str">
        <f ca="1">IFERROR(__xludf.DUMMYFUNCTION("googletranslate(D5222,""en"",""ja"")"),"腫瘍の分割")</f>
        <v>腫瘍の分割</v>
      </c>
      <c r="H5222" s="3" t="str">
        <f ca="1">IFERROR(__xludf.DUMMYFUNCTION("googletranslate(E5222,""en"",""ja"")"),"単一の腫瘍が 2 つ以上の腫瘍に分裂したことを示します。")</f>
        <v>単一の腫瘍が 2 つ以上の腫瘍に分裂したことを示します。</v>
      </c>
      <c r="I5222" s="3" t="str">
        <f ca="1">IFERROR(__xludf.DUMMYFUNCTION("googletranslate(F5222,""en"",""ja"")"),"腫瘍の断片化")</f>
        <v>腫瘍の断片化</v>
      </c>
    </row>
    <row r="5223" spans="1:9" ht="30">
      <c r="A5223" s="3" t="s">
        <v>490</v>
      </c>
      <c r="B5223" s="3" t="s">
        <v>21632</v>
      </c>
      <c r="C5223" s="3" t="s">
        <v>21633</v>
      </c>
      <c r="D5223" s="3" t="s">
        <v>21633</v>
      </c>
      <c r="E5223" s="3" t="s">
        <v>21634</v>
      </c>
      <c r="F5223" s="3" t="s">
        <v>21633</v>
      </c>
      <c r="G5223" s="3" t="str">
        <f ca="1">IFERROR(__xludf.DUMMYFUNCTION("googletranslate(D5223,""en"",""ja"")"),"一回換気量")</f>
        <v>一回換気量</v>
      </c>
      <c r="H5223" s="3" t="str">
        <f ca="1">IFERROR(__xludf.DUMMYFUNCTION("googletranslate(E5223,""en"",""ja"")"),"安静時の呼吸中に肺に出入りする空気の量。")</f>
        <v>安静時の呼吸中に肺に出入りする空気の量。</v>
      </c>
      <c r="I5223" s="3" t="str">
        <f ca="1">IFERROR(__xludf.DUMMYFUNCTION("googletranslate(F5223,""en"",""ja"")"),"一回換気量")</f>
        <v>一回換気量</v>
      </c>
    </row>
    <row r="5224" spans="1:9" ht="30">
      <c r="A5224" s="3" t="s">
        <v>67</v>
      </c>
      <c r="B5224" s="3" t="s">
        <v>21635</v>
      </c>
      <c r="C5224" s="3" t="s">
        <v>21636</v>
      </c>
      <c r="D5224" s="3" t="s">
        <v>21636</v>
      </c>
      <c r="E5224" s="3" t="s">
        <v>21637</v>
      </c>
      <c r="F5224" s="3" t="s">
        <v>21638</v>
      </c>
      <c r="G5224" s="3" t="str">
        <f ca="1">IFERROR(__xludf.DUMMYFUNCTION("googletranslate(D5224,""en"",""ja"")"),"膣トリコモナス")</f>
        <v>膣トリコモナス</v>
      </c>
      <c r="H5224" s="3" t="str">
        <f ca="1">IFERROR(__xludf.DUMMYFUNCTION("googletranslate(E5224,""en"",""ja"")"),"生物学的標本中の膣トリコモナスの測定。")</f>
        <v>生物学的標本中の膣トリコモナスの測定。</v>
      </c>
      <c r="I5224" s="3" t="str">
        <f ca="1">IFERROR(__xludf.DUMMYFUNCTION("googletranslate(F5224,""en"",""ja"")"),"膣トリコモナスの測定")</f>
        <v>膣トリコモナスの測定</v>
      </c>
    </row>
    <row r="5225" spans="1:9" ht="30">
      <c r="A5225" s="3" t="s">
        <v>67</v>
      </c>
      <c r="B5225" s="3" t="s">
        <v>21639</v>
      </c>
      <c r="C5225" s="3" t="s">
        <v>21640</v>
      </c>
      <c r="D5225" s="3" t="s">
        <v>21640</v>
      </c>
      <c r="E5225" s="3" t="s">
        <v>21641</v>
      </c>
      <c r="F5225" s="3" t="s">
        <v>21642</v>
      </c>
      <c r="G5225" s="3" t="str">
        <f ca="1">IFERROR(__xludf.DUMMYFUNCTION("googletranslate(D5225,""en"",""ja"")"),"膣トリコモナスのDNA")</f>
        <v>膣トリコモナスのDNA</v>
      </c>
      <c r="H5225" s="3" t="str">
        <f ca="1">IFERROR(__xludf.DUMMYFUNCTION("googletranslate(E5225,""en"",""ja"")"),"生物学的標本中の膣トリコモナス DNA の測定。")</f>
        <v>生物学的標本中の膣トリコモナス DNA の測定。</v>
      </c>
      <c r="I5225" s="3" t="str">
        <f ca="1">IFERROR(__xludf.DUMMYFUNCTION("googletranslate(F5225,""en"",""ja"")"),"膣トリコモナスのDNA測定")</f>
        <v>膣トリコモナスのDNA測定</v>
      </c>
    </row>
    <row r="5226" spans="1:9" ht="45">
      <c r="A5226" s="3" t="s">
        <v>490</v>
      </c>
      <c r="B5226" s="3" t="s">
        <v>21643</v>
      </c>
      <c r="C5226" s="3" t="s">
        <v>21644</v>
      </c>
      <c r="D5226" s="3" t="s">
        <v>21644</v>
      </c>
      <c r="E5226" s="3" t="s">
        <v>21645</v>
      </c>
      <c r="F5226" s="3" t="s">
        <v>21644</v>
      </c>
      <c r="G5226" s="3" t="str">
        <f ca="1">IFERROR(__xludf.DUMMYFUNCTION("googletranslate(D5226,""en"",""ja"")"),"予測一回換気量のパーセント")</f>
        <v>予測一回換気量のパーセント</v>
      </c>
      <c r="H5226" s="3" t="str">
        <f ca="1">IFERROR(__xludf.DUMMYFUNCTION("googletranslate(E5226,""en"",""ja"")"),"安静時の呼吸中に肺に出入りする空気の量を、予測された正常値の割合として表したもの。")</f>
        <v>安静時の呼吸中に肺に出入りする空気の量を、予測された正常値の割合として表したもの。</v>
      </c>
      <c r="I5226" s="3" t="str">
        <f ca="1">IFERROR(__xludf.DUMMYFUNCTION("googletranslate(F5226,""en"",""ja"")"),"予測一回換気量のパーセント")</f>
        <v>予測一回換気量のパーセント</v>
      </c>
    </row>
    <row r="5227" spans="1:9" ht="45">
      <c r="A5227" s="3" t="s">
        <v>81</v>
      </c>
      <c r="B5227" s="3" t="s">
        <v>21646</v>
      </c>
      <c r="C5227" s="3" t="s">
        <v>21647</v>
      </c>
      <c r="D5227" s="3" t="s">
        <v>21647</v>
      </c>
      <c r="E5227" s="3" t="s">
        <v>21648</v>
      </c>
      <c r="F5227" s="3" t="s">
        <v>21647</v>
      </c>
      <c r="G5227" s="3" t="str">
        <f ca="1">IFERROR(__xludf.DUMMYFUNCTION("googletranslate(D5227,""en"",""ja"")"),"三尖弁逆流率")</f>
        <v>三尖弁逆流率</v>
      </c>
      <c r="H5227" s="3" t="str">
        <f ca="1">IFERROR(__xludf.DUMMYFUNCTION("googletranslate(E5227,""en"",""ja"")"),"三尖弁の開口部を横切る逆行性血流量の測定値で、順行性血流量のパーセンテージとして表されます。")</f>
        <v>三尖弁の開口部を横切る逆行性血流量の測定値で、順行性血流量のパーセンテージとして表されます。</v>
      </c>
      <c r="I5227" s="3" t="str">
        <f ca="1">IFERROR(__xludf.DUMMYFUNCTION("googletranslate(F5227,""en"",""ja"")"),"三尖弁逆流率")</f>
        <v>三尖弁逆流率</v>
      </c>
    </row>
    <row r="5228" spans="1:9" ht="30">
      <c r="A5228" s="3" t="s">
        <v>81</v>
      </c>
      <c r="B5228" s="3" t="s">
        <v>21649</v>
      </c>
      <c r="C5228" s="3" t="s">
        <v>21650</v>
      </c>
      <c r="D5228" s="3" t="s">
        <v>21650</v>
      </c>
      <c r="E5228" s="3" t="s">
        <v>21651</v>
      </c>
      <c r="F5228" s="3" t="s">
        <v>21650</v>
      </c>
      <c r="G5228" s="3" t="str">
        <f ca="1">IFERROR(__xludf.DUMMYFUNCTION("googletranslate(D5228,""en"",""ja"")"),"三尖弁逆流ジェットエリア")</f>
        <v>三尖弁逆流ジェットエリア</v>
      </c>
      <c r="H5228" s="3" t="str">
        <f ca="1">IFERROR(__xludf.DUMMYFUNCTION("googletranslate(E5228,""en"",""ja"")"),"右心房への血液の逆流の測定領域。")</f>
        <v>右心房への血液の逆流の測定領域。</v>
      </c>
      <c r="I5228" s="3" t="str">
        <f ca="1">IFERROR(__xludf.DUMMYFUNCTION("googletranslate(F5228,""en"",""ja"")"),"三尖弁逆流ジェットエリア")</f>
        <v>三尖弁逆流ジェットエリア</v>
      </c>
    </row>
    <row r="5229" spans="1:9" ht="30">
      <c r="A5229" s="3" t="s">
        <v>81</v>
      </c>
      <c r="B5229" s="3" t="s">
        <v>21652</v>
      </c>
      <c r="C5229" s="3" t="s">
        <v>21653</v>
      </c>
      <c r="D5229" s="3" t="s">
        <v>21653</v>
      </c>
      <c r="E5229" s="3" t="s">
        <v>21654</v>
      </c>
      <c r="F5229" s="3" t="s">
        <v>21653</v>
      </c>
      <c r="G5229" s="3" t="str">
        <f ca="1">IFERROR(__xludf.DUMMYFUNCTION("googletranslate(D5229,""en"",""ja"")"),"三尖弁逆流量")</f>
        <v>三尖弁逆流量</v>
      </c>
      <c r="H5229" s="3" t="str">
        <f ca="1">IFERROR(__xludf.DUMMYFUNCTION("googletranslate(E5229,""en"",""ja"")"),"三尖弁の開口部を横切る逆行性血流量の測定値。")</f>
        <v>三尖弁の開口部を横切る逆行性血流量の測定値。</v>
      </c>
      <c r="I5229" s="3" t="str">
        <f ca="1">IFERROR(__xludf.DUMMYFUNCTION("googletranslate(F5229,""en"",""ja"")"),"三尖弁逆流量")</f>
        <v>三尖弁逆流量</v>
      </c>
    </row>
    <row r="5230" spans="1:9" ht="30">
      <c r="A5230" s="3" t="s">
        <v>1255</v>
      </c>
      <c r="B5230" s="3" t="s">
        <v>21655</v>
      </c>
      <c r="C5230" s="3" t="s">
        <v>21656</v>
      </c>
      <c r="D5230" s="3" t="s">
        <v>21657</v>
      </c>
      <c r="E5230" s="3" t="s">
        <v>21658</v>
      </c>
      <c r="F5230" s="3" t="s">
        <v>21659</v>
      </c>
      <c r="G5230" s="3" t="str">
        <f ca="1">IFERROR(__xludf.DUMMYFUNCTION("googletranslate(D5230,""en"",""ja"")"),"一回換気量の設定; VT設定")</f>
        <v>一回換気量の設定; VT設定</v>
      </c>
      <c r="H5230" s="3" t="str">
        <f ca="1">IFERROR(__xludf.DUMMYFUNCTION("googletranslate(E5230,""en"",""ja"")"),"呼吸ごとに肺に送られる空気の量を決定し、調整する装置の設定。")</f>
        <v>呼吸ごとに肺に送られる空気の量を決定し、調整する装置の設定。</v>
      </c>
      <c r="I5230" s="3" t="str">
        <f ca="1">IFERROR(__xludf.DUMMYFUNCTION("googletranslate(F5230,""en"",""ja"")"),"一回換気量装置の設定")</f>
        <v>一回換気量装置の設定</v>
      </c>
    </row>
    <row r="5231" spans="1:9" ht="30">
      <c r="A5231" s="3" t="s">
        <v>81</v>
      </c>
      <c r="B5231" s="3" t="s">
        <v>21660</v>
      </c>
      <c r="C5231" s="3" t="s">
        <v>21661</v>
      </c>
      <c r="D5231" s="3" t="s">
        <v>21661</v>
      </c>
      <c r="E5231" s="3" t="s">
        <v>21662</v>
      </c>
      <c r="F5231" s="3" t="s">
        <v>21661</v>
      </c>
      <c r="G5231" s="3" t="str">
        <f ca="1">IFERROR(__xludf.DUMMYFUNCTION("googletranslate(D5231,""en"",""ja"")"),"三尖弁大静脈収縮部")</f>
        <v>三尖弁大静脈収縮部</v>
      </c>
      <c r="H5231" s="3" t="str">
        <f ca="1">IFERROR(__xludf.DUMMYFUNCTION("googletranslate(E5231,""en"",""ja"")"),"三尖弁の収縮部の領域。")</f>
        <v>三尖弁の収縮部の領域。</v>
      </c>
      <c r="I5231" s="3" t="str">
        <f ca="1">IFERROR(__xludf.DUMMYFUNCTION("googletranslate(F5231,""en"",""ja"")"),"三尖弁大静脈収縮部")</f>
        <v>三尖弁大静脈収縮部</v>
      </c>
    </row>
    <row r="5232" spans="1:9" ht="30">
      <c r="A5232" s="3" t="s">
        <v>81</v>
      </c>
      <c r="B5232" s="3" t="s">
        <v>21663</v>
      </c>
      <c r="C5232" s="3" t="s">
        <v>21664</v>
      </c>
      <c r="D5232" s="3" t="s">
        <v>21664</v>
      </c>
      <c r="E5232" s="3" t="s">
        <v>21665</v>
      </c>
      <c r="F5232" s="3" t="s">
        <v>21664</v>
      </c>
      <c r="G5232" s="3" t="str">
        <f ca="1">IFERROR(__xludf.DUMMYFUNCTION("googletranslate(D5232,""en"",""ja"")"),"三尖弁大静脈収縮幅")</f>
        <v>三尖弁大静脈収縮幅</v>
      </c>
      <c r="H5232" s="3" t="str">
        <f ca="1">IFERROR(__xludf.DUMMYFUNCTION("googletranslate(E5232,""en"",""ja"")"),"三尖弁の収縮部の幅。")</f>
        <v>三尖弁の収縮部の幅。</v>
      </c>
      <c r="I5232" s="3" t="str">
        <f ca="1">IFERROR(__xludf.DUMMYFUNCTION("googletranslate(F5232,""en"",""ja"")"),"三尖弁大静脈収縮幅")</f>
        <v>三尖弁大静脈収縮幅</v>
      </c>
    </row>
    <row r="5233" spans="1:9" ht="60">
      <c r="A5233" s="3" t="s">
        <v>985</v>
      </c>
      <c r="B5233" s="3" t="s">
        <v>21666</v>
      </c>
      <c r="C5233" s="3" t="s">
        <v>21667</v>
      </c>
      <c r="D5233" s="3" t="s">
        <v>21667</v>
      </c>
      <c r="E5233" s="3" t="s">
        <v>21668</v>
      </c>
      <c r="F5233" s="3" t="s">
        <v>21669</v>
      </c>
      <c r="G5233" s="3" t="str">
        <f ca="1">IFERROR(__xludf.DUMMYFUNCTION("googletranslate(D5233,""en"",""ja"")"),"T 波エリア、集合体")</f>
        <v>T 波エリア、集合体</v>
      </c>
      <c r="H5233" s="3" t="str">
        <f ca="1">IFERROR(__xludf.DUMMYFUNCTION("googletranslate(E5233,""en"",""ja"")"),"単一の ECG 内の複数の拍動からの T 波面積の測定に基づいた T 波面積の合計値。集計方法はさまざまですが、通常は平均などの中心傾向の尺度です。")</f>
        <v>単一の ECG 内の複数の拍動からの T 波面積の測定に基づいた T 波面積の合計値。集計方法はさまざまですが、通常は平均などの中心傾向の尺度です。</v>
      </c>
      <c r="I5233" s="3" t="str">
        <f ca="1">IFERROR(__xludf.DUMMYFUNCTION("googletranslate(F5233,""en"",""ja"")"),"T波エリア集計")</f>
        <v>T波エリア集計</v>
      </c>
    </row>
    <row r="5234" spans="1:9" ht="30">
      <c r="A5234" s="3" t="s">
        <v>985</v>
      </c>
      <c r="B5234" s="3" t="s">
        <v>21670</v>
      </c>
      <c r="C5234" s="3" t="s">
        <v>21671</v>
      </c>
      <c r="D5234" s="3" t="s">
        <v>21671</v>
      </c>
      <c r="E5234" s="3" t="s">
        <v>21672</v>
      </c>
      <c r="F5234" s="3" t="s">
        <v>21673</v>
      </c>
      <c r="G5234" s="3" t="str">
        <f ca="1">IFERROR(__xludf.DUMMYFUNCTION("googletranslate(D5234,""en"",""ja"")"),"T波エリア、シングルビート")</f>
        <v>T波エリア、シングルビート</v>
      </c>
      <c r="H5234" s="3" t="str">
        <f ca="1">IFERROR(__xludf.DUMMYFUNCTION("googletranslate(E5234,""en"",""ja"")"),"1 つ以上のリード線を使用した単一拍動の T 波の面積の心電図測定。")</f>
        <v>1 つ以上のリード線を使用した単一拍動の T 波の面積の心電図測定。</v>
      </c>
      <c r="I5234" s="3" t="str">
        <f ca="1">IFERROR(__xludf.DUMMYFUNCTION("googletranslate(F5234,""en"",""ja"")"),"T波エリアシングルビート")</f>
        <v>T波エリアシングルビート</v>
      </c>
    </row>
    <row r="5235" spans="1:9" ht="75">
      <c r="A5235" s="3" t="s">
        <v>985</v>
      </c>
      <c r="B5235" s="3" t="s">
        <v>21674</v>
      </c>
      <c r="C5235" s="3" t="s">
        <v>21675</v>
      </c>
      <c r="D5235" s="3" t="s">
        <v>21675</v>
      </c>
      <c r="E5235" s="3" t="s">
        <v>21676</v>
      </c>
      <c r="F5235" s="3" t="s">
        <v>21677</v>
      </c>
      <c r="G5235" s="3" t="str">
        <f ca="1">IFERROR(__xludf.DUMMYFUNCTION("googletranslate(D5235,""en"",""ja"")"),"T 波持続時間、合計")</f>
        <v>T 波持続時間、合計</v>
      </c>
      <c r="H5235" s="3" t="str">
        <f ca="1">IFERROR(__xludf.DUMMYFUNCTION("googletranslate(E5235,""en"",""ja"")"),"単一の ECG 内の複数の拍動からの T 波持続時間間隔の測定に基づく集計 T 波持続時間値。集計方法はさまざまですが、通常は平均などの中心傾向の尺度です。")</f>
        <v>単一の ECG 内の複数の拍動からの T 波持続時間間隔の測定に基づく集計 T 波持続時間値。集計方法はさまざまですが、通常は平均などの中心傾向の尺度です。</v>
      </c>
      <c r="I5235" s="3" t="str">
        <f ca="1">IFERROR(__xludf.DUMMYFUNCTION("googletranslate(F5235,""en"",""ja"")"),"T 波持続時間の合計")</f>
        <v>T 波持続時間の合計</v>
      </c>
    </row>
    <row r="5236" spans="1:9" ht="45">
      <c r="A5236" s="3" t="s">
        <v>985</v>
      </c>
      <c r="B5236" s="3" t="s">
        <v>21678</v>
      </c>
      <c r="C5236" s="3" t="s">
        <v>21679</v>
      </c>
      <c r="D5236" s="3" t="s">
        <v>21679</v>
      </c>
      <c r="E5236" s="3" t="s">
        <v>21680</v>
      </c>
      <c r="F5236" s="3" t="s">
        <v>21681</v>
      </c>
      <c r="G5236" s="3" t="str">
        <f ca="1">IFERROR(__xludf.DUMMYFUNCTION("googletranslate(D5236,""en"",""ja"")"),"T 波持続時間、シングルビート")</f>
        <v>T 波持続時間、シングルビート</v>
      </c>
      <c r="H5236" s="3" t="str">
        <f ca="1">IFERROR(__xludf.DUMMYFUNCTION("googletranslate(E5236,""en"",""ja"")"),"1 つまたは複数のリードを使用して、単一拍動の T 波の開始から T 波のオフセットまで測定される心電図間隔。")</f>
        <v>1 つまたは複数のリードを使用して、単一拍動の T 波の開始から T 波のオフセットまで測定される心電図間隔。</v>
      </c>
      <c r="I5236" s="3" t="str">
        <f ca="1">IFERROR(__xludf.DUMMYFUNCTION("googletranslate(F5236,""en"",""ja"")"),"T 波の長さ 1 ビート")</f>
        <v>T 波の長さ 1 ビート</v>
      </c>
    </row>
    <row r="5237" spans="1:9" ht="75">
      <c r="A5237" s="3" t="s">
        <v>985</v>
      </c>
      <c r="B5237" s="3" t="s">
        <v>21682</v>
      </c>
      <c r="C5237" s="3" t="s">
        <v>21683</v>
      </c>
      <c r="D5237" s="3" t="s">
        <v>21683</v>
      </c>
      <c r="E5237" s="3" t="s">
        <v>21684</v>
      </c>
      <c r="F5237" s="3" t="s">
        <v>21685</v>
      </c>
      <c r="G5237" s="3" t="str">
        <f ca="1">IFERROR(__xludf.DUMMYFUNCTION("googletranslate(D5237,""en"",""ja"")"),"T 波振幅、集合体")</f>
        <v>T 波振幅、集合体</v>
      </c>
      <c r="H5237" s="3" t="str">
        <f ca="1">IFERROR(__xludf.DUMMYFUNCTION("googletranslate(E5237,""en"",""ja"")"),"単一の ECG 内の複数の拍動からの T 波振幅の測定に基づく集計 T 波振幅値。集計方法はさまざまですが、通常は平均などの中心傾向の尺度です。")</f>
        <v>単一の ECG 内の複数の拍動からの T 波振幅の測定に基づく集計 T 波振幅値。集計方法はさまざまですが、通常は平均などの中心傾向の尺度です。</v>
      </c>
      <c r="I5237" s="3" t="str">
        <f ca="1">IFERROR(__xludf.DUMMYFUNCTION("googletranslate(F5237,""en"",""ja"")"),"T 波振幅の集計")</f>
        <v>T 波振幅の集計</v>
      </c>
    </row>
    <row r="5238" spans="1:9" ht="75">
      <c r="A5238" s="3" t="s">
        <v>985</v>
      </c>
      <c r="B5238" s="3" t="s">
        <v>21686</v>
      </c>
      <c r="C5238" s="3" t="s">
        <v>21687</v>
      </c>
      <c r="D5238" s="3" t="s">
        <v>21687</v>
      </c>
      <c r="E5238" s="3" t="s">
        <v>21688</v>
      </c>
      <c r="F5238" s="3" t="s">
        <v>21689</v>
      </c>
      <c r="G5238" s="3" t="str">
        <f ca="1">IFERROR(__xludf.DUMMYFUNCTION("googletranslate(D5238,""en"",""ja"")"),"T 波振幅、単一ビート")</f>
        <v>T 波振幅、単一ビート</v>
      </c>
      <c r="H5238" s="3" t="str">
        <f ca="1">IFERROR(__xludf.DUMMYFUNCTION("googletranslate(E5238,""en"",""ja"")"),"1つまたは複数のリードを使用して、単一拍動の等電性ベースラインからT波のピークまで測定されるT波の平均振幅（通常はmVで測定）の心電図測定。録音ゲインに基づいて、この測定は m")</f>
        <v>1つまたは複数のリードを使用して、単一拍動の等電性ベースラインからT波のピークまで測定されるT波の平均振幅（通常はmVで測定）の心電図測定。録音ゲインに基づいて、この測定は m</v>
      </c>
      <c r="I5238" s="3" t="str">
        <f ca="1">IFERROR(__xludf.DUMMYFUNCTION("googletranslate(F5238,""en"",""ja"")"),"T 波振幅 シングルビート")</f>
        <v>T 波振幅 シングルビート</v>
      </c>
    </row>
    <row r="5239" spans="1:9" ht="30">
      <c r="A5239" s="3" t="s">
        <v>503</v>
      </c>
      <c r="B5239" s="3" t="s">
        <v>21690</v>
      </c>
      <c r="C5239" s="3" t="s">
        <v>21691</v>
      </c>
      <c r="D5239" s="3" t="s">
        <v>21691</v>
      </c>
      <c r="E5239" s="3" t="s">
        <v>21692</v>
      </c>
      <c r="F5239" s="3" t="s">
        <v>21691</v>
      </c>
      <c r="G5239" s="3" t="str">
        <f ca="1">IFERROR(__xludf.DUMMYFUNCTION("googletranslate(D5239,""en"",""ja"")"),"ツインタイプ")</f>
        <v>ツインタイプ</v>
      </c>
      <c r="H5239" s="3" t="str">
        <f ca="1">IFERROR(__xludf.DUMMYFUNCTION("googletranslate(E5239,""en"",""ja"")"),"同じ妊娠から生まれた 2 人の子の分類。")</f>
        <v>同じ妊娠から生まれた 2 人の子の分類。</v>
      </c>
      <c r="I5239" s="3" t="str">
        <f ca="1">IFERROR(__xludf.DUMMYFUNCTION("googletranslate(F5239,""en"",""ja"")"),"ツインタイプ")</f>
        <v>ツインタイプ</v>
      </c>
    </row>
    <row r="5240" spans="1:9" ht="30">
      <c r="A5240" s="3" t="s">
        <v>6</v>
      </c>
      <c r="B5240" s="3" t="s">
        <v>21693</v>
      </c>
      <c r="C5240" s="3" t="s">
        <v>21694</v>
      </c>
      <c r="D5240" s="3" t="s">
        <v>21694</v>
      </c>
      <c r="E5240" s="3" t="s">
        <v>21695</v>
      </c>
      <c r="F5240" s="3" t="s">
        <v>21696</v>
      </c>
      <c r="G5240" s="3" t="str">
        <f ca="1">IFERROR(__xludf.DUMMYFUNCTION("googletranslate(D5240,""en"",""ja"")"),"トロンボキサンB2")</f>
        <v>トロンボキサンB2</v>
      </c>
      <c r="H5240" s="3" t="str">
        <f ca="1">IFERROR(__xludf.DUMMYFUNCTION("googletranslate(E5240,""en"",""ja"")"),"生物学的標本中のトロンボキサン B2 の測定。")</f>
        <v>生物学的標本中のトロンボキサン B2 の測定。</v>
      </c>
      <c r="I5240" s="3" t="str">
        <f ca="1">IFERROR(__xludf.DUMMYFUNCTION("googletranslate(F5240,""en"",""ja"")"),"トロンボキサンB2の測定")</f>
        <v>トロンボキサンB2の測定</v>
      </c>
    </row>
    <row r="5241" spans="1:9" ht="30">
      <c r="A5241" s="3" t="s">
        <v>6</v>
      </c>
      <c r="B5241" s="3" t="s">
        <v>21697</v>
      </c>
      <c r="C5241" s="3" t="s">
        <v>21698</v>
      </c>
      <c r="D5241" s="3" t="s">
        <v>21698</v>
      </c>
      <c r="E5241" s="3" t="s">
        <v>21699</v>
      </c>
      <c r="F5241" s="3" t="s">
        <v>21700</v>
      </c>
      <c r="G5241" s="3" t="str">
        <f ca="1">IFERROR(__xludf.DUMMYFUNCTION("googletranslate(D5241,""en"",""ja"")"),"11-デヒドロ-トロンボキサン B2")</f>
        <v>11-デヒドロ-トロンボキサン B2</v>
      </c>
      <c r="H5241" s="3" t="str">
        <f ca="1">IFERROR(__xludf.DUMMYFUNCTION("googletranslate(E5241,""en"",""ja"")"),"生物学的標本中の 11-デヒドロ-トロンボキサン B2 の測定。")</f>
        <v>生物学的標本中の 11-デヒドロ-トロンボキサン B2 の測定。</v>
      </c>
      <c r="I5241" s="3" t="str">
        <f ca="1">IFERROR(__xludf.DUMMYFUNCTION("googletranslate(F5241,""en"",""ja"")"),"11-デヒドロ-トロンボキサン B2 の測定")</f>
        <v>11-デヒドロ-トロンボキサン B2 の測定</v>
      </c>
    </row>
    <row r="5242" spans="1:9" ht="45">
      <c r="A5242" s="3" t="s">
        <v>6</v>
      </c>
      <c r="B5242" s="3" t="s">
        <v>21701</v>
      </c>
      <c r="C5242" s="3" t="s">
        <v>21702</v>
      </c>
      <c r="D5242" s="3" t="s">
        <v>21702</v>
      </c>
      <c r="E5242" s="3" t="s">
        <v>21703</v>
      </c>
      <c r="F5242" s="3" t="s">
        <v>21702</v>
      </c>
      <c r="G5242" s="3" t="str">
        <f ca="1">IFERROR(__xludf.DUMMYFUNCTION("googletranslate(D5242,""en"",""ja"")"),"11-デヒドロ-トロンボキサン B2 排泄率")</f>
        <v>11-デヒドロ-トロンボキサン B2 排泄率</v>
      </c>
      <c r="H5242" s="3" t="str">
        <f ca="1">IFERROR(__xludf.DUMMYFUNCTION("googletranslate(E5242,""en"",""ja"")"),"規定の時間 (例: 1 時間) にわたって生物学的検体中に排泄される 11-デヒドロ-トロンボキサン B2 の量の測定。")</f>
        <v>規定の時間 (例: 1 時間) にわたって生物学的検体中に排泄される 11-デヒドロ-トロンボキサン B2 の量の測定。</v>
      </c>
      <c r="I5242" s="3" t="str">
        <f ca="1">IFERROR(__xludf.DUMMYFUNCTION("googletranslate(F5242,""en"",""ja"")"),"11-デヒドロ-トロンボキサン B2 排泄率")</f>
        <v>11-デヒドロ-トロンボキサン B2 排泄率</v>
      </c>
    </row>
    <row r="5243" spans="1:9">
      <c r="A5243" s="3" t="s">
        <v>503</v>
      </c>
      <c r="B5243" s="3" t="s">
        <v>21704</v>
      </c>
      <c r="C5243" s="3" t="s">
        <v>21705</v>
      </c>
      <c r="D5243" s="3" t="s">
        <v>21705</v>
      </c>
      <c r="E5243" s="3" t="s">
        <v>21706</v>
      </c>
      <c r="F5243" s="3" t="s">
        <v>21707</v>
      </c>
      <c r="G5243" s="3" t="str">
        <f ca="1">IFERROR(__xludf.DUMMYFUNCTION("googletranslate(D5243,""en"",""ja"")"),"連絡先の種類")</f>
        <v>連絡先の種類</v>
      </c>
      <c r="H5243" s="3" t="str">
        <f ca="1">IFERROR(__xludf.DUMMYFUNCTION("googletranslate(E5243,""en"",""ja"")"),"病気との接触者の特定と臨床調査。")</f>
        <v>病気との接触者の特定と臨床調査。</v>
      </c>
      <c r="I5243" s="3" t="str">
        <f ca="1">IFERROR(__xludf.DUMMYFUNCTION("googletranslate(F5243,""en"",""ja"")"),"伝染病接触の種類")</f>
        <v>伝染病接触の種類</v>
      </c>
    </row>
    <row r="5244" spans="1:9">
      <c r="A5244" s="3" t="s">
        <v>6</v>
      </c>
      <c r="B5244" s="3" t="s">
        <v>21708</v>
      </c>
      <c r="C5244" s="3" t="s">
        <v>21709</v>
      </c>
      <c r="D5244" s="3" t="s">
        <v>21709</v>
      </c>
      <c r="E5244" s="3" t="s">
        <v>21710</v>
      </c>
      <c r="F5244" s="3" t="s">
        <v>21711</v>
      </c>
      <c r="G5244" s="3" t="str">
        <f ca="1">IFERROR(__xludf.DUMMYFUNCTION("googletranslate(D5244,""en"",""ja"")"),"チロシン")</f>
        <v>チロシン</v>
      </c>
      <c r="H5244" s="3" t="str">
        <f ca="1">IFERROR(__xludf.DUMMYFUNCTION("googletranslate(E5244,""en"",""ja"")"),"生物学的標本中のチロシンの測定。")</f>
        <v>生物学的標本中のチロシンの測定。</v>
      </c>
      <c r="I5244" s="3" t="str">
        <f ca="1">IFERROR(__xludf.DUMMYFUNCTION("googletranslate(F5244,""en"",""ja"")"),"チロシン測定")</f>
        <v>チロシン測定</v>
      </c>
    </row>
    <row r="5245" spans="1:9">
      <c r="A5245" s="3" t="s">
        <v>51</v>
      </c>
      <c r="B5245" s="3" t="s">
        <v>21712</v>
      </c>
      <c r="C5245" s="3" t="s">
        <v>21713</v>
      </c>
      <c r="D5245" s="3" t="s">
        <v>21713</v>
      </c>
      <c r="E5245" s="3" t="s">
        <v>21714</v>
      </c>
      <c r="F5245" s="3" t="s">
        <v>21715</v>
      </c>
      <c r="G5245" s="3" t="str">
        <f ca="1">IFERROR(__xludf.DUMMYFUNCTION("googletranslate(D5245,""en"",""ja"")"),"ウラン-235")</f>
        <v>ウラン-235</v>
      </c>
      <c r="H5245" s="3" t="str">
        <f ca="1">IFERROR(__xludf.DUMMYFUNCTION("googletranslate(E5245,""en"",""ja"")"),"標本中のウラン 235 の測定。")</f>
        <v>標本中のウラン 235 の測定。</v>
      </c>
      <c r="I5245" s="3" t="str">
        <f ca="1">IFERROR(__xludf.DUMMYFUNCTION("googletranslate(F5245,""en"",""ja"")"),"ウラン 235 の測定")</f>
        <v>ウラン 235 の測定</v>
      </c>
    </row>
    <row r="5246" spans="1:9">
      <c r="A5246" s="3" t="s">
        <v>51</v>
      </c>
      <c r="B5246" s="3" t="s">
        <v>21716</v>
      </c>
      <c r="C5246" s="3" t="s">
        <v>21717</v>
      </c>
      <c r="D5246" s="3" t="s">
        <v>21717</v>
      </c>
      <c r="E5246" s="3" t="s">
        <v>21718</v>
      </c>
      <c r="F5246" s="3" t="s">
        <v>21719</v>
      </c>
      <c r="G5246" s="3" t="str">
        <f ca="1">IFERROR(__xludf.DUMMYFUNCTION("googletranslate(D5246,""en"",""ja"")"),"ウラン-238")</f>
        <v>ウラン-238</v>
      </c>
      <c r="H5246" s="3" t="str">
        <f ca="1">IFERROR(__xludf.DUMMYFUNCTION("googletranslate(E5246,""en"",""ja"")"),"標本中のウラン 238 の測定。")</f>
        <v>標本中のウラン 238 の測定。</v>
      </c>
      <c r="I5246" s="3" t="str">
        <f ca="1">IFERROR(__xludf.DUMMYFUNCTION("googletranslate(F5246,""en"",""ja"")"),"ウラン 238 の測定")</f>
        <v>ウラン 238 の測定</v>
      </c>
    </row>
    <row r="5247" spans="1:9" ht="30">
      <c r="A5247" s="3" t="s">
        <v>6</v>
      </c>
      <c r="B5247" s="3" t="s">
        <v>21720</v>
      </c>
      <c r="C5247" s="3" t="s">
        <v>21721</v>
      </c>
      <c r="D5247" s="3" t="s">
        <v>21722</v>
      </c>
      <c r="E5247" s="3" t="s">
        <v>21723</v>
      </c>
      <c r="F5247" s="3" t="s">
        <v>21724</v>
      </c>
      <c r="G5247" s="3" t="str">
        <f ca="1">IFERROR(__xludf.DUMMYFUNCTION("googletranslate(D5247,""en"",""ja"")"),"ピンク;ピンキー; U-47700; U4; U47700")</f>
        <v>ピンク;ピンキー; U-47700; U4; U47700</v>
      </c>
      <c r="H5247" s="3" t="str">
        <f ca="1">IFERROR(__xludf.DUMMYFUNCTION("googletranslate(E5247,""en"",""ja"")"),"生物学的標本中の合成カンナビノイド U-47700 の測定。")</f>
        <v>生物学的標本中の合成カンナビノイド U-47700 の測定。</v>
      </c>
      <c r="I5247" s="3" t="str">
        <f ca="1">IFERROR(__xludf.DUMMYFUNCTION("googletranslate(F5247,""en"",""ja"")"),"U-47700測定")</f>
        <v>U-47700測定</v>
      </c>
    </row>
    <row r="5248" spans="1:9" ht="30">
      <c r="A5248" s="3" t="s">
        <v>6</v>
      </c>
      <c r="B5248" s="3" t="s">
        <v>21725</v>
      </c>
      <c r="C5248" s="3" t="s">
        <v>21726</v>
      </c>
      <c r="D5248" s="3" t="s">
        <v>21726</v>
      </c>
      <c r="E5248" s="3" t="s">
        <v>21727</v>
      </c>
      <c r="F5248" s="3" t="s">
        <v>21728</v>
      </c>
      <c r="G5248" s="3" t="str">
        <f ca="1">IFERROR(__xludf.DUMMYFUNCTION("googletranslate(D5248,""en"",""ja"")"),"ユビキチンタンパク質")</f>
        <v>ユビキチンタンパク質</v>
      </c>
      <c r="H5248" s="3" t="str">
        <f ca="1">IFERROR(__xludf.DUMMYFUNCTION("googletranslate(E5248,""en"",""ja"")"),"生物学的標本中の総ユビキチンタンパク質の測定。")</f>
        <v>生物学的標本中の総ユビキチンタンパク質の測定。</v>
      </c>
      <c r="I5248" s="3" t="str">
        <f ca="1">IFERROR(__xludf.DUMMYFUNCTION("googletranslate(F5248,""en"",""ja"")"),"ユビキチンタンパク質の測定")</f>
        <v>ユビキチンタンパク質の測定</v>
      </c>
    </row>
    <row r="5249" spans="1:9" ht="45">
      <c r="A5249" s="3" t="s">
        <v>6</v>
      </c>
      <c r="B5249" s="3" t="s">
        <v>21729</v>
      </c>
      <c r="C5249" s="3" t="s">
        <v>21730</v>
      </c>
      <c r="D5249" s="3" t="s">
        <v>21731</v>
      </c>
      <c r="E5249" s="3" t="s">
        <v>21732</v>
      </c>
      <c r="F5249" s="3" t="s">
        <v>21733</v>
      </c>
      <c r="G5249" s="3" t="str">
        <f ca="1">IFERROR(__xludf.DUMMYFUNCTION("googletranslate(D5249,""en"",""ja"")"),"ユビキチン C 末端加水分解酵素 L1;ユビキチンカルボキシ末端加水分解酵素L1; UCH-L1")</f>
        <v>ユビキチン C 末端加水分解酵素 L1;ユビキチンカルボキシ末端加水分解酵素L1; UCH-L1</v>
      </c>
      <c r="H5249" s="3" t="str">
        <f ca="1">IFERROR(__xludf.DUMMYFUNCTION("googletranslate(E5249,""en"",""ja"")"),"生体試料中のユビキチン C 末端加水分解酵素 L1 の測定。")</f>
        <v>生体試料中のユビキチン C 末端加水分解酵素 L1 の測定。</v>
      </c>
      <c r="I5249" s="3" t="str">
        <f ca="1">IFERROR(__xludf.DUMMYFUNCTION("googletranslate(F5249,""en"",""ja"")"),"ユビキチンC末端加水分解酵素L1の測定")</f>
        <v>ユビキチンC末端加水分解酵素L1の測定</v>
      </c>
    </row>
    <row r="5250" spans="1:9" ht="45">
      <c r="A5250" s="3" t="s">
        <v>6</v>
      </c>
      <c r="B5250" s="3" t="s">
        <v>21734</v>
      </c>
      <c r="C5250" s="3" t="s">
        <v>21735</v>
      </c>
      <c r="D5250" s="3" t="s">
        <v>21736</v>
      </c>
      <c r="E5250" s="3" t="s">
        <v>21737</v>
      </c>
      <c r="F5250" s="3" t="s">
        <v>21738</v>
      </c>
      <c r="G5250" s="3" t="str">
        <f ca="1">IFERROR(__xludf.DUMMYFUNCTION("googletranslate(D5250,""en"",""ja"")"),"ウルソデオキシコール酸塩;ウルソデオキシコール酸;ウルソジオール")</f>
        <v>ウルソデオキシコール酸塩;ウルソデオキシコール酸;ウルソジオール</v>
      </c>
      <c r="H5250" s="3" t="str">
        <f ca="1">IFERROR(__xludf.DUMMYFUNCTION("googletranslate(E5250,""en"",""ja"")"),"生物学的標本中のウルソデオキシコール酸の測定。")</f>
        <v>生物学的標本中のウルソデオキシコール酸の測定。</v>
      </c>
      <c r="I5250" s="3" t="str">
        <f ca="1">IFERROR(__xludf.DUMMYFUNCTION("googletranslate(F5250,""en"",""ja"")"),"ウルソデオキシコール酸の測定")</f>
        <v>ウルソデオキシコール酸の測定</v>
      </c>
    </row>
    <row r="5251" spans="1:9" ht="60">
      <c r="A5251" s="3" t="s">
        <v>6</v>
      </c>
      <c r="B5251" s="3" t="s">
        <v>21739</v>
      </c>
      <c r="C5251" s="3" t="s">
        <v>21740</v>
      </c>
      <c r="D5251" s="3" t="s">
        <v>21741</v>
      </c>
      <c r="E5251" s="3" t="s">
        <v>21742</v>
      </c>
      <c r="F5251" s="3" t="s">
        <v>21743</v>
      </c>
      <c r="G5251" s="3" t="str">
        <f ca="1">IFERROR(__xludf.DUMMYFUNCTION("googletranslate(D5251,""en"",""ja"")"),"ウルソデオキシコール酸塩化合物;ウルソデオキシコール酸化合物")</f>
        <v>ウルソデオキシコール酸塩化合物;ウルソデオキシコール酸化合物</v>
      </c>
      <c r="H5251" s="3" t="str">
        <f ca="1">IFERROR(__xludf.DUMMYFUNCTION("googletranslate(E5251,""en"",""ja"")"),"生物学的検体中のウルソデオキシコール酸、グリクルソデオキシコール酸、タウロウルソデオキシコール酸、およびエピマー化ウルソデオキシコール酸の測定。")</f>
        <v>生物学的検体中のウルソデオキシコール酸、グリクルソデオキシコール酸、タウロウルソデオキシコール酸、およびエピマー化ウルソデオキシコール酸の測定。</v>
      </c>
      <c r="I5251" s="3" t="str">
        <f ca="1">IFERROR(__xludf.DUMMYFUNCTION("googletranslate(F5251,""en"",""ja"")"),"ウルソデオキシコール酸塩化合物の測定")</f>
        <v>ウルソデオキシコール酸塩化合物の測定</v>
      </c>
    </row>
    <row r="5252" spans="1:9" ht="30">
      <c r="A5252" s="3" t="s">
        <v>503</v>
      </c>
      <c r="B5252" s="3" t="s">
        <v>21744</v>
      </c>
      <c r="C5252" s="3" t="s">
        <v>21745</v>
      </c>
      <c r="D5252" s="3" t="s">
        <v>21746</v>
      </c>
      <c r="E5252" s="3" t="s">
        <v>21747</v>
      </c>
      <c r="F5252" s="3" t="s">
        <v>21745</v>
      </c>
      <c r="G5252" s="3" t="str">
        <f ca="1">IFERROR(__xludf.DUMMYFUNCTION("googletranslate(D5252,""en"",""ja"")"),"ホームレス指標;非収容インジケーター")</f>
        <v>ホームレス指標;非収容インジケーター</v>
      </c>
      <c r="H5252" s="3" t="str">
        <f ca="1">IFERROR(__xludf.DUMMYFUNCTION("googletranslate(E5252,""en"",""ja"")"),"被験者が収容されていないかどうかを示す指標。")</f>
        <v>被験者が収容されていないかどうかを示す指標。</v>
      </c>
      <c r="I5252" s="3" t="str">
        <f ca="1">IFERROR(__xludf.DUMMYFUNCTION("googletranslate(F5252,""en"",""ja"")"),"非収容インジケーター")</f>
        <v>非収容インジケーター</v>
      </c>
    </row>
    <row r="5253" spans="1:9">
      <c r="A5253" s="3" t="s">
        <v>142</v>
      </c>
      <c r="B5253" s="3" t="s">
        <v>21748</v>
      </c>
      <c r="C5253" s="3" t="s">
        <v>21749</v>
      </c>
      <c r="D5253" s="3" t="s">
        <v>21749</v>
      </c>
      <c r="E5253" s="3" t="s">
        <v>21750</v>
      </c>
      <c r="F5253" s="3" t="s">
        <v>21749</v>
      </c>
      <c r="G5253" s="3" t="str">
        <f ca="1">IFERROR(__xludf.DUMMYFUNCTION("googletranslate(D5253,""en"",""ja"")"),"潰瘍インジケーター")</f>
        <v>潰瘍インジケーター</v>
      </c>
      <c r="H5253" s="3" t="str">
        <f ca="1">IFERROR(__xludf.DUMMYFUNCTION("googletranslate(E5253,""en"",""ja"")"),"潰瘍が存在するかどうかの指標。")</f>
        <v>潰瘍が存在するかどうかの指標。</v>
      </c>
      <c r="I5253" s="3" t="str">
        <f ca="1">IFERROR(__xludf.DUMMYFUNCTION("googletranslate(F5253,""en"",""ja"")"),"潰瘍インジケーター")</f>
        <v>潰瘍インジケーター</v>
      </c>
    </row>
    <row r="5254" spans="1:9">
      <c r="A5254" s="3" t="s">
        <v>118</v>
      </c>
      <c r="B5254" s="3" t="s">
        <v>21751</v>
      </c>
      <c r="C5254" s="3" t="s">
        <v>21752</v>
      </c>
      <c r="D5254" s="3" t="s">
        <v>21752</v>
      </c>
      <c r="E5254" s="3" t="s">
        <v>21753</v>
      </c>
      <c r="F5254" s="3" t="s">
        <v>21752</v>
      </c>
      <c r="G5254" s="3" t="str">
        <f ca="1">IFERROR(__xludf.DUMMYFUNCTION("googletranslate(D5254,""en"",""ja"")"),"尺骨の長さ")</f>
        <v>尺骨の長さ</v>
      </c>
      <c r="H5254" s="3" t="str">
        <f ca="1">IFERROR(__xludf.DUMMYFUNCTION("googletranslate(E5254,""en"",""ja"")"),"尺骨の長さの測定。")</f>
        <v>尺骨の長さの測定。</v>
      </c>
      <c r="I5254" s="3" t="str">
        <f ca="1">IFERROR(__xludf.DUMMYFUNCTION("googletranslate(F5254,""en"",""ja"")"),"尺骨の長さ")</f>
        <v>尺骨の長さ</v>
      </c>
    </row>
    <row r="5255" spans="1:9" ht="45">
      <c r="A5255" s="3" t="s">
        <v>1255</v>
      </c>
      <c r="B5255" s="3" t="s">
        <v>21754</v>
      </c>
      <c r="C5255" s="3" t="s">
        <v>21755</v>
      </c>
      <c r="D5255" s="3" t="s">
        <v>21755</v>
      </c>
      <c r="E5255" s="3" t="s">
        <v>21756</v>
      </c>
      <c r="F5255" s="3" t="s">
        <v>21755</v>
      </c>
      <c r="G5255" s="3" t="str">
        <f ca="1">IFERROR(__xludf.DUMMYFUNCTION("googletranslate(D5255,""en"",""ja"")"),"超音波モード")</f>
        <v>超音波モード</v>
      </c>
      <c r="H5255" s="3" t="str">
        <f ca="1">IFERROR(__xludf.DUMMYFUNCTION("googletranslate(E5255,""en"",""ja"")"),"トランスデューサ設計、超音波周波数、超音波信号処理などのパラメータに基づく、超音波ベースのイメージングモダリティの画像取得設定。")</f>
        <v>トランスデューサ設計、超音波周波数、超音波信号処理などのパラメータに基づく、超音波ベースのイメージングモダリティの画像取得設定。</v>
      </c>
      <c r="I5255" s="3" t="str">
        <f ca="1">IFERROR(__xludf.DUMMYFUNCTION("googletranslate(F5255,""en"",""ja"")"),"超音波モード")</f>
        <v>超音波モード</v>
      </c>
    </row>
    <row r="5256" spans="1:9" ht="45">
      <c r="A5256" s="3" t="s">
        <v>6</v>
      </c>
      <c r="B5256" s="3" t="s">
        <v>21757</v>
      </c>
      <c r="C5256" s="3" t="s">
        <v>21758</v>
      </c>
      <c r="D5256" s="3" t="s">
        <v>21759</v>
      </c>
      <c r="E5256" s="3" t="s">
        <v>21760</v>
      </c>
      <c r="F5256" s="3" t="s">
        <v>21761</v>
      </c>
      <c r="G5256" s="3" t="str">
        <f ca="1">IFERROR(__xludf.DUMMYFUNCTION("googletranslate(D5256,""en"",""ja"")"),"Tamm-Horsfall 尿糖タンパク質; THP;ウロム;ウロモジュリン")</f>
        <v>Tamm-Horsfall 尿糖タンパク質; THP;ウロム;ウロモジュリン</v>
      </c>
      <c r="H5256" s="3" t="str">
        <f ca="1">IFERROR(__xludf.DUMMYFUNCTION("googletranslate(E5256,""en"",""ja"")"),"生物学的標本中のウロモジュリンの測定。")</f>
        <v>生物学的標本中のウロモジュリンの測定。</v>
      </c>
      <c r="I5256" s="3" t="str">
        <f ca="1">IFERROR(__xludf.DUMMYFUNCTION("googletranslate(F5256,""en"",""ja"")"),"ウロモジュリンの測定")</f>
        <v>ウロモジュリンの測定</v>
      </c>
    </row>
    <row r="5257" spans="1:9" ht="30">
      <c r="A5257" s="3" t="s">
        <v>6</v>
      </c>
      <c r="B5257" s="3" t="s">
        <v>21762</v>
      </c>
      <c r="C5257" s="3" t="s">
        <v>21763</v>
      </c>
      <c r="D5257" s="3" t="s">
        <v>21763</v>
      </c>
      <c r="E5257" s="3" t="s">
        <v>21764</v>
      </c>
      <c r="F5257" s="3" t="s">
        <v>21765</v>
      </c>
      <c r="G5257" s="3" t="str">
        <f ca="1">IFERROR(__xludf.DUMMYFUNCTION("googletranslate(D5257,""en"",""ja"")"),"不特定のセル")</f>
        <v>不特定のセル</v>
      </c>
      <c r="H5257" s="3" t="str">
        <f ca="1">IFERROR(__xludf.DUMMYFUNCTION("googletranslate(E5257,""en"",""ja"")"),"生物学的標本中で特定または特定されていない細胞の測定値。")</f>
        <v>生物学的標本中で特定または特定されていない細胞の測定値。</v>
      </c>
      <c r="I5257" s="3" t="str">
        <f ca="1">IFERROR(__xludf.DUMMYFUNCTION("googletranslate(F5257,""en"",""ja"")"),"不特定のセルの数")</f>
        <v>不特定のセルの数</v>
      </c>
    </row>
    <row r="5258" spans="1:9" ht="45">
      <c r="A5258" s="3" t="s">
        <v>6</v>
      </c>
      <c r="B5258" s="3" t="s">
        <v>21766</v>
      </c>
      <c r="C5258" s="3" t="s">
        <v>21767</v>
      </c>
      <c r="D5258" s="3" t="s">
        <v>21767</v>
      </c>
      <c r="E5258" s="3" t="s">
        <v>21768</v>
      </c>
      <c r="F5258" s="3" t="s">
        <v>21769</v>
      </c>
      <c r="G5258" s="3" t="str">
        <f ca="1">IFERROR(__xludf.DUMMYFUNCTION("googletranslate(D5258,""en"",""ja"")"),"不特定のセル/合計セル数")</f>
        <v>不特定のセル/合計セル数</v>
      </c>
      <c r="H5258" s="3" t="str">
        <f ca="1">IFERROR(__xludf.DUMMYFUNCTION("googletranslate(E5258,""en"",""ja"")"),"生物学的標本の全細胞に対する、他の方法で特定または特定されていない細胞の相対的な測定値 (比率またはパーセンテージ)。")</f>
        <v>生物学的標本の全細胞に対する、他の方法で特定または特定されていない細胞の相対的な測定値 (比率またはパーセンテージ)。</v>
      </c>
      <c r="I5258" s="3" t="str">
        <f ca="1">IFERROR(__xludf.DUMMYFUNCTION("googletranslate(F5258,""en"",""ja"")"),"不特定のセルと総セルの比率の測定")</f>
        <v>不特定のセルと総セルの比率の測定</v>
      </c>
    </row>
    <row r="5259" spans="1:9" ht="45">
      <c r="A5259" s="3" t="s">
        <v>6</v>
      </c>
      <c r="B5259" s="3" t="s">
        <v>21770</v>
      </c>
      <c r="C5259" s="3" t="s">
        <v>21771</v>
      </c>
      <c r="D5259" s="3" t="s">
        <v>21771</v>
      </c>
      <c r="E5259" s="3" t="s">
        <v>21772</v>
      </c>
      <c r="F5259" s="3" t="s">
        <v>21773</v>
      </c>
      <c r="G5259" s="3" t="str">
        <f ca="1">IFERROR(__xludf.DUMMYFUNCTION("googletranslate(D5259,""en"",""ja"")"),"不特定の細胞/白血球")</f>
        <v>不特定の細胞/白血球</v>
      </c>
      <c r="H5259" s="3" t="str">
        <f ca="1">IFERROR(__xludf.DUMMYFUNCTION("googletranslate(E5259,""en"",""ja"")"),"生物学的標本中の白血球に対する、他の方法では同定または特定されていない細胞の相対的な測定値（比率またはパーセンテージ）。")</f>
        <v>生物学的標本中の白血球に対する、他の方法では同定または特定されていない細胞の相対的な測定値（比率またはパーセンテージ）。</v>
      </c>
      <c r="I5259" s="3" t="str">
        <f ca="1">IFERROR(__xludf.DUMMYFUNCTION("googletranslate(F5259,""en"",""ja"")"),"不特定細胞と白血球の比率の測定")</f>
        <v>不特定細胞と白血球の比率の測定</v>
      </c>
    </row>
    <row r="5260" spans="1:9" ht="30">
      <c r="A5260" s="3" t="s">
        <v>67</v>
      </c>
      <c r="B5260" s="3" t="s">
        <v>21774</v>
      </c>
      <c r="C5260" s="3" t="s">
        <v>21775</v>
      </c>
      <c r="D5260" s="3" t="s">
        <v>21775</v>
      </c>
      <c r="E5260" s="3" t="s">
        <v>21776</v>
      </c>
      <c r="F5260" s="3" t="s">
        <v>21777</v>
      </c>
      <c r="G5260" s="3" t="str">
        <f ca="1">IFERROR(__xludf.DUMMYFUNCTION("googletranslate(D5260,""en"",""ja"")"),"ウレアプラズマ・パルバム")</f>
        <v>ウレアプラズマ・パルバム</v>
      </c>
      <c r="H5260" s="3" t="str">
        <f ca="1">IFERROR(__xludf.DUMMYFUNCTION("googletranslate(E5260,""en"",""ja"")"),"生物学的標本中のウレアプラズマ パルバムの測定。")</f>
        <v>生物学的標本中のウレアプラズマ パルバムの測定。</v>
      </c>
      <c r="I5260" s="3" t="str">
        <f ca="1">IFERROR(__xludf.DUMMYFUNCTION("googletranslate(F5260,""en"",""ja"")"),"ウレアプラズマパルバムの測定")</f>
        <v>ウレアプラズマパルバムの測定</v>
      </c>
    </row>
    <row r="5261" spans="1:9" ht="30">
      <c r="A5261" s="3" t="s">
        <v>6</v>
      </c>
      <c r="B5261" s="3" t="s">
        <v>21774</v>
      </c>
      <c r="C5261" s="3" t="s">
        <v>21778</v>
      </c>
      <c r="D5261" s="3" t="s">
        <v>21779</v>
      </c>
      <c r="E5261" s="3" t="s">
        <v>21780</v>
      </c>
      <c r="F5261" s="3" t="s">
        <v>21781</v>
      </c>
      <c r="G5261" s="3" t="str">
        <f ca="1">IFERROR(__xludf.DUMMYFUNCTION("googletranslate(D5261,""en"",""ja"")"),"uPA;ウロキナーゼプラスミノーゲンアクチベーター")</f>
        <v>uPA;ウロキナーゼプラスミノーゲンアクチベーター</v>
      </c>
      <c r="H5261" s="3" t="str">
        <f ca="1">IFERROR(__xludf.DUMMYFUNCTION("googletranslate(E5261,""en"",""ja"")"),"生物学的標本中のウロキナーゼプラスミノーゲン活性化因子の測定。")</f>
        <v>生物学的標本中のウロキナーゼプラスミノーゲン活性化因子の測定。</v>
      </c>
      <c r="I5261" s="3" t="str">
        <f ca="1">IFERROR(__xludf.DUMMYFUNCTION("googletranslate(F5261,""en"",""ja"")"),"ウロキナーゼプラスミノーゲンアクチベーターの測定")</f>
        <v>ウロキナーゼプラスミノーゲンアクチベーターの測定</v>
      </c>
    </row>
    <row r="5262" spans="1:9" ht="30">
      <c r="A5262" s="3" t="s">
        <v>67</v>
      </c>
      <c r="B5262" s="3" t="s">
        <v>21782</v>
      </c>
      <c r="C5262" s="3" t="s">
        <v>21783</v>
      </c>
      <c r="D5262" s="3" t="s">
        <v>21783</v>
      </c>
      <c r="E5262" s="3" t="s">
        <v>21784</v>
      </c>
      <c r="F5262" s="3" t="s">
        <v>21785</v>
      </c>
      <c r="G5262" s="3" t="str">
        <f ca="1">IFERROR(__xludf.DUMMYFUNCTION("googletranslate(D5262,""en"",""ja"")"),"ウレアプラズマパルバム DNA")</f>
        <v>ウレアプラズマパルバム DNA</v>
      </c>
      <c r="H5262" s="3" t="str">
        <f ca="1">IFERROR(__xludf.DUMMYFUNCTION("googletranslate(E5262,""en"",""ja"")"),"生物学的標本中のウレアプラズマ パルバム DNA の測定。")</f>
        <v>生物学的標本中のウレアプラズマ パルバム DNA の測定。</v>
      </c>
      <c r="I5262" s="3" t="str">
        <f ca="1">IFERROR(__xludf.DUMMYFUNCTION("googletranslate(F5262,""en"",""ja"")"),"ウレアプラズマ・パルバム DNA 測定")</f>
        <v>ウレアプラズマ・パルバム DNA 測定</v>
      </c>
    </row>
    <row r="5263" spans="1:9" ht="30">
      <c r="A5263" s="3" t="s">
        <v>6</v>
      </c>
      <c r="B5263" s="3" t="s">
        <v>21786</v>
      </c>
      <c r="C5263" s="3" t="s">
        <v>21787</v>
      </c>
      <c r="D5263" s="3" t="s">
        <v>21788</v>
      </c>
      <c r="E5263" s="3" t="s">
        <v>21789</v>
      </c>
      <c r="F5263" s="3" t="s">
        <v>21790</v>
      </c>
      <c r="G5263" s="3" t="str">
        <f ca="1">IFERROR(__xludf.DUMMYFUNCTION("googletranslate(D5263,""en"",""ja"")"),"UR-144; UR144")</f>
        <v>UR-144; UR144</v>
      </c>
      <c r="H5263" s="3" t="str">
        <f ca="1">IFERROR(__xludf.DUMMYFUNCTION("googletranslate(E5263,""en"",""ja"")"),"生物学的標本中の合成カンナビノイド UR-144 の測定。")</f>
        <v>生物学的標本中の合成カンナビノイド UR-144 の測定。</v>
      </c>
      <c r="I5263" s="3" t="str">
        <f ca="1">IFERROR(__xludf.DUMMYFUNCTION("googletranslate(F5263,""en"",""ja"")"),"UR-144 測定")</f>
        <v>UR-144 測定</v>
      </c>
    </row>
    <row r="5264" spans="1:9">
      <c r="A5264" s="3" t="s">
        <v>6</v>
      </c>
      <c r="B5264" s="3" t="s">
        <v>21791</v>
      </c>
      <c r="C5264" s="3" t="s">
        <v>21792</v>
      </c>
      <c r="D5264" s="3" t="s">
        <v>21793</v>
      </c>
      <c r="E5264" s="3" t="s">
        <v>21794</v>
      </c>
      <c r="F5264" s="3" t="s">
        <v>21795</v>
      </c>
      <c r="G5264" s="3" t="str">
        <f ca="1">IFERROR(__xludf.DUMMYFUNCTION("googletranslate(D5264,""en"",""ja"")"),"尿酸塩;尿酸")</f>
        <v>尿酸塩;尿酸</v>
      </c>
      <c r="H5264" s="3" t="str">
        <f ca="1">IFERROR(__xludf.DUMMYFUNCTION("googletranslate(E5264,""en"",""ja"")"),"生物学的標本中の尿酸塩の測定。")</f>
        <v>生物学的標本中の尿酸塩の測定。</v>
      </c>
      <c r="I5264" s="3" t="str">
        <f ca="1">IFERROR(__xludf.DUMMYFUNCTION("googletranslate(F5264,""en"",""ja"")"),"尿酸値測定")</f>
        <v>尿酸値測定</v>
      </c>
    </row>
    <row r="5265" spans="1:9" ht="30">
      <c r="A5265" s="3" t="s">
        <v>6</v>
      </c>
      <c r="B5265" s="3" t="s">
        <v>21796</v>
      </c>
      <c r="C5265" s="3" t="s">
        <v>21797</v>
      </c>
      <c r="D5265" s="3" t="s">
        <v>21797</v>
      </c>
      <c r="E5265" s="3" t="s">
        <v>21798</v>
      </c>
      <c r="F5265" s="3" t="s">
        <v>21799</v>
      </c>
      <c r="G5265" s="3" t="str">
        <f ca="1">IFERROR(__xludf.DUMMYFUNCTION("googletranslate(D5265,""en"",""ja"")"),"尿酸塩/クレアチニン")</f>
        <v>尿酸塩/クレアチニン</v>
      </c>
      <c r="H5265" s="3" t="str">
        <f ca="1">IFERROR(__xludf.DUMMYFUNCTION("googletranslate(E5265,""en"",""ja"")"),"生物学的標本におけるクレアチニンに対する尿酸塩の相対測定値 (比率またはパーセンテージ)。")</f>
        <v>生物学的標本におけるクレアチニンに対する尿酸塩の相対測定値 (比率またはパーセンテージ)。</v>
      </c>
      <c r="I5265" s="3" t="str">
        <f ca="1">IFERROR(__xludf.DUMMYFUNCTION("googletranslate(F5265,""en"",""ja"")"),"尿酸対クレアチニン比の測定")</f>
        <v>尿酸対クレアチニン比の測定</v>
      </c>
    </row>
    <row r="5266" spans="1:9" ht="45">
      <c r="A5266" s="3" t="s">
        <v>6</v>
      </c>
      <c r="B5266" s="3" t="s">
        <v>21800</v>
      </c>
      <c r="C5266" s="3" t="s">
        <v>21801</v>
      </c>
      <c r="D5266" s="3" t="s">
        <v>21801</v>
      </c>
      <c r="E5266" s="3" t="s">
        <v>21802</v>
      </c>
      <c r="F5266" s="3" t="s">
        <v>21801</v>
      </c>
      <c r="G5266" s="3" t="str">
        <f ca="1">IFERROR(__xludf.DUMMYFUNCTION("googletranslate(D5266,""en"",""ja"")"),"尿酸排泄率")</f>
        <v>尿酸排泄率</v>
      </c>
      <c r="H5266" s="3" t="str">
        <f ca="1">IFERROR(__xludf.DUMMYFUNCTION("googletranslate(E5266,""en"",""ja"")"),"規定の時間 (例: 1 時間) にわたって生物学的検体中に排泄される尿酸塩の量の測定。")</f>
        <v>規定の時間 (例: 1 時間) にわたって生物学的検体中に排泄される尿酸塩の量の測定。</v>
      </c>
      <c r="I5266" s="3" t="str">
        <f ca="1">IFERROR(__xludf.DUMMYFUNCTION("googletranslate(F5266,""en"",""ja"")"),"尿酸排泄率")</f>
        <v>尿酸排泄率</v>
      </c>
    </row>
    <row r="5267" spans="1:9">
      <c r="A5267" s="3" t="s">
        <v>6</v>
      </c>
      <c r="B5267" s="3" t="s">
        <v>21803</v>
      </c>
      <c r="C5267" s="3" t="s">
        <v>21804</v>
      </c>
      <c r="D5267" s="3" t="s">
        <v>21804</v>
      </c>
      <c r="E5267" s="3" t="s">
        <v>21805</v>
      </c>
      <c r="F5267" s="3" t="s">
        <v>21806</v>
      </c>
      <c r="G5267" s="3" t="str">
        <f ca="1">IFERROR(__xludf.DUMMYFUNCTION("googletranslate(D5267,""en"",""ja"")"),"尿素")</f>
        <v>尿素</v>
      </c>
      <c r="H5267" s="3" t="str">
        <f ca="1">IFERROR(__xludf.DUMMYFUNCTION("googletranslate(E5267,""en"",""ja"")"),"生物学的標本中の尿素の測定。")</f>
        <v>生物学的標本中の尿素の測定。</v>
      </c>
      <c r="I5267" s="3" t="str">
        <f ca="1">IFERROR(__xludf.DUMMYFUNCTION("googletranslate(F5267,""en"",""ja"")"),"尿素測定")</f>
        <v>尿素測定</v>
      </c>
    </row>
    <row r="5268" spans="1:9" ht="30">
      <c r="A5268" s="3" t="s">
        <v>6</v>
      </c>
      <c r="B5268" s="3" t="s">
        <v>21807</v>
      </c>
      <c r="C5268" s="3" t="s">
        <v>21808</v>
      </c>
      <c r="D5268" s="3" t="s">
        <v>21808</v>
      </c>
      <c r="E5268" s="3" t="s">
        <v>21809</v>
      </c>
      <c r="F5268" s="3" t="s">
        <v>21810</v>
      </c>
      <c r="G5268" s="3" t="str">
        <f ca="1">IFERROR(__xludf.DUMMYFUNCTION("googletranslate(D5268,""en"",""ja"")"),"尿素/クレアチニン")</f>
        <v>尿素/クレアチニン</v>
      </c>
      <c r="H5268" s="3" t="str">
        <f ca="1">IFERROR(__xludf.DUMMYFUNCTION("googletranslate(E5268,""en"",""ja"")"),"生物学的標本中の尿素とクレアチニンの相対測定値 (比率またはパーセンテージ)。")</f>
        <v>生物学的標本中の尿素とクレアチニンの相対測定値 (比率またはパーセンテージ)。</v>
      </c>
      <c r="I5268" s="3" t="str">
        <f ca="1">IFERROR(__xludf.DUMMYFUNCTION("googletranslate(F5268,""en"",""ja"")"),"尿素とクレアチニンの比率の測定")</f>
        <v>尿素とクレアチニンの比率の測定</v>
      </c>
    </row>
    <row r="5269" spans="1:9" ht="30">
      <c r="A5269" s="3" t="s">
        <v>6</v>
      </c>
      <c r="B5269" s="3" t="s">
        <v>21811</v>
      </c>
      <c r="C5269" s="3" t="s">
        <v>21812</v>
      </c>
      <c r="D5269" s="3" t="s">
        <v>21812</v>
      </c>
      <c r="E5269" s="3" t="s">
        <v>21813</v>
      </c>
      <c r="F5269" s="3" t="s">
        <v>21812</v>
      </c>
      <c r="G5269" s="3" t="str">
        <f ca="1">IFERROR(__xludf.DUMMYFUNCTION("googletranslate(D5269,""en"",""ja"")"),"尿素排泄率")</f>
        <v>尿素排泄率</v>
      </c>
      <c r="H5269" s="3" t="str">
        <f ca="1">IFERROR(__xludf.DUMMYFUNCTION("googletranslate(E5269,""en"",""ja"")"),"定義された期間（たとえば、1 時間）にわたって生物学的標本中に排泄された尿素の量の測定。")</f>
        <v>定義された期間（たとえば、1 時間）にわたって生物学的標本中に排泄された尿素の量の測定。</v>
      </c>
      <c r="I5269" s="3" t="str">
        <f ca="1">IFERROR(__xludf.DUMMYFUNCTION("googletranslate(F5269,""en"",""ja"")"),"尿素排泄率")</f>
        <v>尿素排泄率</v>
      </c>
    </row>
    <row r="5270" spans="1:9" ht="45">
      <c r="A5270" s="3" t="s">
        <v>6</v>
      </c>
      <c r="B5270" s="3" t="s">
        <v>21814</v>
      </c>
      <c r="C5270" s="3" t="s">
        <v>21815</v>
      </c>
      <c r="D5270" s="3" t="s">
        <v>21816</v>
      </c>
      <c r="E5270" s="3" t="s">
        <v>21817</v>
      </c>
      <c r="F5270" s="3" t="s">
        <v>21815</v>
      </c>
      <c r="G5270" s="3" t="str">
        <f ca="1">IFERROR(__xludf.DUMMYFUNCTION("googletranslate(D5270,""en"",""ja"")"),"尿素分配体積比;尿素 Kt/V")</f>
        <v>尿素分配体積比;尿素 Kt/V</v>
      </c>
      <c r="H5270" s="3" t="str">
        <f ca="1">IFERROR(__xludf.DUMMYFUNCTION("googletranslate(E5270,""en"",""ja"")"),"透析治療の適切性を定量化するために使用される、生体試料中の尿素分布体積 (比率) の計算された測定値。")</f>
        <v>透析治療の適切性を定量化するために使用される、生体試料中の尿素分布体積 (比率) の計算された測定値。</v>
      </c>
      <c r="I5270" s="3" t="str">
        <f ca="1">IFERROR(__xludf.DUMMYFUNCTION("googletranslate(F5270,""en"",""ja"")"),"尿素分配量比率")</f>
        <v>尿素分配量比率</v>
      </c>
    </row>
    <row r="5271" spans="1:9">
      <c r="A5271" s="3" t="s">
        <v>6</v>
      </c>
      <c r="B5271" s="3" t="s">
        <v>21818</v>
      </c>
      <c r="C5271" s="3" t="s">
        <v>21819</v>
      </c>
      <c r="D5271" s="3" t="s">
        <v>21819</v>
      </c>
      <c r="E5271" s="3" t="s">
        <v>21820</v>
      </c>
      <c r="F5271" s="3" t="s">
        <v>21821</v>
      </c>
      <c r="G5271" s="3" t="str">
        <f ca="1">IFERROR(__xludf.DUMMYFUNCTION("googletranslate(D5271,""en"",""ja"")"),"尿素窒素")</f>
        <v>尿素窒素</v>
      </c>
      <c r="H5271" s="3" t="str">
        <f ca="1">IFERROR(__xludf.DUMMYFUNCTION("googletranslate(E5271,""en"",""ja"")"),"生物学的標本中の尿素窒素の測定。")</f>
        <v>生物学的標本中の尿素窒素の測定。</v>
      </c>
      <c r="I5271" s="3" t="str">
        <f ca="1">IFERROR(__xludf.DUMMYFUNCTION("googletranslate(F5271,""en"",""ja"")"),"尿素窒素測定")</f>
        <v>尿素窒素測定</v>
      </c>
    </row>
    <row r="5272" spans="1:9" ht="30">
      <c r="A5272" s="3" t="s">
        <v>6</v>
      </c>
      <c r="B5272" s="3" t="s">
        <v>21822</v>
      </c>
      <c r="C5272" s="3" t="s">
        <v>21823</v>
      </c>
      <c r="D5272" s="3" t="s">
        <v>21823</v>
      </c>
      <c r="E5272" s="3" t="s">
        <v>21824</v>
      </c>
      <c r="F5272" s="3" t="s">
        <v>21825</v>
      </c>
      <c r="G5272" s="3" t="str">
        <f ca="1">IFERROR(__xludf.DUMMYFUNCTION("googletranslate(D5272,""en"",""ja"")"),"尿素窒素・クレアチニン")</f>
        <v>尿素窒素・クレアチニン</v>
      </c>
      <c r="H5272" s="3" t="str">
        <f ca="1">IFERROR(__xludf.DUMMYFUNCTION("googletranslate(E5272,""en"",""ja"")"),"生物学的標本中のクレアチニンに対する尿素窒素の相対測定値 (比率またはパーセンテージ)。")</f>
        <v>生物学的標本中のクレアチニンに対する尿素窒素の相対測定値 (比率またはパーセンテージ)。</v>
      </c>
      <c r="I5272" s="3" t="str">
        <f ca="1">IFERROR(__xludf.DUMMYFUNCTION("googletranslate(F5272,""en"",""ja"")"),"尿素窒素とクレアチニンの比の測定")</f>
        <v>尿素窒素とクレアチニンの比の測定</v>
      </c>
    </row>
    <row r="5273" spans="1:9" ht="45">
      <c r="A5273" s="3" t="s">
        <v>6</v>
      </c>
      <c r="B5273" s="3" t="s">
        <v>21826</v>
      </c>
      <c r="C5273" s="3" t="s">
        <v>21827</v>
      </c>
      <c r="D5273" s="3" t="s">
        <v>21827</v>
      </c>
      <c r="E5273" s="3" t="s">
        <v>21828</v>
      </c>
      <c r="F5273" s="3" t="s">
        <v>21827</v>
      </c>
      <c r="G5273" s="3" t="str">
        <f ca="1">IFERROR(__xludf.DUMMYFUNCTION("googletranslate(D5273,""en"",""ja"")"),"尿素窒素排泄率")</f>
        <v>尿素窒素排泄率</v>
      </c>
      <c r="H5273" s="3" t="str">
        <f ca="1">IFERROR(__xludf.DUMMYFUNCTION("googletranslate(E5273,""en"",""ja"")"),"規定の時間 (例: 1 時間) にわたって生物学的標本中に排泄される尿素窒素の量の測定。")</f>
        <v>規定の時間 (例: 1 時間) にわたって生物学的標本中に排泄される尿素窒素の量の測定。</v>
      </c>
      <c r="I5273" s="3" t="str">
        <f ca="1">IFERROR(__xludf.DUMMYFUNCTION("googletranslate(F5273,""en"",""ja"")"),"尿素窒素排泄率")</f>
        <v>尿素窒素排泄率</v>
      </c>
    </row>
    <row r="5274" spans="1:9" ht="30">
      <c r="A5274" s="3" t="s">
        <v>67</v>
      </c>
      <c r="B5274" s="3" t="s">
        <v>21829</v>
      </c>
      <c r="C5274" s="3" t="s">
        <v>21830</v>
      </c>
      <c r="D5274" s="3" t="s">
        <v>21830</v>
      </c>
      <c r="E5274" s="3" t="s">
        <v>21831</v>
      </c>
      <c r="F5274" s="3" t="s">
        <v>21832</v>
      </c>
      <c r="G5274" s="3" t="str">
        <f ca="1">IFERROR(__xludf.DUMMYFUNCTION("googletranslate(D5274,""en"",""ja"")"),"ウレアーゼ")</f>
        <v>ウレアーゼ</v>
      </c>
      <c r="H5274" s="3" t="str">
        <f ca="1">IFERROR(__xludf.DUMMYFUNCTION("googletranslate(E5274,""en"",""ja"")"),"生物学的標本中の微生物ウレアーゼ酵素の測定。")</f>
        <v>生物学的標本中の微生物ウレアーゼ酵素の測定。</v>
      </c>
      <c r="I5274" s="3" t="str">
        <f ca="1">IFERROR(__xludf.DUMMYFUNCTION("googletranslate(F5274,""en"",""ja"")"),"ウレアーゼの測定")</f>
        <v>ウレアーゼの測定</v>
      </c>
    </row>
    <row r="5275" spans="1:9" ht="60">
      <c r="A5275" s="3" t="s">
        <v>6</v>
      </c>
      <c r="B5275" s="3" t="s">
        <v>21833</v>
      </c>
      <c r="C5275" s="3" t="s">
        <v>21834</v>
      </c>
      <c r="D5275" s="3" t="s">
        <v>21835</v>
      </c>
      <c r="E5275" s="3" t="s">
        <v>21836</v>
      </c>
      <c r="F5275" s="3" t="s">
        <v>21834</v>
      </c>
      <c r="G5275" s="3" t="str">
        <f ca="1">IFERROR(__xludf.DUMMYFUNCTION("googletranslate(D5275,""en"",""ja"")"),"尿検査パネルの解釈;尿パネル分析;尿パネル検査;尿パネルの解釈")</f>
        <v>尿検査パネルの解釈;尿パネル分析;尿パネル検査;尿パネルの解釈</v>
      </c>
      <c r="H5275" s="3" t="str">
        <f ca="1">IFERROR(__xludf.DUMMYFUNCTION("googletranslate(E5275,""en"",""ja"")"),"尿検査のパネルの結果の解釈。")</f>
        <v>尿検査のパネルの結果の解釈。</v>
      </c>
      <c r="I5275" s="3" t="str">
        <f ca="1">IFERROR(__xludf.DUMMYFUNCTION("googletranslate(F5275,""en"",""ja"")"),"尿検査パネルの解釈")</f>
        <v>尿検査パネルの解釈</v>
      </c>
    </row>
    <row r="5276" spans="1:9">
      <c r="A5276" s="3" t="s">
        <v>6</v>
      </c>
      <c r="B5276" s="3" t="s">
        <v>21837</v>
      </c>
      <c r="C5276" s="3" t="s">
        <v>21838</v>
      </c>
      <c r="D5276" s="3" t="s">
        <v>21838</v>
      </c>
      <c r="E5276" s="3" t="s">
        <v>21839</v>
      </c>
      <c r="F5276" s="3" t="s">
        <v>21840</v>
      </c>
      <c r="G5276" s="3" t="str">
        <f ca="1">IFERROR(__xludf.DUMMYFUNCTION("googletranslate(D5276,""en"",""ja"")"),"ウロビリノーゲン")</f>
        <v>ウロビリノーゲン</v>
      </c>
      <c r="H5276" s="3" t="str">
        <f ca="1">IFERROR(__xludf.DUMMYFUNCTION("googletranslate(E5276,""en"",""ja"")"),"生物学的標本中のウロビリノーゲンの測定。")</f>
        <v>生物学的標本中のウロビリノーゲンの測定。</v>
      </c>
      <c r="I5276" s="3" t="str">
        <f ca="1">IFERROR(__xludf.DUMMYFUNCTION("googletranslate(F5276,""en"",""ja"")"),"ウロビリノーゲンの測定")</f>
        <v>ウロビリノーゲンの測定</v>
      </c>
    </row>
    <row r="5277" spans="1:9">
      <c r="A5277" s="3" t="s">
        <v>6</v>
      </c>
      <c r="B5277" s="3" t="s">
        <v>21841</v>
      </c>
      <c r="C5277" s="3" t="s">
        <v>21842</v>
      </c>
      <c r="D5277" s="3" t="s">
        <v>21842</v>
      </c>
      <c r="E5277" s="3" t="s">
        <v>21843</v>
      </c>
      <c r="F5277" s="3" t="s">
        <v>21844</v>
      </c>
      <c r="G5277" s="3" t="str">
        <f ca="1">IFERROR(__xludf.DUMMYFUNCTION("googletranslate(D5277,""en"",""ja"")"),"尿路上皮細胞")</f>
        <v>尿路上皮細胞</v>
      </c>
      <c r="H5277" s="3" t="str">
        <f ca="1">IFERROR(__xludf.DUMMYFUNCTION("googletranslate(E5277,""en"",""ja"")"),"生物学的標本中の尿路上皮細胞の測定。")</f>
        <v>生物学的標本中の尿路上皮細胞の測定。</v>
      </c>
      <c r="I5277" s="3" t="str">
        <f ca="1">IFERROR(__xludf.DUMMYFUNCTION("googletranslate(F5277,""en"",""ja"")"),"尿路上皮細胞数")</f>
        <v>尿路上皮細胞数</v>
      </c>
    </row>
    <row r="5278" spans="1:9" ht="45">
      <c r="A5278" s="3" t="s">
        <v>6</v>
      </c>
      <c r="B5278" s="3" t="s">
        <v>21845</v>
      </c>
      <c r="C5278" s="3" t="s">
        <v>21846</v>
      </c>
      <c r="D5278" s="3" t="s">
        <v>21846</v>
      </c>
      <c r="E5278" s="3" t="s">
        <v>21847</v>
      </c>
      <c r="F5278" s="3" t="s">
        <v>21846</v>
      </c>
      <c r="G5278" s="3" t="str">
        <f ca="1">IFERROR(__xludf.DUMMYFUNCTION("googletranslate(D5278,""en"",""ja"")"),"尿素削減率")</f>
        <v>尿素削減率</v>
      </c>
      <c r="H5278" s="3" t="str">
        <f ca="1">IFERROR(__xludf.DUMMYFUNCTION("googletranslate(E5278,""en"",""ja"")"),"生物学的標本における透析の過程での尿素窒素の比例的な減少の計算された測定値 (比率またはパーセンテージ)。")</f>
        <v>生物学的標本における透析の過程での尿素窒素の比例的な減少の計算された測定値 (比率またはパーセンテージ)。</v>
      </c>
      <c r="I5278" s="3" t="str">
        <f ca="1">IFERROR(__xludf.DUMMYFUNCTION("googletranslate(F5278,""en"",""ja"")"),"尿素削減率")</f>
        <v>尿素削減率</v>
      </c>
    </row>
    <row r="5279" spans="1:9" ht="30">
      <c r="A5279" s="3" t="s">
        <v>1255</v>
      </c>
      <c r="B5279" s="3" t="s">
        <v>21848</v>
      </c>
      <c r="C5279" s="3" t="s">
        <v>21849</v>
      </c>
      <c r="D5279" s="3" t="s">
        <v>21849</v>
      </c>
      <c r="E5279" s="3" t="s">
        <v>21850</v>
      </c>
      <c r="F5279" s="3" t="s">
        <v>21849</v>
      </c>
      <c r="G5279" s="3" t="str">
        <f ca="1">IFERROR(__xludf.DUMMYFUNCTION("googletranslate(D5279,""en"",""ja"")"),"抑制されていない水の平均数")</f>
        <v>抑制されていない水の平均数</v>
      </c>
      <c r="H5279" s="3" t="str">
        <f ca="1">IFERROR(__xludf.DUMMYFUNCTION("googletranslate(E5279,""en"",""ja"")"),"イメージング中にキャプチャされた、抑制されていない水のスペクトル信号の平均の数。")</f>
        <v>イメージング中にキャプチャされた、抑制されていない水のスペクトル信号の平均の数。</v>
      </c>
      <c r="I5279" s="3" t="str">
        <f ca="1">IFERROR(__xludf.DUMMYFUNCTION("googletranslate(F5279,""en"",""ja"")"),"抑制されていない水の平均数")</f>
        <v>抑制されていない水の平均数</v>
      </c>
    </row>
    <row r="5280" spans="1:9" ht="30">
      <c r="A5280" s="3" t="s">
        <v>67</v>
      </c>
      <c r="B5280" s="3" t="s">
        <v>21851</v>
      </c>
      <c r="C5280" s="3" t="s">
        <v>21852</v>
      </c>
      <c r="D5280" s="3" t="s">
        <v>21852</v>
      </c>
      <c r="E5280" s="3" t="s">
        <v>21853</v>
      </c>
      <c r="F5280" s="3" t="s">
        <v>21854</v>
      </c>
      <c r="G5280" s="3" t="str">
        <f ca="1">IFERROR(__xludf.DUMMYFUNCTION("googletranslate(D5280,""en"",""ja"")"),"ウレアプラズマ・ウレアリティクム")</f>
        <v>ウレアプラズマ・ウレアリティクム</v>
      </c>
      <c r="H5280" s="3" t="str">
        <f ca="1">IFERROR(__xludf.DUMMYFUNCTION("googletranslate(E5280,""en"",""ja"")"),"生物学的標本中のウレアプラズマ ウレアリティクムの測定。")</f>
        <v>生物学的標本中のウレアプラズマ ウレアリティクムの測定。</v>
      </c>
      <c r="I5280" s="3" t="str">
        <f ca="1">IFERROR(__xludf.DUMMYFUNCTION("googletranslate(F5280,""en"",""ja"")"),"ウレアプラズマ・ウレアリティクムの測定")</f>
        <v>ウレアプラズマ・ウレアリティクムの測定</v>
      </c>
    </row>
    <row r="5281" spans="1:9" ht="30">
      <c r="A5281" s="3" t="s">
        <v>67</v>
      </c>
      <c r="B5281" s="3" t="s">
        <v>21855</v>
      </c>
      <c r="C5281" s="3" t="s">
        <v>21856</v>
      </c>
      <c r="D5281" s="3" t="s">
        <v>21856</v>
      </c>
      <c r="E5281" s="3" t="s">
        <v>21857</v>
      </c>
      <c r="F5281" s="3" t="s">
        <v>21858</v>
      </c>
      <c r="G5281" s="3" t="str">
        <f ca="1">IFERROR(__xludf.DUMMYFUNCTION("googletranslate(D5281,""en"",""ja"")"),"ウレアプラズマ・ウレアリティクム DNA")</f>
        <v>ウレアプラズマ・ウレアリティクム DNA</v>
      </c>
      <c r="H5281" s="3" t="str">
        <f ca="1">IFERROR(__xludf.DUMMYFUNCTION("googletranslate(E5281,""en"",""ja"")"),"生物学的標本中のウレアプラズマ ウレアリティクム DNA の測定。")</f>
        <v>生物学的標本中のウレアプラズマ ウレアリティクム DNA の測定。</v>
      </c>
      <c r="I5281" s="3" t="str">
        <f ca="1">IFERROR(__xludf.DUMMYFUNCTION("googletranslate(F5281,""en"",""ja"")"),"ウレアプラズマ ウレアリティクム DNA 測定")</f>
        <v>ウレアプラズマ ウレアリティクム DNA 測定</v>
      </c>
    </row>
    <row r="5282" spans="1:9" ht="60">
      <c r="A5282" s="3" t="s">
        <v>6</v>
      </c>
      <c r="B5282" s="3" t="s">
        <v>21859</v>
      </c>
      <c r="C5282" s="3" t="s">
        <v>21860</v>
      </c>
      <c r="D5282" s="3" t="s">
        <v>21861</v>
      </c>
      <c r="E5282" s="3" t="s">
        <v>21862</v>
      </c>
      <c r="F5282" s="3" t="s">
        <v>21863</v>
      </c>
      <c r="G5282" s="3" t="str">
        <f ca="1">IFERROR(__xludf.DUMMYFUNCTION("googletranslate(D5282,""en"",""ja"")"),"25-ヒドロキシカルシフェロール; 25-ヒドロキシエルゴカルシフェロール; 25-ヒドロキシビタミンD2;エルカルシジオール")</f>
        <v>25-ヒドロキシカルシフェロール; 25-ヒドロキシエルゴカルシフェロール; 25-ヒドロキシビタミンD2;エルカルシジオール</v>
      </c>
      <c r="H5282" s="3" t="str">
        <f ca="1">IFERROR(__xludf.DUMMYFUNCTION("googletranslate(E5282,""en"",""ja"")"),"生物学的標本中の 25-ヒドロキシビタミン D2 の測定。")</f>
        <v>生物学的標本中の 25-ヒドロキシビタミン D2 の測定。</v>
      </c>
      <c r="I5282" s="3" t="str">
        <f ca="1">IFERROR(__xludf.DUMMYFUNCTION("googletranslate(F5282,""en"",""ja"")"),"25-ヒドロキシビタミンD2の測定")</f>
        <v>25-ヒドロキシビタミンD2の測定</v>
      </c>
    </row>
    <row r="5283" spans="1:9" ht="75">
      <c r="A5283" s="3" t="s">
        <v>6</v>
      </c>
      <c r="B5283" s="3" t="s">
        <v>21864</v>
      </c>
      <c r="C5283" s="3" t="s">
        <v>21865</v>
      </c>
      <c r="D5283" s="3" t="s">
        <v>21866</v>
      </c>
      <c r="E5283" s="3" t="s">
        <v>21867</v>
      </c>
      <c r="F5283" s="3" t="s">
        <v>21868</v>
      </c>
      <c r="G5283" s="3" t="str">
        <f ca="1">IFERROR(__xludf.DUMMYFUNCTION("googletranslate(D5283,""en"",""ja"")"),"25-ヒドロキシコレカルシフェロール; 25-ヒドロキシビタミンD; 25-ヒドロキシビタミンD3;カルシジオール;カルシフェジオール;不活性型ビタミンD")</f>
        <v>25-ヒドロキシコレカルシフェロール; 25-ヒドロキシビタミンD; 25-ヒドロキシビタミンD3;カルシジオール;カルシフェジオール;不活性型ビタミンD</v>
      </c>
      <c r="H5283" s="3" t="str">
        <f ca="1">IFERROR(__xludf.DUMMYFUNCTION("googletranslate(E5283,""en"",""ja"")"),"生物学的標本中の 25-ヒドロキシビタミン D3 の測定。")</f>
        <v>生物学的標本中の 25-ヒドロキシビタミン D3 の測定。</v>
      </c>
      <c r="I5283" s="3" t="str">
        <f ca="1">IFERROR(__xludf.DUMMYFUNCTION("googletranslate(F5283,""en"",""ja"")"),"25-ヒドロキシビタミンD3の測定")</f>
        <v>25-ヒドロキシビタミンD3の測定</v>
      </c>
    </row>
    <row r="5284" spans="1:9">
      <c r="A5284" s="3" t="s">
        <v>67</v>
      </c>
      <c r="B5284" s="3" t="s">
        <v>21869</v>
      </c>
      <c r="C5284" s="3" t="s">
        <v>21870</v>
      </c>
      <c r="D5284" s="3" t="s">
        <v>21870</v>
      </c>
      <c r="E5284" s="3" t="s">
        <v>21871</v>
      </c>
      <c r="F5284" s="3" t="s">
        <v>21872</v>
      </c>
      <c r="G5284" s="3" t="str">
        <f ca="1">IFERROR(__xludf.DUMMYFUNCTION("googletranslate(D5284,""en"",""ja"")"),"ワクシニアウイルス")</f>
        <v>ワクシニアウイルス</v>
      </c>
      <c r="H5284" s="3" t="str">
        <f ca="1">IFERROR(__xludf.DUMMYFUNCTION("googletranslate(E5284,""en"",""ja"")"),"生物学的標本中のワクシニアウイルスの測定。")</f>
        <v>生物学的標本中のワクシニアウイルスの測定。</v>
      </c>
      <c r="I5284" s="3" t="str">
        <f ca="1">IFERROR(__xludf.DUMMYFUNCTION("googletranslate(F5284,""en"",""ja"")"),"ワクシニアウイルス測定")</f>
        <v>ワクシニアウイルス測定</v>
      </c>
    </row>
    <row r="5285" spans="1:9" ht="30">
      <c r="A5285" s="3" t="s">
        <v>1557</v>
      </c>
      <c r="B5285" s="3" t="s">
        <v>21873</v>
      </c>
      <c r="C5285" s="3" t="s">
        <v>21874</v>
      </c>
      <c r="D5285" s="3" t="s">
        <v>21874</v>
      </c>
      <c r="E5285" s="3" t="s">
        <v>21875</v>
      </c>
      <c r="F5285" s="3" t="s">
        <v>21876</v>
      </c>
      <c r="G5285" s="3" t="str">
        <f ca="1">IFERROR(__xludf.DUMMYFUNCTION("googletranslate(D5285,""en"",""ja"")"),"視力カードの格子周波数")</f>
        <v>視力カードの格子周波数</v>
      </c>
      <c r="H5285" s="3" t="str">
        <f ca="1">IFERROR(__xludf.DUMMYFUNCTION("googletranslate(E5285,""en"",""ja"")"),"視力カード上の事前に決定された長さ単位内の水平線または垂直線の数の測定値。")</f>
        <v>視力カード上の事前に決定された長さ単位内の水平線または垂直線の数の測定値。</v>
      </c>
      <c r="I5285" s="3" t="str">
        <f ca="1">IFERROR(__xludf.DUMMYFUNCTION("googletranslate(F5285,""en"",""ja"")"),"Acuity カードの格子周波数")</f>
        <v>Acuity カードの格子周波数</v>
      </c>
    </row>
    <row r="5286" spans="1:9" ht="30">
      <c r="A5286" s="3" t="s">
        <v>142</v>
      </c>
      <c r="B5286" s="3" t="s">
        <v>21877</v>
      </c>
      <c r="C5286" s="3" t="s">
        <v>21878</v>
      </c>
      <c r="D5286" s="3" t="s">
        <v>21878</v>
      </c>
      <c r="E5286" s="3" t="s">
        <v>21879</v>
      </c>
      <c r="F5286" s="3" t="s">
        <v>21878</v>
      </c>
      <c r="G5286" s="3" t="str">
        <f ca="1">IFERROR(__xludf.DUMMYFUNCTION("googletranslate(D5286,""en"",""ja"")"),"経膣分娩の数")</f>
        <v>経膣分娩の数</v>
      </c>
      <c r="H5286" s="3" t="str">
        <f ca="1">IFERROR(__xludf.DUMMYFUNCTION("googletranslate(E5286,""en"",""ja"")"),"個人が経験した経膣分娩イベントの総数の測定値。")</f>
        <v>個人が経験した経膣分娩イベントの総数の測定値。</v>
      </c>
      <c r="I5286" s="3" t="str">
        <f ca="1">IFERROR(__xludf.DUMMYFUNCTION("googletranslate(F5286,""en"",""ja"")"),"経膣分娩の数")</f>
        <v>経膣分娩の数</v>
      </c>
    </row>
    <row r="5287" spans="1:9">
      <c r="A5287" s="3" t="s">
        <v>6</v>
      </c>
      <c r="B5287" s="3" t="s">
        <v>21880</v>
      </c>
      <c r="C5287" s="3" t="s">
        <v>21881</v>
      </c>
      <c r="D5287" s="3" t="s">
        <v>21881</v>
      </c>
      <c r="E5287" s="3" t="s">
        <v>21882</v>
      </c>
      <c r="F5287" s="3" t="s">
        <v>21883</v>
      </c>
      <c r="G5287" s="3" t="str">
        <f ca="1">IFERROR(__xludf.DUMMYFUNCTION("googletranslate(D5287,""en"",""ja"")"),"バリン")</f>
        <v>バリン</v>
      </c>
      <c r="H5287" s="3" t="str">
        <f ca="1">IFERROR(__xludf.DUMMYFUNCTION("googletranslate(E5287,""en"",""ja"")"),"生物学的標本中のバリンの測定。")</f>
        <v>生物学的標本中のバリンの測定。</v>
      </c>
      <c r="I5287" s="3" t="str">
        <f ca="1">IFERROR(__xludf.DUMMYFUNCTION("googletranslate(F5287,""en"",""ja"")"),"バリンの測定")</f>
        <v>バリンの測定</v>
      </c>
    </row>
    <row r="5288" spans="1:9">
      <c r="A5288" s="3" t="s">
        <v>6</v>
      </c>
      <c r="B5288" s="3" t="s">
        <v>21884</v>
      </c>
      <c r="C5288" s="3" t="s">
        <v>21885</v>
      </c>
      <c r="D5288" s="3" t="s">
        <v>21886</v>
      </c>
      <c r="E5288" s="3" t="s">
        <v>21887</v>
      </c>
      <c r="F5288" s="3" t="s">
        <v>21888</v>
      </c>
      <c r="G5288" s="3" t="str">
        <f ca="1">IFERROR(__xludf.DUMMYFUNCTION("googletranslate(D5288,""en"",""ja"")"),"バルプロ酸;バルプロ酸")</f>
        <v>バルプロ酸;バルプロ酸</v>
      </c>
      <c r="H5288" s="3" t="str">
        <f ca="1">IFERROR(__xludf.DUMMYFUNCTION("googletranslate(E5288,""en"",""ja"")"),"生物学的標本中のバルプロ酸の測定。")</f>
        <v>生物学的標本中のバルプロ酸の測定。</v>
      </c>
      <c r="I5288" s="3" t="str">
        <f ca="1">IFERROR(__xludf.DUMMYFUNCTION("googletranslate(F5288,""en"",""ja"")"),"バルプロ酸の測定")</f>
        <v>バルプロ酸の測定</v>
      </c>
    </row>
    <row r="5289" spans="1:9" ht="30">
      <c r="A5289" s="3" t="s">
        <v>6</v>
      </c>
      <c r="B5289" s="3" t="s">
        <v>21889</v>
      </c>
      <c r="C5289" s="3" t="s">
        <v>21890</v>
      </c>
      <c r="D5289" s="3" t="s">
        <v>21890</v>
      </c>
      <c r="E5289" s="3" t="s">
        <v>21891</v>
      </c>
      <c r="F5289" s="3" t="s">
        <v>21892</v>
      </c>
      <c r="G5289" s="3" t="str">
        <f ca="1">IFERROR(__xludf.DUMMYFUNCTION("googletranslate(D5289,""en"",""ja"")"),"VLDL アポリポタンパク質 B")</f>
        <v>VLDL アポリポタンパク質 B</v>
      </c>
      <c r="H5289" s="3" t="str">
        <f ca="1">IFERROR(__xludf.DUMMYFUNCTION("googletranslate(E5289,""en"",""ja"")"),"生物学的標本の超低密度リポタンパク質画分に含まれるアポリポタンパク質 B の測定。")</f>
        <v>生物学的標本の超低密度リポタンパク質画分に含まれるアポリポタンパク質 B の測定。</v>
      </c>
      <c r="I5289" s="3" t="str">
        <f ca="1">IFERROR(__xludf.DUMMYFUNCTION("googletranslate(F5289,""en"",""ja"")"),"VLDL アポリポタンパク質 B の測定")</f>
        <v>VLDL アポリポタンパク質 B の測定</v>
      </c>
    </row>
    <row r="5290" spans="1:9">
      <c r="A5290" s="3" t="s">
        <v>81</v>
      </c>
      <c r="B5290" s="3" t="s">
        <v>21893</v>
      </c>
      <c r="C5290" s="3" t="s">
        <v>21894</v>
      </c>
      <c r="D5290" s="3" t="s">
        <v>21894</v>
      </c>
      <c r="E5290" s="3" t="s">
        <v>21895</v>
      </c>
      <c r="F5290" s="3" t="s">
        <v>21894</v>
      </c>
      <c r="G5290" s="3" t="str">
        <f ca="1">IFERROR(__xludf.DUMMYFUNCTION("googletranslate(D5290,""en"",""ja"")"),"バルブ面積指数")</f>
        <v>バルブ面積指数</v>
      </c>
      <c r="H5290" s="3" t="str">
        <f ca="1">IFERROR(__xludf.DUMMYFUNCTION("googletranslate(E5290,""en"",""ja"")"),"弁面積と本体表面積の比率。")</f>
        <v>弁面積と本体表面積の比率。</v>
      </c>
      <c r="I5290" s="3" t="str">
        <f ca="1">IFERROR(__xludf.DUMMYFUNCTION("googletranslate(F5290,""en"",""ja"")"),"バルブ面積指数")</f>
        <v>バルブ面積指数</v>
      </c>
    </row>
    <row r="5291" spans="1:9" ht="45">
      <c r="A5291" s="3" t="s">
        <v>5065</v>
      </c>
      <c r="B5291" s="3" t="s">
        <v>21896</v>
      </c>
      <c r="C5291" s="3" t="s">
        <v>21897</v>
      </c>
      <c r="D5291" s="3" t="s">
        <v>21897</v>
      </c>
      <c r="E5291" s="3" t="s">
        <v>21898</v>
      </c>
      <c r="F5291" s="3" t="s">
        <v>21899</v>
      </c>
      <c r="G5291" s="3" t="str">
        <f ca="1">IFERROR(__xludf.DUMMYFUNCTION("googletranslate(D5291,""en"",""ja"")"),"バリアントプロファイル")</f>
        <v>バリアントプロファイル</v>
      </c>
      <c r="H5291" s="3" t="str">
        <f ca="1">IFERROR(__xludf.DUMMYFUNCTION("googletranslate(E5291,""en"",""ja"")"),"正常または異常な生物学的プロセスに関連する 1 つから多数の遺伝子座の配列変異の独特なパターンの評価。")</f>
        <v>正常または異常な生物学的プロセスに関連する 1 つから多数の遺伝子座の配列変異の独特なパターンの評価。</v>
      </c>
      <c r="I5291" s="3" t="str">
        <f ca="1">IFERROR(__xludf.DUMMYFUNCTION("googletranslate(F5291,""en"",""ja"")"),"バリアントプロファイルの評価")</f>
        <v>バリアントプロファイルの評価</v>
      </c>
    </row>
    <row r="5292" spans="1:9">
      <c r="A5292" s="3" t="s">
        <v>6</v>
      </c>
      <c r="B5292" s="3" t="s">
        <v>21900</v>
      </c>
      <c r="C5292" s="3" t="s">
        <v>21901</v>
      </c>
      <c r="D5292" s="3" t="s">
        <v>21901</v>
      </c>
      <c r="E5292" s="3" t="s">
        <v>21902</v>
      </c>
      <c r="F5292" s="3" t="s">
        <v>21903</v>
      </c>
      <c r="G5292" s="3" t="str">
        <f ca="1">IFERROR(__xludf.DUMMYFUNCTION("googletranslate(D5292,""en"",""ja"")"),"生細胞")</f>
        <v>生細胞</v>
      </c>
      <c r="H5292" s="3" t="str">
        <f ca="1">IFERROR(__xludf.DUMMYFUNCTION("googletranslate(E5292,""en"",""ja"")"),"生物学的標本中の生細胞の測定。")</f>
        <v>生物学的標本中の生細胞の測定。</v>
      </c>
      <c r="I5292" s="3" t="str">
        <f ca="1">IFERROR(__xludf.DUMMYFUNCTION("googletranslate(F5292,""en"",""ja"")"),"生細胞数")</f>
        <v>生細胞数</v>
      </c>
    </row>
    <row r="5293" spans="1:9" ht="45">
      <c r="A5293" s="3" t="s">
        <v>33</v>
      </c>
      <c r="B5293" s="3" t="s">
        <v>21904</v>
      </c>
      <c r="C5293" s="3" t="s">
        <v>21905</v>
      </c>
      <c r="D5293" s="3" t="s">
        <v>21905</v>
      </c>
      <c r="E5293" s="3" t="s">
        <v>21906</v>
      </c>
      <c r="F5293" s="3" t="s">
        <v>21905</v>
      </c>
      <c r="G5293" s="3" t="str">
        <f ca="1">IFERROR(__xludf.DUMMYFUNCTION("googletranslate(D5293,""en"",""ja"")"),"サンプル生存率インジケーター")</f>
        <v>サンプル生存率インジケーター</v>
      </c>
      <c r="H5293" s="3" t="str">
        <f ca="1">IFERROR(__xludf.DUMMYFUNCTION("googletranslate(E5293,""en"",""ja"")"),"サンプルに生存可能な (生命または正常な成長および発達が可能な) 細胞または組織が含まれているかどうかを示します。")</f>
        <v>サンプルに生存可能な (生命または正常な成長および発達が可能な) 細胞または組織が含まれているかどうかを示します。</v>
      </c>
      <c r="I5293" s="3" t="str">
        <f ca="1">IFERROR(__xludf.DUMMYFUNCTION("googletranslate(F5293,""en"",""ja"")"),"サンプル生存率インジケーター")</f>
        <v>サンプル生存率インジケーター</v>
      </c>
    </row>
    <row r="5294" spans="1:9" ht="45">
      <c r="A5294" s="3" t="s">
        <v>33</v>
      </c>
      <c r="B5294" s="3" t="s">
        <v>21907</v>
      </c>
      <c r="C5294" s="3" t="s">
        <v>21908</v>
      </c>
      <c r="D5294" s="3" t="s">
        <v>21908</v>
      </c>
      <c r="E5294" s="3" t="s">
        <v>21909</v>
      </c>
      <c r="F5294" s="3" t="s">
        <v>21910</v>
      </c>
      <c r="G5294" s="3" t="str">
        <f ca="1">IFERROR(__xludf.DUMMYFUNCTION("googletranslate(D5294,""en"",""ja"")"),"サンプル生存率パーセント")</f>
        <v>サンプル生存率パーセント</v>
      </c>
      <c r="H5294" s="3" t="str">
        <f ca="1">IFERROR(__xludf.DUMMYFUNCTION("googletranslate(E5294,""en"",""ja"")"),"さらなる処理または試験のために生存可能な（生命または正常な成長および発育が可能な）サンプルのパーセントの測定値。")</f>
        <v>さらなる処理または試験のために生存可能な（生命または正常な成長および発育が可能な）サンプルのパーセントの測定値。</v>
      </c>
      <c r="I5294" s="3" t="str">
        <f ca="1">IFERROR(__xludf.DUMMYFUNCTION("googletranslate(F5294,""en"",""ja"")"),"サンプル生存率の測定")</f>
        <v>サンプル生存率の測定</v>
      </c>
    </row>
    <row r="5295" spans="1:9" ht="45">
      <c r="A5295" s="3" t="s">
        <v>142</v>
      </c>
      <c r="B5295" s="3" t="s">
        <v>21911</v>
      </c>
      <c r="C5295" s="3" t="s">
        <v>21912</v>
      </c>
      <c r="D5295" s="3" t="s">
        <v>21913</v>
      </c>
      <c r="E5295" s="3" t="s">
        <v>21914</v>
      </c>
      <c r="F5295" s="3" t="s">
        <v>21915</v>
      </c>
      <c r="G5295" s="3" t="str">
        <f ca="1">IFERROR(__xludf.DUMMYFUNCTION("googletranslate(D5295,""en"",""ja"")"),"膣出血/出血頻度の説明;膣出血/出血頻度の説明")</f>
        <v>膣出血/出血頻度の説明;膣出血/出血頻度の説明</v>
      </c>
      <c r="H5295" s="3" t="str">
        <f ca="1">IFERROR(__xludf.DUMMYFUNCTION("googletranslate(E5295,""en"",""ja"")"),"性器出血や斑点が発生した頻度の説明。")</f>
        <v>性器出血や斑点が発生した頻度の説明。</v>
      </c>
      <c r="I5295" s="3" t="str">
        <f ca="1">IFERROR(__xludf.DUMMYFUNCTION("googletranslate(F5295,""en"",""ja"")"),"膣出血および/またはスポッティングの頻度の説明")</f>
        <v>膣出血および/またはスポッティングの頻度の説明</v>
      </c>
    </row>
    <row r="5296" spans="1:9" ht="30">
      <c r="A5296" s="3" t="s">
        <v>6</v>
      </c>
      <c r="B5296" s="3" t="s">
        <v>21916</v>
      </c>
      <c r="C5296" s="3" t="s">
        <v>21917</v>
      </c>
      <c r="D5296" s="3" t="s">
        <v>21917</v>
      </c>
      <c r="E5296" s="3" t="s">
        <v>21918</v>
      </c>
      <c r="F5296" s="3" t="s">
        <v>21919</v>
      </c>
      <c r="G5296" s="3" t="str">
        <f ca="1">IFERROR(__xludf.DUMMYFUNCTION("googletranslate(D5296,""en"",""ja"")"),"血管細胞接着分子 1")</f>
        <v>血管細胞接着分子 1</v>
      </c>
      <c r="H5296" s="3" t="str">
        <f ca="1">IFERROR(__xludf.DUMMYFUNCTION("googletranslate(E5296,""en"",""ja"")"),"生体試料中の血管細胞接着分子 1 の測定。")</f>
        <v>生体試料中の血管細胞接着分子 1 の測定。</v>
      </c>
      <c r="I5296" s="3" t="str">
        <f ca="1">IFERROR(__xludf.DUMMYFUNCTION("googletranslate(F5296,""en"",""ja"")"),"血管細胞接着分子1の測定")</f>
        <v>血管細胞接着分子1の測定</v>
      </c>
    </row>
    <row r="5297" spans="1:9" ht="30">
      <c r="A5297" s="3" t="s">
        <v>103</v>
      </c>
      <c r="B5297" s="3" t="s">
        <v>21920</v>
      </c>
      <c r="C5297" s="3" t="s">
        <v>21921</v>
      </c>
      <c r="D5297" s="3" t="s">
        <v>21922</v>
      </c>
      <c r="E5297" s="3" t="s">
        <v>21923</v>
      </c>
      <c r="F5297" s="3" t="s">
        <v>21924</v>
      </c>
      <c r="G5297" s="3" t="str">
        <f ca="1">IFERROR(__xludf.DUMMYFUNCTION("googletranslate(D5297,""en"",""ja"")"),"細胞生存率 %;生細胞/全細胞;生細胞数/総細胞数")</f>
        <v>細胞生存率 %;生細胞/全細胞;生細胞数/総細胞数</v>
      </c>
      <c r="H5297" s="3" t="str">
        <f ca="1">IFERROR(__xludf.DUMMYFUNCTION("googletranslate(E5297,""en"",""ja"")"),"生物学的標本の全細胞に対する生存細胞の相対的な測定値 (比率またはパーセンテージ)。")</f>
        <v>生物学的標本の全細胞に対する生存細胞の相対的な測定値 (比率またはパーセンテージ)。</v>
      </c>
      <c r="I5297" s="3" t="str">
        <f ca="1">IFERROR(__xludf.DUMMYFUNCTION("googletranslate(F5297,""en"",""ja"")"),"生細胞対総細胞比の測定")</f>
        <v>生細胞対総細胞比の測定</v>
      </c>
    </row>
    <row r="5298" spans="1:9" ht="30">
      <c r="A5298" s="3" t="s">
        <v>67</v>
      </c>
      <c r="B5298" s="3" t="s">
        <v>21925</v>
      </c>
      <c r="C5298" s="3" t="s">
        <v>21926</v>
      </c>
      <c r="D5298" s="3" t="s">
        <v>21926</v>
      </c>
      <c r="E5298" s="3" t="s">
        <v>21927</v>
      </c>
      <c r="F5298" s="3" t="s">
        <v>21928</v>
      </c>
      <c r="G5298" s="3" t="str">
        <f ca="1">IFERROR(__xludf.DUMMYFUNCTION("googletranslate(D5298,""en"",""ja"")"),"コレラ菌のDNA")</f>
        <v>コレラ菌のDNA</v>
      </c>
      <c r="H5298" s="3" t="str">
        <f ca="1">IFERROR(__xludf.DUMMYFUNCTION("googletranslate(E5298,""en"",""ja"")"),"生物学的標本中のコレラ菌 DNA の測定。")</f>
        <v>生物学的標本中のコレラ菌 DNA の測定。</v>
      </c>
      <c r="I5298" s="3" t="str">
        <f ca="1">IFERROR(__xludf.DUMMYFUNCTION("googletranslate(F5298,""en"",""ja"")"),"コレラ菌のDNA測定")</f>
        <v>コレラ菌のDNA測定</v>
      </c>
    </row>
    <row r="5299" spans="1:9" ht="30">
      <c r="A5299" s="3" t="s">
        <v>210</v>
      </c>
      <c r="B5299" s="3" t="s">
        <v>21929</v>
      </c>
      <c r="C5299" s="3" t="s">
        <v>21930</v>
      </c>
      <c r="D5299" s="3" t="s">
        <v>21930</v>
      </c>
      <c r="E5299" s="3" t="s">
        <v>21931</v>
      </c>
      <c r="F5299" s="3" t="s">
        <v>21932</v>
      </c>
      <c r="G5299" s="3" t="str">
        <f ca="1">IFERROR(__xludf.DUMMYFUNCTION("googletranslate(D5299,""en"",""ja"")"),"有効直径")</f>
        <v>有効直径</v>
      </c>
      <c r="H5299" s="3" t="str">
        <f ca="1">IFERROR(__xludf.DUMMYFUNCTION("googletranslate(E5299,""en"",""ja"")"),"成長、増殖、転移が可能な腫瘍塊の部分の直径。")</f>
        <v>成長、増殖、転移が可能な腫瘍塊の部分の直径。</v>
      </c>
      <c r="I5299" s="3" t="str">
        <f ca="1">IFERROR(__xludf.DUMMYFUNCTION("googletranslate(F5299,""en"",""ja"")"),"生存可能な腫瘍の直径")</f>
        <v>生存可能な腫瘍の直径</v>
      </c>
    </row>
    <row r="5300" spans="1:9" ht="30">
      <c r="A5300" s="3" t="s">
        <v>6</v>
      </c>
      <c r="B5300" s="3" t="s">
        <v>21933</v>
      </c>
      <c r="C5300" s="3" t="s">
        <v>21934</v>
      </c>
      <c r="D5300" s="3" t="s">
        <v>21934</v>
      </c>
      <c r="E5300" s="3" t="s">
        <v>21935</v>
      </c>
      <c r="F5300" s="3" t="s">
        <v>21936</v>
      </c>
      <c r="G5300" s="3" t="str">
        <f ca="1">IFERROR(__xludf.DUMMYFUNCTION("googletranslate(D5300,""en"",""ja"")"),"血管内皮増殖因子")</f>
        <v>血管内皮増殖因子</v>
      </c>
      <c r="H5300" s="3" t="str">
        <f ca="1">IFERROR(__xludf.DUMMYFUNCTION("googletranslate(E5300,""en"",""ja"")"),"生物学的標本中の血管内皮増殖因子の測定。")</f>
        <v>生物学的標本中の血管内皮増殖因子の測定。</v>
      </c>
      <c r="I5300" s="3" t="str">
        <f ca="1">IFERROR(__xludf.DUMMYFUNCTION("googletranslate(F5300,""en"",""ja"")"),"血管内皮増殖因子の測定")</f>
        <v>血管内皮増殖因子の測定</v>
      </c>
    </row>
    <row r="5301" spans="1:9" ht="30">
      <c r="A5301" s="3" t="s">
        <v>6</v>
      </c>
      <c r="B5301" s="3" t="s">
        <v>21937</v>
      </c>
      <c r="C5301" s="3" t="s">
        <v>21938</v>
      </c>
      <c r="D5301" s="3" t="s">
        <v>21938</v>
      </c>
      <c r="E5301" s="3" t="s">
        <v>21939</v>
      </c>
      <c r="F5301" s="3" t="s">
        <v>21940</v>
      </c>
      <c r="G5301" s="3" t="str">
        <f ca="1">IFERROR(__xludf.DUMMYFUNCTION("googletranslate(D5301,""en"",""ja"")"),"血管内皮増殖因子A")</f>
        <v>血管内皮増殖因子A</v>
      </c>
      <c r="H5301" s="3" t="str">
        <f ca="1">IFERROR(__xludf.DUMMYFUNCTION("googletranslate(E5301,""en"",""ja"")"),"生体標本中の血管内皮増殖因子 A の測定。")</f>
        <v>生体標本中の血管内皮増殖因子 A の測定。</v>
      </c>
      <c r="I5301" s="3" t="str">
        <f ca="1">IFERROR(__xludf.DUMMYFUNCTION("googletranslate(F5301,""en"",""ja"")"),"血管内皮増殖因子Aの測定")</f>
        <v>血管内皮増殖因子Aの測定</v>
      </c>
    </row>
    <row r="5302" spans="1:9" ht="30">
      <c r="A5302" s="3" t="s">
        <v>6</v>
      </c>
      <c r="B5302" s="3" t="s">
        <v>21941</v>
      </c>
      <c r="C5302" s="3" t="s">
        <v>21942</v>
      </c>
      <c r="D5302" s="3" t="s">
        <v>21942</v>
      </c>
      <c r="E5302" s="3" t="s">
        <v>21943</v>
      </c>
      <c r="F5302" s="3" t="s">
        <v>21944</v>
      </c>
      <c r="G5302" s="3" t="str">
        <f ca="1">IFERROR(__xludf.DUMMYFUNCTION("googletranslate(D5302,""en"",""ja"")"),"血管内皮増殖因子C")</f>
        <v>血管内皮増殖因子C</v>
      </c>
      <c r="H5302" s="3" t="str">
        <f ca="1">IFERROR(__xludf.DUMMYFUNCTION("googletranslate(E5302,""en"",""ja"")"),"生体標本中の血管内皮増殖因子 C の測定。")</f>
        <v>生体標本中の血管内皮増殖因子 C の測定。</v>
      </c>
      <c r="I5302" s="3" t="str">
        <f ca="1">IFERROR(__xludf.DUMMYFUNCTION("googletranslate(F5302,""en"",""ja"")"),"血管内皮増殖因子Cの測定")</f>
        <v>血管内皮増殖因子Cの測定</v>
      </c>
    </row>
    <row r="5303" spans="1:9" ht="30">
      <c r="A5303" s="3" t="s">
        <v>6</v>
      </c>
      <c r="B5303" s="3" t="s">
        <v>21945</v>
      </c>
      <c r="C5303" s="3" t="s">
        <v>21946</v>
      </c>
      <c r="D5303" s="3" t="s">
        <v>21947</v>
      </c>
      <c r="E5303" s="3" t="s">
        <v>21948</v>
      </c>
      <c r="F5303" s="3" t="s">
        <v>21949</v>
      </c>
      <c r="G5303" s="3" t="str">
        <f ca="1">IFERROR(__xludf.DUMMYFUNCTION("googletranslate(D5303,""en"",""ja"")"),"図；血管内皮増殖因子 D")</f>
        <v>図；血管内皮増殖因子 D</v>
      </c>
      <c r="H5303" s="3" t="str">
        <f ca="1">IFERROR(__xludf.DUMMYFUNCTION("googletranslate(E5303,""en"",""ja"")"),"生体標本中の血管内皮増殖因子 D の測定。")</f>
        <v>生体標本中の血管内皮増殖因子 D の測定。</v>
      </c>
      <c r="I5303" s="3" t="str">
        <f ca="1">IFERROR(__xludf.DUMMYFUNCTION("googletranslate(F5303,""en"",""ja"")"),"血管内皮増殖因子Dの測定")</f>
        <v>血管内皮増殖因子Dの測定</v>
      </c>
    </row>
    <row r="5304" spans="1:9" ht="45">
      <c r="A5304" s="3" t="s">
        <v>6</v>
      </c>
      <c r="B5304" s="3" t="s">
        <v>21950</v>
      </c>
      <c r="C5304" s="3" t="s">
        <v>21951</v>
      </c>
      <c r="D5304" s="3" t="s">
        <v>21952</v>
      </c>
      <c r="E5304" s="3" t="s">
        <v>21953</v>
      </c>
      <c r="F5304" s="3" t="s">
        <v>21954</v>
      </c>
      <c r="G5304" s="3" t="str">
        <f ca="1">IFERROR(__xludf.DUMMYFUNCTION("googletranslate(D5304,""en"",""ja"")"),"可溶性血管エンドス成長因子 Rec1;可溶性血管内皮増殖因子受容体 1")</f>
        <v>可溶性血管エンドス成長因子 Rec1;可溶性血管内皮増殖因子受容体 1</v>
      </c>
      <c r="H5304" s="3" t="str">
        <f ca="1">IFERROR(__xludf.DUMMYFUNCTION("googletranslate(E5304,""en"",""ja"")"),"生体試料中の可溶性血管内皮増殖因子受容体 1 の測定。")</f>
        <v>生体試料中の可溶性血管内皮増殖因子受容体 1 の測定。</v>
      </c>
      <c r="I5304" s="3" t="str">
        <f ca="1">IFERROR(__xludf.DUMMYFUNCTION("googletranslate(F5304,""en"",""ja"")"),"可溶性血管内皮増殖因子受容体タイプ 1 の測定")</f>
        <v>可溶性血管内皮増殖因子受容体タイプ 1 の測定</v>
      </c>
    </row>
    <row r="5305" spans="1:9" ht="45">
      <c r="A5305" s="3" t="s">
        <v>6</v>
      </c>
      <c r="B5305" s="3" t="s">
        <v>21955</v>
      </c>
      <c r="C5305" s="3" t="s">
        <v>21956</v>
      </c>
      <c r="D5305" s="3" t="s">
        <v>21957</v>
      </c>
      <c r="E5305" s="3" t="s">
        <v>21958</v>
      </c>
      <c r="F5305" s="3" t="s">
        <v>21959</v>
      </c>
      <c r="G5305" s="3" t="str">
        <f ca="1">IFERROR(__xludf.DUMMYFUNCTION("googletranslate(D5305,""en"",""ja"")"),"血管内皮増殖因子 Rec 2;血管内皮増殖因子受容体 2")</f>
        <v>血管内皮増殖因子 Rec 2;血管内皮増殖因子受容体 2</v>
      </c>
      <c r="H5305" s="3" t="str">
        <f ca="1">IFERROR(__xludf.DUMMYFUNCTION("googletranslate(E5305,""en"",""ja"")"),"生体標本における血管内皮増殖因子受容体 2 の測定。")</f>
        <v>生体標本における血管内皮増殖因子受容体 2 の測定。</v>
      </c>
      <c r="I5305" s="3" t="str">
        <f ca="1">IFERROR(__xludf.DUMMYFUNCTION("googletranslate(F5305,""en"",""ja"")"),"血管内皮増殖因子受容体2の測定")</f>
        <v>血管内皮増殖因子受容体2の測定</v>
      </c>
    </row>
    <row r="5306" spans="1:9" ht="45">
      <c r="A5306" s="3" t="s">
        <v>6</v>
      </c>
      <c r="B5306" s="3" t="s">
        <v>21960</v>
      </c>
      <c r="C5306" s="3" t="s">
        <v>21961</v>
      </c>
      <c r="D5306" s="3" t="s">
        <v>21962</v>
      </c>
      <c r="E5306" s="3" t="s">
        <v>21963</v>
      </c>
      <c r="F5306" s="3" t="s">
        <v>21964</v>
      </c>
      <c r="G5306" s="3" t="str">
        <f ca="1">IFERROR(__xludf.DUMMYFUNCTION("googletranslate(D5306,""en"",""ja"")"),"可溶性血管エンドス成長因子 Rec2;可溶性血管内皮増殖因子受容体 2")</f>
        <v>可溶性血管エンドス成長因子 Rec2;可溶性血管内皮増殖因子受容体 2</v>
      </c>
      <c r="H5306" s="3" t="str">
        <f ca="1">IFERROR(__xludf.DUMMYFUNCTION("googletranslate(E5306,""en"",""ja"")"),"生体試料中の可溶性血管内皮増殖因子受容体 2 の測定。")</f>
        <v>生体試料中の可溶性血管内皮増殖因子受容体 2 の測定。</v>
      </c>
      <c r="I5306" s="3" t="str">
        <f ca="1">IFERROR(__xludf.DUMMYFUNCTION("googletranslate(F5306,""en"",""ja"")"),"可溶性血管内皮増殖因子受容体タイプ 2 の測定")</f>
        <v>可溶性血管内皮増殖因子受容体タイプ 2 の測定</v>
      </c>
    </row>
    <row r="5307" spans="1:9" ht="45">
      <c r="A5307" s="3" t="s">
        <v>6</v>
      </c>
      <c r="B5307" s="3" t="s">
        <v>21965</v>
      </c>
      <c r="C5307" s="3" t="s">
        <v>21966</v>
      </c>
      <c r="D5307" s="3" t="s">
        <v>21967</v>
      </c>
      <c r="E5307" s="3" t="s">
        <v>21968</v>
      </c>
      <c r="F5307" s="3" t="s">
        <v>21969</v>
      </c>
      <c r="G5307" s="3" t="str">
        <f ca="1">IFERROR(__xludf.DUMMYFUNCTION("googletranslate(D5307,""en"",""ja"")"),"可溶性血管エンドス成長因子 Rec3;可溶性血管内皮増殖因子受容体 3")</f>
        <v>可溶性血管エンドス成長因子 Rec3;可溶性血管内皮増殖因子受容体 3</v>
      </c>
      <c r="H5307" s="3" t="str">
        <f ca="1">IFERROR(__xludf.DUMMYFUNCTION("googletranslate(E5307,""en"",""ja"")"),"生体試料中の可溶性血管内皮増殖因子受容体 3 の測定。")</f>
        <v>生体試料中の可溶性血管内皮増殖因子受容体 3 の測定。</v>
      </c>
      <c r="I5307" s="3" t="str">
        <f ca="1">IFERROR(__xludf.DUMMYFUNCTION("googletranslate(F5307,""en"",""ja"")"),"可溶性血管内皮増殖因子受容体タイプ 3 の測定")</f>
        <v>可溶性血管内皮増殖因子受容体タイプ 3 の測定</v>
      </c>
    </row>
    <row r="5308" spans="1:9" ht="45">
      <c r="A5308" s="3" t="s">
        <v>81</v>
      </c>
      <c r="B5308" s="3" t="s">
        <v>21970</v>
      </c>
      <c r="C5308" s="3" t="s">
        <v>21971</v>
      </c>
      <c r="D5308" s="3" t="s">
        <v>21971</v>
      </c>
      <c r="E5308" s="3" t="s">
        <v>21972</v>
      </c>
      <c r="F5308" s="3" t="s">
        <v>21973</v>
      </c>
      <c r="G5308" s="3" t="str">
        <f ca="1">IFERROR(__xludf.DUMMYFUNCTION("googletranslate(D5308,""en"",""ja"")"),"速度時間積分、血流量")</f>
        <v>速度時間積分、血流量</v>
      </c>
      <c r="H5308" s="3" t="str">
        <f ca="1">IFERROR(__xludf.DUMMYFUNCTION("googletranslate(E5308,""en"",""ja"")"),"指定された領域を横切る、または指定された領域内で血流が流れる時間中のすべての順流速度の積分。")</f>
        <v>指定された領域を横切る、または指定された領域内で血流が流れる時間中のすべての順流速度の積分。</v>
      </c>
      <c r="I5308" s="3" t="str">
        <f ca="1">IFERROR(__xludf.DUMMYFUNCTION("googletranslate(F5308,""en"",""ja"")"),"血流速度時間積分")</f>
        <v>血流速度時間積分</v>
      </c>
    </row>
    <row r="5309" spans="1:9" ht="30">
      <c r="A5309" s="3" t="s">
        <v>6</v>
      </c>
      <c r="B5309" s="3" t="s">
        <v>21974</v>
      </c>
      <c r="C5309" s="3" t="s">
        <v>21975</v>
      </c>
      <c r="D5309" s="3" t="s">
        <v>21975</v>
      </c>
      <c r="E5309" s="3" t="s">
        <v>21976</v>
      </c>
      <c r="F5309" s="3" t="s">
        <v>21977</v>
      </c>
      <c r="G5309" s="3" t="str">
        <f ca="1">IFERROR(__xludf.DUMMYFUNCTION("googletranslate(D5309,""en"",""ja"")"),"ベンラファクシン")</f>
        <v>ベンラファクシン</v>
      </c>
      <c r="H5309" s="3" t="str">
        <f ca="1">IFERROR(__xludf.DUMMYFUNCTION("googletranslate(E5309,""en"",""ja"")"),"生物学的標本中に存在するベンラファクシンの測定。")</f>
        <v>生物学的標本中に存在するベンラファクシンの測定。</v>
      </c>
      <c r="I5309" s="3" t="str">
        <f ca="1">IFERROR(__xludf.DUMMYFUNCTION("googletranslate(F5309,""en"",""ja"")"),"ベンラファクシンの測定")</f>
        <v>ベンラファクシンの測定</v>
      </c>
    </row>
    <row r="5310" spans="1:9" ht="60">
      <c r="A5310" s="3" t="s">
        <v>51</v>
      </c>
      <c r="B5310" s="3" t="s">
        <v>21978</v>
      </c>
      <c r="C5310" s="3" t="s">
        <v>21979</v>
      </c>
      <c r="D5310" s="3" t="s">
        <v>21980</v>
      </c>
      <c r="E5310" s="3" t="s">
        <v>21981</v>
      </c>
      <c r="F5310" s="3" t="s">
        <v>21979</v>
      </c>
      <c r="G5310" s="3" t="str">
        <f ca="1">IFERROR(__xludf.DUMMYFUNCTION("googletranslate(D5310,""en"",""ja"")"),"フィルター換気。 Vf")</f>
        <v>フィルター換気。 Vf</v>
      </c>
      <c r="H5310" s="3" t="str">
        <f ca="1">IFERROR(__xludf.DUMMYFUNCTION("googletranslate(E5310,""en"",""ja"")"),"吸い口端の覆われた部分とタバコロッドの始まりの間のフィルター接合紙（チッピングペーパー）を通って製品に入る空気の評価。 (コレスタ)")</f>
        <v>吸い口端の覆われた部分とタバコロッドの始まりの間のフィルター接合紙（チッピングペーパー）を通って製品に入る空気の評価。 (コレスタ)</v>
      </c>
      <c r="I5310" s="3" t="str">
        <f ca="1">IFERROR(__xludf.DUMMYFUNCTION("googletranslate(F5310,""en"",""ja"")"),"フィルター換気")</f>
        <v>フィルター換気</v>
      </c>
    </row>
    <row r="5311" spans="1:9" ht="45">
      <c r="A5311" s="3" t="s">
        <v>51</v>
      </c>
      <c r="B5311" s="3" t="s">
        <v>21982</v>
      </c>
      <c r="C5311" s="3" t="s">
        <v>21983</v>
      </c>
      <c r="D5311" s="3" t="s">
        <v>21983</v>
      </c>
      <c r="E5311" s="3" t="s">
        <v>21984</v>
      </c>
      <c r="F5311" s="3" t="s">
        <v>21985</v>
      </c>
      <c r="G5311" s="3" t="str">
        <f ca="1">IFERROR(__xludf.DUMMYFUNCTION("googletranslate(D5311,""en"",""ja"")"),"総換気")</f>
        <v>総換気</v>
      </c>
      <c r="H5311" s="3" t="str">
        <f ca="1">IFERROR(__xludf.DUMMYFUNCTION("googletranslate(E5311,""en"",""ja"")"),"フィルターの側面、通常は穴を通してサンプルを通過する総空気流量のパーセンテージ。 (コレスタ)")</f>
        <v>フィルターの側面、通常は穴を通してサンプルを通過する総空気流量のパーセンテージ。 (コレスタ)</v>
      </c>
      <c r="I5311" s="3" t="str">
        <f ca="1">IFERROR(__xludf.DUMMYFUNCTION("googletranslate(F5311,""en"",""ja"")"),"製品全体の換気")</f>
        <v>製品全体の換気</v>
      </c>
    </row>
    <row r="5312" spans="1:9">
      <c r="A5312" s="3" t="s">
        <v>503</v>
      </c>
      <c r="B5312" s="3" t="s">
        <v>21986</v>
      </c>
      <c r="C5312" s="3" t="s">
        <v>21987</v>
      </c>
      <c r="D5312" s="3" t="s">
        <v>21987</v>
      </c>
      <c r="E5312" s="3" t="s">
        <v>21988</v>
      </c>
      <c r="F5312" s="3" t="s">
        <v>21987</v>
      </c>
      <c r="G5312" s="3" t="str">
        <f ca="1">IFERROR(__xludf.DUMMYFUNCTION("googletranslate(D5312,""en"",""ja"")"),"永住村")</f>
        <v>永住村</v>
      </c>
      <c r="H5312" s="3" t="str">
        <f ca="1">IFERROR(__xludf.DUMMYFUNCTION("googletranslate(E5312,""en"",""ja"")"),"村は個人の永住地として特定されます。")</f>
        <v>村は個人の永住地として特定されます。</v>
      </c>
      <c r="I5312" s="3" t="str">
        <f ca="1">IFERROR(__xludf.DUMMYFUNCTION("googletranslate(F5312,""en"",""ja"")"),"永住村")</f>
        <v>永住村</v>
      </c>
    </row>
    <row r="5313" spans="1:9">
      <c r="A5313" s="3" t="s">
        <v>6</v>
      </c>
      <c r="B5313" s="3" t="s">
        <v>21989</v>
      </c>
      <c r="C5313" s="3" t="s">
        <v>21990</v>
      </c>
      <c r="D5313" s="3" t="s">
        <v>21990</v>
      </c>
      <c r="E5313" s="3" t="s">
        <v>21991</v>
      </c>
      <c r="F5313" s="3" t="s">
        <v>21992</v>
      </c>
      <c r="G5313" s="3" t="str">
        <f ca="1">IFERROR(__xludf.DUMMYFUNCTION("googletranslate(D5313,""en"",""ja"")"),"ビンバルビタール")</f>
        <v>ビンバルビタール</v>
      </c>
      <c r="H5313" s="3" t="str">
        <f ca="1">IFERROR(__xludf.DUMMYFUNCTION("googletranslate(E5313,""en"",""ja"")"),"生物学的標本中のビンバルビタールの測定。")</f>
        <v>生物学的標本中のビンバルビタールの測定。</v>
      </c>
      <c r="I5313" s="3" t="str">
        <f ca="1">IFERROR(__xludf.DUMMYFUNCTION("googletranslate(F5313,""en"",""ja"")"),"ビンバルビタールの測定")</f>
        <v>ビンバルビタールの測定</v>
      </c>
    </row>
    <row r="5314" spans="1:9" ht="30">
      <c r="A5314" s="3" t="s">
        <v>6</v>
      </c>
      <c r="B5314" s="3" t="s">
        <v>21993</v>
      </c>
      <c r="C5314" s="3" t="s">
        <v>21994</v>
      </c>
      <c r="D5314" s="3" t="s">
        <v>21995</v>
      </c>
      <c r="E5314" s="3" t="s">
        <v>21996</v>
      </c>
      <c r="F5314" s="3" t="s">
        <v>21997</v>
      </c>
      <c r="G5314" s="3" t="str">
        <f ca="1">IFERROR(__xludf.DUMMYFUNCTION("googletranslate(D5314,""en"",""ja"")"),"血管作動性腸管ポリペプチド; VIP")</f>
        <v>血管作動性腸管ポリペプチド; VIP</v>
      </c>
      <c r="H5314" s="3" t="str">
        <f ca="1">IFERROR(__xludf.DUMMYFUNCTION("googletranslate(E5314,""en"",""ja"")"),"生物学的標本中の血管作動性腸ポリペプチドの測定。")</f>
        <v>生物学的標本中の血管作動性腸ポリペプチドの測定。</v>
      </c>
      <c r="I5314" s="3" t="str">
        <f ca="1">IFERROR(__xludf.DUMMYFUNCTION("googletranslate(F5314,""en"",""ja"")"),"血管作動性腸管ポリペプチドの測定")</f>
        <v>血管作動性腸管ポリペプチドの測定</v>
      </c>
    </row>
    <row r="5315" spans="1:9">
      <c r="A5315" s="3" t="s">
        <v>6</v>
      </c>
      <c r="B5315" s="3" t="s">
        <v>21998</v>
      </c>
      <c r="C5315" s="3" t="s">
        <v>21999</v>
      </c>
      <c r="D5315" s="3" t="s">
        <v>22000</v>
      </c>
      <c r="E5315" s="3" t="s">
        <v>22001</v>
      </c>
      <c r="F5315" s="3" t="s">
        <v>21999</v>
      </c>
      <c r="G5315" s="3" t="str">
        <f ca="1">IFERROR(__xludf.DUMMYFUNCTION("googletranslate(D5315,""en"",""ja"")"),"ビスク;粘度")</f>
        <v>ビスク;粘度</v>
      </c>
      <c r="H5315" s="3" t="str">
        <f ca="1">IFERROR(__xludf.DUMMYFUNCTION("googletranslate(E5315,""en"",""ja"")"),"せん断力と流れに対する液体の抵抗。 (NCI)")</f>
        <v>せん断力と流れに対する液体の抵抗。 (NCI)</v>
      </c>
      <c r="I5315" s="3" t="str">
        <f ca="1">IFERROR(__xludf.DUMMYFUNCTION("googletranslate(F5315,""en"",""ja"")"),"粘度")</f>
        <v>粘度</v>
      </c>
    </row>
    <row r="5316" spans="1:9">
      <c r="A5316" s="3" t="s">
        <v>6</v>
      </c>
      <c r="B5316" s="3" t="s">
        <v>22002</v>
      </c>
      <c r="C5316" s="3" t="s">
        <v>22003</v>
      </c>
      <c r="D5316" s="3" t="s">
        <v>22004</v>
      </c>
      <c r="E5316" s="3" t="s">
        <v>22005</v>
      </c>
      <c r="F5316" s="3" t="s">
        <v>22006</v>
      </c>
      <c r="G5316" s="3" t="str">
        <f ca="1">IFERROR(__xludf.DUMMYFUNCTION("googletranslate(D5316,""en"",""ja"")"),"レチノール;ビタミンA")</f>
        <v>レチノール;ビタミンA</v>
      </c>
      <c r="H5316" s="3" t="str">
        <f ca="1">IFERROR(__xludf.DUMMYFUNCTION("googletranslate(E5316,""en"",""ja"")"),"生物学的標本中のビタミン A の測定。")</f>
        <v>生物学的標本中のビタミン A の測定。</v>
      </c>
      <c r="I5316" s="3" t="str">
        <f ca="1">IFERROR(__xludf.DUMMYFUNCTION("googletranslate(F5316,""en"",""ja"")"),"ビタミンAの測定")</f>
        <v>ビタミンAの測定</v>
      </c>
    </row>
    <row r="5317" spans="1:9">
      <c r="A5317" s="3" t="s">
        <v>6</v>
      </c>
      <c r="B5317" s="3" t="s">
        <v>22007</v>
      </c>
      <c r="C5317" s="3" t="s">
        <v>22008</v>
      </c>
      <c r="D5317" s="3" t="s">
        <v>22009</v>
      </c>
      <c r="E5317" s="3" t="s">
        <v>22010</v>
      </c>
      <c r="F5317" s="3" t="s">
        <v>22011</v>
      </c>
      <c r="G5317" s="3" t="str">
        <f ca="1">IFERROR(__xludf.DUMMYFUNCTION("googletranslate(D5317,""en"",""ja"")"),"チアミン;ビタミンB1")</f>
        <v>チアミン;ビタミンB1</v>
      </c>
      <c r="H5317" s="3" t="str">
        <f ca="1">IFERROR(__xludf.DUMMYFUNCTION("googletranslate(E5317,""en"",""ja"")"),"生物学的標本中のチアミンの測定。")</f>
        <v>生物学的標本中のチアミンの測定。</v>
      </c>
      <c r="I5317" s="3" t="str">
        <f ca="1">IFERROR(__xludf.DUMMYFUNCTION("googletranslate(F5317,""en"",""ja"")"),"ビタミンB1の測定")</f>
        <v>ビタミンB1の測定</v>
      </c>
    </row>
    <row r="5318" spans="1:9">
      <c r="A5318" s="3" t="s">
        <v>6</v>
      </c>
      <c r="B5318" s="3" t="s">
        <v>22012</v>
      </c>
      <c r="C5318" s="3" t="s">
        <v>22013</v>
      </c>
      <c r="D5318" s="3" t="s">
        <v>22014</v>
      </c>
      <c r="E5318" s="3" t="s">
        <v>22015</v>
      </c>
      <c r="F5318" s="3" t="s">
        <v>22016</v>
      </c>
      <c r="G5318" s="3" t="str">
        <f ca="1">IFERROR(__xludf.DUMMYFUNCTION("googletranslate(D5318,""en"",""ja"")"),"コバラミン;ビタミンB12")</f>
        <v>コバラミン;ビタミンB12</v>
      </c>
      <c r="H5318" s="3" t="str">
        <f ca="1">IFERROR(__xludf.DUMMYFUNCTION("googletranslate(E5318,""en"",""ja"")"),"生物学的標本中のビタミン B12 の測定。")</f>
        <v>生物学的標本中のビタミン B12 の測定。</v>
      </c>
      <c r="I5318" s="3" t="str">
        <f ca="1">IFERROR(__xludf.DUMMYFUNCTION("googletranslate(F5318,""en"",""ja"")"),"ビタミンB12の測定")</f>
        <v>ビタミンB12の測定</v>
      </c>
    </row>
    <row r="5319" spans="1:9">
      <c r="A5319" s="3" t="s">
        <v>6</v>
      </c>
      <c r="B5319" s="3" t="s">
        <v>22017</v>
      </c>
      <c r="C5319" s="3" t="s">
        <v>22018</v>
      </c>
      <c r="D5319" s="3" t="s">
        <v>22019</v>
      </c>
      <c r="E5319" s="3" t="s">
        <v>22020</v>
      </c>
      <c r="F5319" s="3" t="s">
        <v>22021</v>
      </c>
      <c r="G5319" s="3" t="str">
        <f ca="1">IFERROR(__xludf.DUMMYFUNCTION("googletranslate(D5319,""en"",""ja"")"),"アミグダリン;ビタミンB17")</f>
        <v>アミグダリン;ビタミンB17</v>
      </c>
      <c r="H5319" s="3" t="str">
        <f ca="1">IFERROR(__xludf.DUMMYFUNCTION("googletranslate(E5319,""en"",""ja"")"),"生物学的標本中のビタミン B17 の測定。")</f>
        <v>生物学的標本中のビタミン B17 の測定。</v>
      </c>
      <c r="I5319" s="3" t="str">
        <f ca="1">IFERROR(__xludf.DUMMYFUNCTION("googletranslate(F5319,""en"",""ja"")"),"ビタミンB17の測定")</f>
        <v>ビタミンB17の測定</v>
      </c>
    </row>
    <row r="5320" spans="1:9">
      <c r="A5320" s="3" t="s">
        <v>6</v>
      </c>
      <c r="B5320" s="3" t="s">
        <v>22022</v>
      </c>
      <c r="C5320" s="3" t="s">
        <v>22023</v>
      </c>
      <c r="D5320" s="3" t="s">
        <v>22024</v>
      </c>
      <c r="E5320" s="3" t="s">
        <v>22025</v>
      </c>
      <c r="F5320" s="3" t="s">
        <v>22026</v>
      </c>
      <c r="G5320" s="3" t="str">
        <f ca="1">IFERROR(__xludf.DUMMYFUNCTION("googletranslate(D5320,""en"",""ja"")"),"リボフラビン;ビタミンB2")</f>
        <v>リボフラビン;ビタミンB2</v>
      </c>
      <c r="H5320" s="3" t="str">
        <f ca="1">IFERROR(__xludf.DUMMYFUNCTION("googletranslate(E5320,""en"",""ja"")"),"生物学的標本中のリボフラビンの測定。")</f>
        <v>生物学的標本中のリボフラビンの測定。</v>
      </c>
      <c r="I5320" s="3" t="str">
        <f ca="1">IFERROR(__xludf.DUMMYFUNCTION("googletranslate(F5320,""en"",""ja"")"),"ビタミンB2測定")</f>
        <v>ビタミンB2測定</v>
      </c>
    </row>
    <row r="5321" spans="1:9">
      <c r="A5321" s="3" t="s">
        <v>6</v>
      </c>
      <c r="B5321" s="3" t="s">
        <v>22027</v>
      </c>
      <c r="C5321" s="3" t="s">
        <v>22028</v>
      </c>
      <c r="D5321" s="3" t="s">
        <v>22029</v>
      </c>
      <c r="E5321" s="3" t="s">
        <v>22030</v>
      </c>
      <c r="F5321" s="3" t="s">
        <v>22031</v>
      </c>
      <c r="G5321" s="3" t="str">
        <f ca="1">IFERROR(__xludf.DUMMYFUNCTION("googletranslate(D5321,""en"",""ja"")"),"ナイアシン;ビタミンB3")</f>
        <v>ナイアシン;ビタミンB3</v>
      </c>
      <c r="H5321" s="3" t="str">
        <f ca="1">IFERROR(__xludf.DUMMYFUNCTION("googletranslate(E5321,""en"",""ja"")"),"生物学的標本中のナイアシンの測定。")</f>
        <v>生物学的標本中のナイアシンの測定。</v>
      </c>
      <c r="I5321" s="3" t="str">
        <f ca="1">IFERROR(__xludf.DUMMYFUNCTION("googletranslate(F5321,""en"",""ja"")"),"ビタミンB3の測定")</f>
        <v>ビタミンB3の測定</v>
      </c>
    </row>
    <row r="5322" spans="1:9">
      <c r="A5322" s="3" t="s">
        <v>6</v>
      </c>
      <c r="B5322" s="3" t="s">
        <v>22032</v>
      </c>
      <c r="C5322" s="3" t="s">
        <v>22033</v>
      </c>
      <c r="D5322" s="3" t="s">
        <v>22034</v>
      </c>
      <c r="E5322" s="3" t="s">
        <v>22035</v>
      </c>
      <c r="F5322" s="3" t="s">
        <v>22036</v>
      </c>
      <c r="G5322" s="3" t="str">
        <f ca="1">IFERROR(__xludf.DUMMYFUNCTION("googletranslate(D5322,""en"",""ja"")"),"パントテン酸;ビタミンB5")</f>
        <v>パントテン酸;ビタミンB5</v>
      </c>
      <c r="H5322" s="3" t="str">
        <f ca="1">IFERROR(__xludf.DUMMYFUNCTION("googletranslate(E5322,""en"",""ja"")"),"生物学的標本中のビタミン B5 の測定。")</f>
        <v>生物学的標本中のビタミン B5 の測定。</v>
      </c>
      <c r="I5322" s="3" t="str">
        <f ca="1">IFERROR(__xludf.DUMMYFUNCTION("googletranslate(F5322,""en"",""ja"")"),"ビタミンB5の測定")</f>
        <v>ビタミンB5の測定</v>
      </c>
    </row>
    <row r="5323" spans="1:9">
      <c r="A5323" s="3" t="s">
        <v>6</v>
      </c>
      <c r="B5323" s="3" t="s">
        <v>22037</v>
      </c>
      <c r="C5323" s="3" t="s">
        <v>22038</v>
      </c>
      <c r="D5323" s="3" t="s">
        <v>22039</v>
      </c>
      <c r="E5323" s="3" t="s">
        <v>22040</v>
      </c>
      <c r="F5323" s="3" t="s">
        <v>22041</v>
      </c>
      <c r="G5323" s="3" t="str">
        <f ca="1">IFERROR(__xludf.DUMMYFUNCTION("googletranslate(D5323,""en"",""ja"")"),"ピリドキシン;ビタミンB6")</f>
        <v>ピリドキシン;ビタミンB6</v>
      </c>
      <c r="H5323" s="3" t="str">
        <f ca="1">IFERROR(__xludf.DUMMYFUNCTION("googletranslate(E5323,""en"",""ja"")"),"生物学的標本中のビタミン B6 の測定。")</f>
        <v>生物学的標本中のビタミン B6 の測定。</v>
      </c>
      <c r="I5323" s="3" t="str">
        <f ca="1">IFERROR(__xludf.DUMMYFUNCTION("googletranslate(F5323,""en"",""ja"")"),"ビタミンB6の測定")</f>
        <v>ビタミンB6の測定</v>
      </c>
    </row>
    <row r="5324" spans="1:9">
      <c r="A5324" s="3" t="s">
        <v>6</v>
      </c>
      <c r="B5324" s="3" t="s">
        <v>22042</v>
      </c>
      <c r="C5324" s="3" t="s">
        <v>22043</v>
      </c>
      <c r="D5324" s="3" t="s">
        <v>22044</v>
      </c>
      <c r="E5324" s="3" t="s">
        <v>22045</v>
      </c>
      <c r="F5324" s="3" t="s">
        <v>22046</v>
      </c>
      <c r="G5324" s="3" t="str">
        <f ca="1">IFERROR(__xludf.DUMMYFUNCTION("googletranslate(D5324,""en"",""ja"")"),"ビオチン;ビタミンB7")</f>
        <v>ビオチン;ビタミンB7</v>
      </c>
      <c r="H5324" s="3" t="str">
        <f ca="1">IFERROR(__xludf.DUMMYFUNCTION("googletranslate(E5324,""en"",""ja"")"),"生物学的標本中のビタミン B7 の測定。")</f>
        <v>生物学的標本中のビタミン B7 の測定。</v>
      </c>
      <c r="I5324" s="3" t="str">
        <f ca="1">IFERROR(__xludf.DUMMYFUNCTION("googletranslate(F5324,""en"",""ja"")"),"ビタミンB7の測定")</f>
        <v>ビタミンB7の測定</v>
      </c>
    </row>
    <row r="5325" spans="1:9">
      <c r="A5325" s="3" t="s">
        <v>6</v>
      </c>
      <c r="B5325" s="3" t="s">
        <v>22047</v>
      </c>
      <c r="C5325" s="3" t="s">
        <v>22048</v>
      </c>
      <c r="D5325" s="3" t="s">
        <v>22049</v>
      </c>
      <c r="E5325" s="3" t="s">
        <v>22050</v>
      </c>
      <c r="F5325" s="3" t="s">
        <v>22051</v>
      </c>
      <c r="G5325" s="3" t="str">
        <f ca="1">IFERROR(__xludf.DUMMYFUNCTION("googletranslate(D5325,""en"",""ja"")"),"葉酸塩;葉酸;ビタミンB9")</f>
        <v>葉酸塩;葉酸;ビタミンB9</v>
      </c>
      <c r="H5325" s="3" t="str">
        <f ca="1">IFERROR(__xludf.DUMMYFUNCTION("googletranslate(E5325,""en"",""ja"")"),"生物学的標本中の葉酸の測定。")</f>
        <v>生物学的標本中の葉酸の測定。</v>
      </c>
      <c r="I5325" s="3" t="str">
        <f ca="1">IFERROR(__xludf.DUMMYFUNCTION("googletranslate(F5325,""en"",""ja"")"),"葉酸測定")</f>
        <v>葉酸測定</v>
      </c>
    </row>
    <row r="5326" spans="1:9" ht="30">
      <c r="A5326" s="3" t="s">
        <v>6</v>
      </c>
      <c r="B5326" s="3" t="s">
        <v>22052</v>
      </c>
      <c r="C5326" s="3" t="s">
        <v>22053</v>
      </c>
      <c r="D5326" s="3" t="s">
        <v>22054</v>
      </c>
      <c r="E5326" s="3" t="s">
        <v>22055</v>
      </c>
      <c r="F5326" s="3" t="s">
        <v>22056</v>
      </c>
      <c r="G5326" s="3" t="str">
        <f ca="1">IFERROR(__xludf.DUMMYFUNCTION("googletranslate(D5326,""en"",""ja"")"),"アスコルビン酸塩;アスコルビン酸;ビタミンC")</f>
        <v>アスコルビン酸塩;アスコルビン酸;ビタミンC</v>
      </c>
      <c r="H5326" s="3" t="str">
        <f ca="1">IFERROR(__xludf.DUMMYFUNCTION("googletranslate(E5326,""en"",""ja"")"),"生物学的標本中のビタミン C の測定。")</f>
        <v>生物学的標本中のビタミン C の測定。</v>
      </c>
      <c r="I5326" s="3" t="str">
        <f ca="1">IFERROR(__xludf.DUMMYFUNCTION("googletranslate(F5326,""en"",""ja"")"),"ビタミンC測定")</f>
        <v>ビタミンC測定</v>
      </c>
    </row>
    <row r="5327" spans="1:9" ht="45">
      <c r="A5327" s="3" t="s">
        <v>6</v>
      </c>
      <c r="B5327" s="3" t="s">
        <v>22057</v>
      </c>
      <c r="C5327" s="3" t="s">
        <v>22058</v>
      </c>
      <c r="D5327" s="3" t="s">
        <v>22059</v>
      </c>
      <c r="E5327" s="3" t="s">
        <v>22060</v>
      </c>
      <c r="F5327" s="3" t="s">
        <v>22061</v>
      </c>
      <c r="G5327" s="3" t="str">
        <f ca="1">IFERROR(__xludf.DUMMYFUNCTION("googletranslate(D5327,""en"",""ja"")"),"カルシフェロール;エルゴカルシフェロール;ビオステロール;ビタミンD2")</f>
        <v>カルシフェロール;エルゴカルシフェロール;ビオステロール;ビタミンD2</v>
      </c>
      <c r="H5327" s="3" t="str">
        <f ca="1">IFERROR(__xludf.DUMMYFUNCTION("googletranslate(E5327,""en"",""ja"")"),"生物学的標本中のビタミン D2 の測定。")</f>
        <v>生物学的標本中のビタミン D2 の測定。</v>
      </c>
      <c r="I5327" s="3" t="str">
        <f ca="1">IFERROR(__xludf.DUMMYFUNCTION("googletranslate(F5327,""en"",""ja"")"),"ビタミンD2測定")</f>
        <v>ビタミンD2測定</v>
      </c>
    </row>
    <row r="5328" spans="1:9" ht="45">
      <c r="A5328" s="3" t="s">
        <v>6</v>
      </c>
      <c r="B5328" s="3" t="s">
        <v>22062</v>
      </c>
      <c r="C5328" s="3" t="s">
        <v>22063</v>
      </c>
      <c r="D5328" s="3" t="s">
        <v>22064</v>
      </c>
      <c r="E5328" s="3" t="s">
        <v>22065</v>
      </c>
      <c r="F5328" s="3" t="s">
        <v>22066</v>
      </c>
      <c r="G5328" s="3" t="str">
        <f ca="1">IFERROR(__xludf.DUMMYFUNCTION("googletranslate(D5328,""en"",""ja"")"),"カルシフェロール + コレカルシフェロール;ビタミンD2 + ビタミンD3")</f>
        <v>カルシフェロール + コレカルシフェロール;ビタミンD2 + ビタミンD3</v>
      </c>
      <c r="H5328" s="3" t="str">
        <f ca="1">IFERROR(__xludf.DUMMYFUNCTION("googletranslate(E5328,""en"",""ja"")"),"生体試料中のビタミン D2 とビタミン D3 の測定。")</f>
        <v>生体試料中のビタミン D2 とビタミン D3 の測定。</v>
      </c>
      <c r="I5328" s="3" t="str">
        <f ca="1">IFERROR(__xludf.DUMMYFUNCTION("googletranslate(F5328,""en"",""ja"")"),"ビタミンD2およびビタミンD3の測定")</f>
        <v>ビタミンD2およびビタミンD3の測定</v>
      </c>
    </row>
    <row r="5329" spans="1:9" ht="60">
      <c r="A5329" s="3" t="s">
        <v>6</v>
      </c>
      <c r="B5329" s="3" t="s">
        <v>22067</v>
      </c>
      <c r="C5329" s="3" t="s">
        <v>22068</v>
      </c>
      <c r="D5329" s="3" t="s">
        <v>22069</v>
      </c>
      <c r="E5329" s="3" t="s">
        <v>22070</v>
      </c>
      <c r="F5329" s="3" t="s">
        <v>22071</v>
      </c>
      <c r="G5329" s="3" t="str">
        <f ca="1">IFERROR(__xludf.DUMMYFUNCTION("googletranslate(D5329,""en"",""ja"")"),"ビタミンD + 代謝物;ビタミンD2 + ビタミンD3 + 25-ヒドロキシビタミンD2 + 25-ヒドロキシビタミンD3;ビタミンD2 D3 25-OH")</f>
        <v>ビタミンD + 代謝物;ビタミンD2 + ビタミンD3 + 25-ヒドロキシビタミンD2 + 25-ヒドロキシビタミンD3;ビタミンD2 D3 25-OH</v>
      </c>
      <c r="H5329" s="3" t="str">
        <f ca="1">IFERROR(__xludf.DUMMYFUNCTION("googletranslate(E5329,""en"",""ja"")"),"生物学的標本中のビタミン D2、ビタミン D3、およびそれらの代謝物の測定。")</f>
        <v>生物学的標本中のビタミン D2、ビタミン D3、およびそれらの代謝物の測定。</v>
      </c>
      <c r="I5329" s="3" t="str">
        <f ca="1">IFERROR(__xludf.DUMMYFUNCTION("googletranslate(F5329,""en"",""ja"")"),"ビタミンD2、ビタミンD3、25-ヒドロキシビタミンD2、25-ヒドロキシビタミンD3の測定")</f>
        <v>ビタミンD2、ビタミンD3、25-ヒドロキシビタミンD2、25-ヒドロキシビタミンD3の測定</v>
      </c>
    </row>
    <row r="5330" spans="1:9" ht="45">
      <c r="A5330" s="3" t="s">
        <v>6</v>
      </c>
      <c r="B5330" s="3" t="s">
        <v>22072</v>
      </c>
      <c r="C5330" s="3" t="s">
        <v>22073</v>
      </c>
      <c r="D5330" s="3" t="s">
        <v>22074</v>
      </c>
      <c r="E5330" s="3" t="s">
        <v>22075</v>
      </c>
      <c r="F5330" s="3" t="s">
        <v>22076</v>
      </c>
      <c r="G5330" s="3" t="str">
        <f ca="1">IFERROR(__xludf.DUMMYFUNCTION("googletranslate(D5330,""en"",""ja"")"),"カルシオール。コレカルシフェロール;コレカルシフェロール;ビタミンD;ビタミンD3")</f>
        <v>カルシオール。コレカルシフェロール;コレカルシフェロール;ビタミンD;ビタミンD3</v>
      </c>
      <c r="H5330" s="3" t="str">
        <f ca="1">IFERROR(__xludf.DUMMYFUNCTION("googletranslate(E5330,""en"",""ja"")"),"生物学的標本中のビタミン D3 の測定。")</f>
        <v>生物学的標本中のビタミン D3 の測定。</v>
      </c>
      <c r="I5330" s="3" t="str">
        <f ca="1">IFERROR(__xludf.DUMMYFUNCTION("googletranslate(F5330,""en"",""ja"")"),"ビタミンD3測定")</f>
        <v>ビタミンD3測定</v>
      </c>
    </row>
    <row r="5331" spans="1:9" ht="45">
      <c r="A5331" s="3" t="s">
        <v>6</v>
      </c>
      <c r="B5331" s="3" t="s">
        <v>22077</v>
      </c>
      <c r="C5331" s="3" t="s">
        <v>22078</v>
      </c>
      <c r="D5331" s="3" t="s">
        <v>22079</v>
      </c>
      <c r="E5331" s="3" t="s">
        <v>22080</v>
      </c>
      <c r="F5331" s="3" t="s">
        <v>22081</v>
      </c>
      <c r="G5331" s="3" t="str">
        <f ca="1">IFERROR(__xludf.DUMMYFUNCTION("googletranslate(D5331,""en"",""ja"")"),"DBP; GC ビタミン D 結合タンパク質; VDBP;ビタミンD結合タンパク質")</f>
        <v>DBP; GC ビタミン D 結合タンパク質; VDBP;ビタミンD結合タンパク質</v>
      </c>
      <c r="H5331" s="3" t="str">
        <f ca="1">IFERROR(__xludf.DUMMYFUNCTION("googletranslate(E5331,""en"",""ja"")"),"生物学的標本中のビタミン D 結合タンパク質の測定。")</f>
        <v>生物学的標本中のビタミン D 結合タンパク質の測定。</v>
      </c>
      <c r="I5331" s="3" t="str">
        <f ca="1">IFERROR(__xludf.DUMMYFUNCTION("googletranslate(F5331,""en"",""ja"")"),"ビタミンD結合タンパク質の測定")</f>
        <v>ビタミンD結合タンパク質の測定</v>
      </c>
    </row>
    <row r="5332" spans="1:9">
      <c r="A5332" s="3" t="s">
        <v>6</v>
      </c>
      <c r="B5332" s="3" t="s">
        <v>22082</v>
      </c>
      <c r="C5332" s="3" t="s">
        <v>22083</v>
      </c>
      <c r="D5332" s="3" t="s">
        <v>22083</v>
      </c>
      <c r="E5332" s="3" t="s">
        <v>22084</v>
      </c>
      <c r="F5332" s="3" t="s">
        <v>22085</v>
      </c>
      <c r="G5332" s="3" t="str">
        <f ca="1">IFERROR(__xludf.DUMMYFUNCTION("googletranslate(D5332,""en"",""ja"")"),"ビタミンE")</f>
        <v>ビタミンE</v>
      </c>
      <c r="H5332" s="3" t="str">
        <f ca="1">IFERROR(__xludf.DUMMYFUNCTION("googletranslate(E5332,""en"",""ja"")"),"生物学的標本中のビタミン E の測定。")</f>
        <v>生物学的標本中のビタミン E の測定。</v>
      </c>
      <c r="I5332" s="3" t="str">
        <f ca="1">IFERROR(__xludf.DUMMYFUNCTION("googletranslate(F5332,""en"",""ja"")"),"ビタミンEの測定")</f>
        <v>ビタミンEの測定</v>
      </c>
    </row>
    <row r="5333" spans="1:9" ht="45">
      <c r="A5333" s="3" t="s">
        <v>6</v>
      </c>
      <c r="B5333" s="3" t="s">
        <v>22086</v>
      </c>
      <c r="C5333" s="3" t="s">
        <v>22087</v>
      </c>
      <c r="D5333" s="3" t="s">
        <v>22087</v>
      </c>
      <c r="E5333" s="3" t="s">
        <v>22088</v>
      </c>
      <c r="F5333" s="3" t="s">
        <v>22089</v>
      </c>
      <c r="G5333" s="3" t="str">
        <f ca="1">IFERROR(__xludf.DUMMYFUNCTION("googletranslate(D5333,""en"",""ja"")"),"ビタミンE/コレステロール")</f>
        <v>ビタミンE/コレステロール</v>
      </c>
      <c r="H5333" s="3" t="str">
        <f ca="1">IFERROR(__xludf.DUMMYFUNCTION("googletranslate(E5333,""en"",""ja"")"),"生物学的標本中の総コレステロールに対するビタミン E の相対測定値 (比率またはパーセンテージ)。")</f>
        <v>生物学的標本中の総コレステロールに対するビタミン E の相対測定値 (比率またはパーセンテージ)。</v>
      </c>
      <c r="I5333" s="3" t="str">
        <f ca="1">IFERROR(__xludf.DUMMYFUNCTION("googletranslate(F5333,""en"",""ja"")"),"ビタミンEとコレステロールの比率の測定")</f>
        <v>ビタミンEとコレステロールの比率の測定</v>
      </c>
    </row>
    <row r="5334" spans="1:9" ht="30">
      <c r="A5334" s="3" t="s">
        <v>6</v>
      </c>
      <c r="B5334" s="3" t="s">
        <v>22090</v>
      </c>
      <c r="C5334" s="3" t="s">
        <v>22091</v>
      </c>
      <c r="D5334" s="3" t="s">
        <v>22092</v>
      </c>
      <c r="E5334" s="3" t="s">
        <v>22093</v>
      </c>
      <c r="F5334" s="3" t="s">
        <v>22094</v>
      </c>
      <c r="G5334" s="3" t="str">
        <f ca="1">IFERROR(__xludf.DUMMYFUNCTION("googletranslate(D5334,""en"",""ja"")"),"ナフトキノン;ビタミンK")</f>
        <v>ナフトキノン;ビタミンK</v>
      </c>
      <c r="H5334" s="3" t="str">
        <f ca="1">IFERROR(__xludf.DUMMYFUNCTION("googletranslate(E5334,""en"",""ja"")"),"生物学的標本中の総ビタミン K の測定値。")</f>
        <v>生物学的標本中の総ビタミン K の測定値。</v>
      </c>
      <c r="I5334" s="3" t="str">
        <f ca="1">IFERROR(__xludf.DUMMYFUNCTION("googletranslate(F5334,""en"",""ja"")"),"ビタミンK測定")</f>
        <v>ビタミンK測定</v>
      </c>
    </row>
    <row r="5335" spans="1:9" ht="30">
      <c r="A5335" s="3" t="s">
        <v>6</v>
      </c>
      <c r="B5335" s="3" t="s">
        <v>22095</v>
      </c>
      <c r="C5335" s="3" t="s">
        <v>22096</v>
      </c>
      <c r="D5335" s="3" t="s">
        <v>22097</v>
      </c>
      <c r="E5335" s="3" t="s">
        <v>22098</v>
      </c>
      <c r="F5335" s="3" t="s">
        <v>22099</v>
      </c>
      <c r="G5335" s="3" t="str">
        <f ca="1">IFERROR(__xludf.DUMMYFUNCTION("googletranslate(D5335,""en"",""ja"")"),"フィロキノン;フィトメナジオン;ビタミンK1")</f>
        <v>フィロキノン;フィトメナジオン;ビタミンK1</v>
      </c>
      <c r="H5335" s="3" t="str">
        <f ca="1">IFERROR(__xludf.DUMMYFUNCTION("googletranslate(E5335,""en"",""ja"")"),"生物学的標本中のビタミン K1 の測定。")</f>
        <v>生物学的標本中のビタミン K1 の測定。</v>
      </c>
      <c r="I5335" s="3" t="str">
        <f ca="1">IFERROR(__xludf.DUMMYFUNCTION("googletranslate(F5335,""en"",""ja"")"),"ビタミンK1測定")</f>
        <v>ビタミンK1測定</v>
      </c>
    </row>
    <row r="5336" spans="1:9" ht="30">
      <c r="A5336" s="3" t="s">
        <v>6</v>
      </c>
      <c r="B5336" s="3" t="s">
        <v>22100</v>
      </c>
      <c r="C5336" s="3" t="s">
        <v>22101</v>
      </c>
      <c r="D5336" s="3" t="s">
        <v>22101</v>
      </c>
      <c r="E5336" s="3" t="s">
        <v>22102</v>
      </c>
      <c r="F5336" s="3" t="s">
        <v>22103</v>
      </c>
      <c r="G5336" s="3" t="str">
        <f ca="1">IFERROR(__xludf.DUMMYFUNCTION("googletranslate(D5336,""en"",""ja"")"),"VLDLコレステロール")</f>
        <v>VLDLコレステロール</v>
      </c>
      <c r="H5336" s="3" t="str">
        <f ca="1">IFERROR(__xludf.DUMMYFUNCTION("googletranslate(E5336,""en"",""ja"")"),"生物学的標本中の超低密度リポタンパク質コレステロールの測定。")</f>
        <v>生物学的標本中の超低密度リポタンパク質コレステロールの測定。</v>
      </c>
      <c r="I5336" s="3" t="str">
        <f ca="1">IFERROR(__xludf.DUMMYFUNCTION("googletranslate(F5336,""en"",""ja"")"),"超低密度リポタンパク質コレステロール測定")</f>
        <v>超低密度リポタンパク質コレステロール測定</v>
      </c>
    </row>
    <row r="5337" spans="1:9" ht="30">
      <c r="A5337" s="3" t="s">
        <v>6</v>
      </c>
      <c r="B5337" s="3" t="s">
        <v>22104</v>
      </c>
      <c r="C5337" s="3" t="s">
        <v>22105</v>
      </c>
      <c r="D5337" s="3" t="s">
        <v>22105</v>
      </c>
      <c r="E5337" s="3" t="s">
        <v>22106</v>
      </c>
      <c r="F5337" s="3" t="s">
        <v>22107</v>
      </c>
      <c r="G5337" s="3" t="str">
        <f ca="1">IFERROR(__xludf.DUMMYFUNCTION("googletranslate(D5337,""en"",""ja"")"),"VLDL コレステロール サブタイプ 1")</f>
        <v>VLDL コレステロール サブタイプ 1</v>
      </c>
      <c r="H5337" s="3" t="str">
        <f ca="1">IFERROR(__xludf.DUMMYFUNCTION("googletranslate(E5337,""en"",""ja"")"),"生物学的標本中の超低密度リポタンパク質コレステロール サブタイプ 1 の測定。")</f>
        <v>生物学的標本中の超低密度リポタンパク質コレステロール サブタイプ 1 の測定。</v>
      </c>
      <c r="I5337" s="3" t="str">
        <f ca="1">IFERROR(__xludf.DUMMYFUNCTION("googletranslate(F5337,""en"",""ja"")"),"VLDL コレステロール サブタイプ 1 の測定")</f>
        <v>VLDL コレステロール サブタイプ 1 の測定</v>
      </c>
    </row>
    <row r="5338" spans="1:9" ht="30">
      <c r="A5338" s="3" t="s">
        <v>6</v>
      </c>
      <c r="B5338" s="3" t="s">
        <v>22108</v>
      </c>
      <c r="C5338" s="3" t="s">
        <v>22109</v>
      </c>
      <c r="D5338" s="3" t="s">
        <v>22109</v>
      </c>
      <c r="E5338" s="3" t="s">
        <v>22110</v>
      </c>
      <c r="F5338" s="3" t="s">
        <v>22111</v>
      </c>
      <c r="G5338" s="3" t="str">
        <f ca="1">IFERROR(__xludf.DUMMYFUNCTION("googletranslate(D5338,""en"",""ja"")"),"VLDL コレステロール サブタイプ 2")</f>
        <v>VLDL コレステロール サブタイプ 2</v>
      </c>
      <c r="H5338" s="3" t="str">
        <f ca="1">IFERROR(__xludf.DUMMYFUNCTION("googletranslate(E5338,""en"",""ja"")"),"生体標本中の超低密度リポタンパク質コレステロール サブタイプ 2 の測定。")</f>
        <v>生体標本中の超低密度リポタンパク質コレステロール サブタイプ 2 の測定。</v>
      </c>
      <c r="I5338" s="3" t="str">
        <f ca="1">IFERROR(__xludf.DUMMYFUNCTION("googletranslate(F5338,""en"",""ja"")"),"VLDL コレステロール サブタイプ 2 の測定")</f>
        <v>VLDL コレステロール サブタイプ 2 の測定</v>
      </c>
    </row>
    <row r="5339" spans="1:9" ht="30">
      <c r="A5339" s="3" t="s">
        <v>6</v>
      </c>
      <c r="B5339" s="3" t="s">
        <v>22112</v>
      </c>
      <c r="C5339" s="3" t="s">
        <v>22113</v>
      </c>
      <c r="D5339" s="3" t="s">
        <v>22113</v>
      </c>
      <c r="E5339" s="3" t="s">
        <v>22114</v>
      </c>
      <c r="F5339" s="3" t="s">
        <v>22115</v>
      </c>
      <c r="G5339" s="3" t="str">
        <f ca="1">IFERROR(__xludf.DUMMYFUNCTION("googletranslate(D5339,""en"",""ja"")"),"VLDL コレステロール サブタイプ 3")</f>
        <v>VLDL コレステロール サブタイプ 3</v>
      </c>
      <c r="H5339" s="3" t="str">
        <f ca="1">IFERROR(__xludf.DUMMYFUNCTION("googletranslate(E5339,""en"",""ja"")"),"生体標本中の超低密度リポタンパク質コレステロール サブタイプ 3 の測定。")</f>
        <v>生体標本中の超低密度リポタンパク質コレステロール サブタイプ 3 の測定。</v>
      </c>
      <c r="I5339" s="3" t="str">
        <f ca="1">IFERROR(__xludf.DUMMYFUNCTION("googletranslate(F5339,""en"",""ja"")"),"VLDLコレステロールサブタイプ3の測定")</f>
        <v>VLDLコレステロールサブタイプ3の測定</v>
      </c>
    </row>
    <row r="5340" spans="1:9" ht="30">
      <c r="A5340" s="3" t="s">
        <v>6</v>
      </c>
      <c r="B5340" s="3" t="s">
        <v>22116</v>
      </c>
      <c r="C5340" s="3" t="s">
        <v>22117</v>
      </c>
      <c r="D5340" s="3" t="s">
        <v>22117</v>
      </c>
      <c r="E5340" s="3" t="s">
        <v>22118</v>
      </c>
      <c r="F5340" s="3" t="s">
        <v>22119</v>
      </c>
      <c r="G5340" s="3" t="str">
        <f ca="1">IFERROR(__xludf.DUMMYFUNCTION("googletranslate(D5340,""en"",""ja"")"),"VLDL 粒子サイズ")</f>
        <v>VLDL 粒子サイズ</v>
      </c>
      <c r="H5340" s="3" t="str">
        <f ca="1">IFERROR(__xludf.DUMMYFUNCTION("googletranslate(E5340,""en"",""ja"")"),"生体試料中の超低密度リポタンパク質の平均粒子サイズの測定。")</f>
        <v>生体試料中の超低密度リポタンパク質の平均粒子サイズの測定。</v>
      </c>
      <c r="I5340" s="3" t="str">
        <f ca="1">IFERROR(__xludf.DUMMYFUNCTION("googletranslate(F5340,""en"",""ja"")"),"VLDL粒子径測定")</f>
        <v>VLDL粒子径測定</v>
      </c>
    </row>
    <row r="5341" spans="1:9" ht="30">
      <c r="A5341" s="3" t="s">
        <v>6</v>
      </c>
      <c r="B5341" s="3" t="s">
        <v>22120</v>
      </c>
      <c r="C5341" s="3" t="s">
        <v>22121</v>
      </c>
      <c r="D5341" s="3" t="s">
        <v>22121</v>
      </c>
      <c r="E5341" s="3" t="s">
        <v>22122</v>
      </c>
      <c r="F5341" s="3" t="s">
        <v>22123</v>
      </c>
      <c r="G5341" s="3" t="str">
        <f ca="1">IFERROR(__xludf.DUMMYFUNCTION("googletranslate(D5341,""en"",""ja"")"),"VLDLトリグリセリド")</f>
        <v>VLDLトリグリセリド</v>
      </c>
      <c r="H5341" s="3" t="str">
        <f ca="1">IFERROR(__xludf.DUMMYFUNCTION("googletranslate(E5341,""en"",""ja"")"),"生体標本中の超低密度リポタンパク質トリグリセリドの測定。")</f>
        <v>生体標本中の超低密度リポタンパク質トリグリセリドの測定。</v>
      </c>
      <c r="I5341" s="3" t="str">
        <f ca="1">IFERROR(__xludf.DUMMYFUNCTION("googletranslate(F5341,""en"",""ja"")"),"VLDL中性脂肪測定")</f>
        <v>VLDL中性脂肪測定</v>
      </c>
    </row>
    <row r="5342" spans="1:9" ht="60">
      <c r="A5342" s="3" t="s">
        <v>6</v>
      </c>
      <c r="B5342" s="3" t="s">
        <v>22124</v>
      </c>
      <c r="C5342" s="3" t="s">
        <v>22125</v>
      </c>
      <c r="D5342" s="3" t="s">
        <v>22126</v>
      </c>
      <c r="E5342" s="3" t="s">
        <v>22127</v>
      </c>
      <c r="F5342" s="3" t="s">
        <v>22128</v>
      </c>
      <c r="G5342" s="3" t="str">
        <f ca="1">IFERROR(__xludf.DUMMYFUNCTION("googletranslate(D5342,""en"",""ja"")"),"VLDL トリガー + カイロミクロン トリガー; VLDLトリグリセリド + カイロミクロントリグリセリド")</f>
        <v>VLDL トリガー + カイロミクロン トリガー; VLDLトリグリセリド + カイロミクロントリグリセリド</v>
      </c>
      <c r="H5342" s="3" t="str">
        <f ca="1">IFERROR(__xludf.DUMMYFUNCTION("googletranslate(E5342,""en"",""ja"")"),"生体標本中の超低密度リポタンパク質トリグリセリドとカイロミクロン トリグリセリドの測定。")</f>
        <v>生体標本中の超低密度リポタンパク質トリグリセリドとカイロミクロン トリグリセリドの測定。</v>
      </c>
      <c r="I5342" s="3" t="str">
        <f ca="1">IFERROR(__xludf.DUMMYFUNCTION("googletranslate(F5342,""en"",""ja"")"),"VLDLトリグリセリドおよびカイロミクロントリグリセリドの測定")</f>
        <v>VLDLトリグリセリドおよびカイロミクロントリグリセリドの測定</v>
      </c>
    </row>
    <row r="5343" spans="1:9" ht="45">
      <c r="A5343" s="3" t="s">
        <v>103</v>
      </c>
      <c r="B5343" s="3" t="s">
        <v>22129</v>
      </c>
      <c r="C5343" s="3" t="s">
        <v>22130</v>
      </c>
      <c r="D5343" s="3" t="s">
        <v>22131</v>
      </c>
      <c r="E5343" s="3" t="s">
        <v>22132</v>
      </c>
      <c r="F5343" s="3" t="s">
        <v>22133</v>
      </c>
      <c r="G5343" s="3" t="str">
        <f ca="1">IFERROR(__xludf.DUMMYFUNCTION("googletranslate(D5343,""en"",""ja"")"),"白血球生存率 %;生きた白血球/全細胞;生存白血球/総細胞数")</f>
        <v>白血球生存率 %;生きた白血球/全細胞;生存白血球/総細胞数</v>
      </c>
      <c r="H5343" s="3" t="str">
        <f ca="1">IFERROR(__xludf.DUMMYFUNCTION("googletranslate(E5343,""en"",""ja"")"),"生物学的標本の全細胞に対する生存可能な白血球の相対的な測定値 (比率またはパーセンテージ)。")</f>
        <v>生物学的標本の全細胞に対する生存可能な白血球の相対的な測定値 (比率またはパーセンテージ)。</v>
      </c>
      <c r="I5343" s="3" t="str">
        <f ca="1">IFERROR(__xludf.DUMMYFUNCTION("googletranslate(F5343,""en"",""ja"")"),"生存白血球対総細胞比の測定")</f>
        <v>生存白血球対総細胞比の測定</v>
      </c>
    </row>
    <row r="5344" spans="1:9" ht="30">
      <c r="A5344" s="3" t="s">
        <v>81</v>
      </c>
      <c r="B5344" s="3" t="s">
        <v>22134</v>
      </c>
      <c r="C5344" s="3" t="s">
        <v>22135</v>
      </c>
      <c r="D5344" s="3" t="s">
        <v>22135</v>
      </c>
      <c r="E5344" s="3" t="s">
        <v>22136</v>
      </c>
      <c r="F5344" s="3" t="s">
        <v>22135</v>
      </c>
      <c r="G5344" s="3" t="str">
        <f ca="1">IFERROR(__xludf.DUMMYFUNCTION("googletranslate(D5344,""en"",""ja"")"),"心臓弁狭窄インジケーター")</f>
        <v>心臓弁狭窄インジケーター</v>
      </c>
      <c r="H5344" s="3" t="str">
        <f ca="1">IFERROR(__xludf.DUMMYFUNCTION("googletranslate(E5344,""en"",""ja"")"),"問題の心臓弁に狭窄があるかどうかの指標。")</f>
        <v>問題の心臓弁に狭窄があるかどうかの指標。</v>
      </c>
      <c r="I5344" s="3" t="str">
        <f ca="1">IFERROR(__xludf.DUMMYFUNCTION("googletranslate(F5344,""en"",""ja"")"),"心臓弁狭窄インジケーター")</f>
        <v>心臓弁狭窄インジケーター</v>
      </c>
    </row>
    <row r="5345" spans="1:9" ht="30">
      <c r="A5345" s="3" t="s">
        <v>81</v>
      </c>
      <c r="B5345" s="3" t="s">
        <v>22137</v>
      </c>
      <c r="C5345" s="3" t="s">
        <v>22138</v>
      </c>
      <c r="D5345" s="3" t="s">
        <v>22138</v>
      </c>
      <c r="E5345" s="3" t="s">
        <v>22139</v>
      </c>
      <c r="F5345" s="3" t="s">
        <v>22138</v>
      </c>
      <c r="G5345" s="3" t="str">
        <f ca="1">IFERROR(__xludf.DUMMYFUNCTION("googletranslate(D5345,""en"",""ja"")"),"心臓弁狭窄の可能性のある病因")</f>
        <v>心臓弁狭窄の可能性のある病因</v>
      </c>
      <c r="H5345" s="3" t="str">
        <f ca="1">IFERROR(__xludf.DUMMYFUNCTION("googletranslate(E5345,""en"",""ja"")"),"心臓弁狭窄の原因となる病理の考えられる原因の説明。")</f>
        <v>心臓弁狭窄の原因となる病理の考えられる原因の説明。</v>
      </c>
      <c r="I5345" s="3" t="str">
        <f ca="1">IFERROR(__xludf.DUMMYFUNCTION("googletranslate(F5345,""en"",""ja"")"),"心臓弁狭窄の可能性のある病因")</f>
        <v>心臓弁狭窄の可能性のある病因</v>
      </c>
    </row>
    <row r="5346" spans="1:9" ht="30">
      <c r="A5346" s="3" t="s">
        <v>81</v>
      </c>
      <c r="B5346" s="3" t="s">
        <v>22140</v>
      </c>
      <c r="C5346" s="3" t="s">
        <v>22141</v>
      </c>
      <c r="D5346" s="3" t="s">
        <v>22141</v>
      </c>
      <c r="E5346" s="3" t="s">
        <v>22142</v>
      </c>
      <c r="F5346" s="3" t="s">
        <v>22141</v>
      </c>
      <c r="G5346" s="3" t="str">
        <f ca="1">IFERROR(__xludf.DUMMYFUNCTION("googletranslate(D5346,""en"",""ja"")"),"バルブエリア")</f>
        <v>バルブエリア</v>
      </c>
      <c r="H5346" s="3" t="str">
        <f ca="1">IFERROR(__xludf.DUMMYFUNCTION("googletranslate(E5346,""en"",""ja"")"),"バルブの表面積を推定する定量的な測定。")</f>
        <v>バルブの表面積を推定する定量的な測定。</v>
      </c>
      <c r="I5346" s="3" t="str">
        <f ca="1">IFERROR(__xludf.DUMMYFUNCTION("googletranslate(F5346,""en"",""ja"")"),"バルブエリア")</f>
        <v>バルブエリア</v>
      </c>
    </row>
    <row r="5347" spans="1:9">
      <c r="A5347" s="3" t="s">
        <v>6</v>
      </c>
      <c r="B5347" s="3" t="s">
        <v>22143</v>
      </c>
      <c r="C5347" s="3" t="s">
        <v>22144</v>
      </c>
      <c r="D5347" s="3" t="s">
        <v>22144</v>
      </c>
      <c r="E5347" s="3" t="s">
        <v>22145</v>
      </c>
      <c r="F5347" s="3" t="s">
        <v>22146</v>
      </c>
      <c r="G5347" s="3" t="str">
        <f ca="1">IFERROR(__xludf.DUMMYFUNCTION("googletranslate(D5347,""en"",""ja"")"),"ビラゾドン")</f>
        <v>ビラゾドン</v>
      </c>
      <c r="H5347" s="3" t="str">
        <f ca="1">IFERROR(__xludf.DUMMYFUNCTION("googletranslate(E5347,""en"",""ja"")"),"生物学的標本中のビラゾドンの測定。")</f>
        <v>生物学的標本中のビラゾドンの測定。</v>
      </c>
      <c r="I5347" s="3" t="str">
        <f ca="1">IFERROR(__xludf.DUMMYFUNCTION("googletranslate(F5347,""en"",""ja"")"),"ビラゾドンの測定")</f>
        <v>ビラゾドンの測定</v>
      </c>
    </row>
    <row r="5348" spans="1:9" ht="45">
      <c r="A5348" s="3" t="s">
        <v>6</v>
      </c>
      <c r="B5348" s="3" t="s">
        <v>22147</v>
      </c>
      <c r="C5348" s="3" t="s">
        <v>22148</v>
      </c>
      <c r="D5348" s="3" t="s">
        <v>22149</v>
      </c>
      <c r="E5348" s="3" t="s">
        <v>22150</v>
      </c>
      <c r="F5348" s="3" t="s">
        <v>22151</v>
      </c>
      <c r="G5348" s="3" t="str">
        <f ca="1">IFERROR(__xludf.DUMMYFUNCTION("googletranslate(D5348,""en"",""ja"")"),"バニリルマンデル酸;バニリルマンデル酸;バニルマンデル酸")</f>
        <v>バニリルマンデル酸;バニリルマンデル酸;バニルマンデル酸</v>
      </c>
      <c r="H5348" s="3" t="str">
        <f ca="1">IFERROR(__xludf.DUMMYFUNCTION("googletranslate(E5348,""en"",""ja"")"),"生物学的標本中のバニリルマンデル酸代謝産物の測定。")</f>
        <v>生物学的標本中のバニリルマンデル酸代謝産物の測定。</v>
      </c>
      <c r="I5348" s="3" t="str">
        <f ca="1">IFERROR(__xludf.DUMMYFUNCTION("googletranslate(F5348,""en"",""ja"")"),"バニリルマンデル酸の測定")</f>
        <v>バニリルマンデル酸の測定</v>
      </c>
    </row>
    <row r="5349" spans="1:9" ht="45">
      <c r="A5349" s="3" t="s">
        <v>6</v>
      </c>
      <c r="B5349" s="3" t="s">
        <v>22152</v>
      </c>
      <c r="C5349" s="3" t="s">
        <v>22153</v>
      </c>
      <c r="D5349" s="3" t="s">
        <v>22153</v>
      </c>
      <c r="E5349" s="3" t="s">
        <v>22154</v>
      </c>
      <c r="F5349" s="3" t="s">
        <v>22153</v>
      </c>
      <c r="G5349" s="3" t="str">
        <f ca="1">IFERROR(__xludf.DUMMYFUNCTION("googletranslate(D5349,""en"",""ja"")"),"バニリルマンデル酸排泄率")</f>
        <v>バニリルマンデル酸排泄率</v>
      </c>
      <c r="H5349" s="3" t="str">
        <f ca="1">IFERROR(__xludf.DUMMYFUNCTION("googletranslate(E5349,""en"",""ja"")"),"規定の時間 (例: 1 時間) にわたって生物学的検体中に排泄されるバニリル マンデル酸の量の測定。")</f>
        <v>規定の時間 (例: 1 時間) にわたって生物学的検体中に排泄されるバニリル マンデル酸の量の測定。</v>
      </c>
      <c r="I5349" s="3" t="str">
        <f ca="1">IFERROR(__xludf.DUMMYFUNCTION("googletranslate(F5349,""en"",""ja"")"),"バニリルマンデル酸排泄率")</f>
        <v>バニリルマンデル酸排泄率</v>
      </c>
    </row>
    <row r="5350" spans="1:9" ht="60">
      <c r="A5350" s="3" t="s">
        <v>1255</v>
      </c>
      <c r="B5350" s="3" t="s">
        <v>22155</v>
      </c>
      <c r="C5350" s="3" t="s">
        <v>22156</v>
      </c>
      <c r="D5350" s="3" t="s">
        <v>22157</v>
      </c>
      <c r="E5350" s="3" t="s">
        <v>22158</v>
      </c>
      <c r="F5350" s="3" t="s">
        <v>22156</v>
      </c>
      <c r="G5350" s="3" t="str">
        <f ca="1">IFERROR(__xludf.DUMMYFUNCTION("googletranslate(D5350,""en"",""ja"")"),"換気モード;人工呼吸器モード")</f>
        <v>換気モード;人工呼吸器モード</v>
      </c>
      <c r="H5350" s="3" t="str">
        <f ca="1">IFERROR(__xludf.DUMMYFUNCTION("googletranslate(E5350,""en"",""ja"")"),"部分的または完全に人工呼吸器から患者に人工呼吸を提供するタイミングを決定する換気設定。したがって、人工呼吸中の患者の呼吸パターンが決定されます。")</f>
        <v>部分的または完全に人工呼吸器から患者に人工呼吸を提供するタイミングを決定する換気設定。したがって、人工呼吸中の患者の呼吸パターンが決定されます。</v>
      </c>
      <c r="I5350" s="3" t="str">
        <f ca="1">IFERROR(__xludf.DUMMYFUNCTION("googletranslate(F5350,""en"",""ja"")"),"人工呼吸器モード")</f>
        <v>人工呼吸器モード</v>
      </c>
    </row>
    <row r="5351" spans="1:9" ht="60">
      <c r="A5351" s="3" t="s">
        <v>5065</v>
      </c>
      <c r="B5351" s="3" t="s">
        <v>22159</v>
      </c>
      <c r="C5351" s="3" t="s">
        <v>22160</v>
      </c>
      <c r="D5351" s="3" t="s">
        <v>22161</v>
      </c>
      <c r="E5351" s="3" t="s">
        <v>22162</v>
      </c>
      <c r="F5351" s="3" t="s">
        <v>22163</v>
      </c>
      <c r="G5351" s="3" t="str">
        <f ca="1">IFERROR(__xludf.DUMMYFUNCTION("googletranslate(D5351,""en"",""ja"")"),"タンデムリピートバリエーション;可変ヌクレオチドタンデムリピート。可変数タンデムリピート")</f>
        <v>タンデムリピートバリエーション;可変ヌクレオチドタンデムリピート。可変数タンデムリピート</v>
      </c>
      <c r="H5351" s="3" t="str">
        <f ca="1">IFERROR(__xludf.DUMMYFUNCTION("googletranslate(E5351,""en"",""ja"")"),"短い (2 ～ 60 ヌクレオチド) DNA 配列の端から端まで隣接するコピーであるタンデムリピートヌクレオチド配列の数の変動の評価。")</f>
        <v>短い (2 ～ 60 ヌクレオチド) DNA 配列の端から端まで隣接するコピーであるタンデムリピートヌクレオチド配列の数の変動の評価。</v>
      </c>
      <c r="I5351" s="3" t="str">
        <f ca="1">IFERROR(__xludf.DUMMYFUNCTION("googletranslate(F5351,""en"",""ja"")"),"可変数タンデムリピート評価")</f>
        <v>可変数タンデムリピート評価</v>
      </c>
    </row>
    <row r="5352" spans="1:9">
      <c r="A5352" s="3" t="s">
        <v>51</v>
      </c>
      <c r="B5352" s="3" t="s">
        <v>22164</v>
      </c>
      <c r="C5352" s="3" t="s">
        <v>22165</v>
      </c>
      <c r="D5352" s="3" t="s">
        <v>22166</v>
      </c>
      <c r="E5352" s="3" t="s">
        <v>22167</v>
      </c>
      <c r="F5352" s="3" t="s">
        <v>22168</v>
      </c>
      <c r="G5352" s="3" t="str">
        <f ca="1">IFERROR(__xludf.DUMMYFUNCTION("googletranslate(D5352,""en"",""ja"")"),"酢酸ビニル;ビニル酢酸")</f>
        <v>酢酸ビニル;ビニル酢酸</v>
      </c>
      <c r="H5352" s="3" t="str">
        <f ca="1">IFERROR(__xludf.DUMMYFUNCTION("googletranslate(E5352,""en"",""ja"")"),"試験片中の酢酸ビニルの測定。")</f>
        <v>試験片中の酢酸ビニルの測定。</v>
      </c>
      <c r="I5352" s="3" t="str">
        <f ca="1">IFERROR(__xludf.DUMMYFUNCTION("googletranslate(F5352,""en"",""ja"")"),"酢酸ビニルの測定")</f>
        <v>酢酸ビニルの測定</v>
      </c>
    </row>
    <row r="5353" spans="1:9">
      <c r="A5353" s="3" t="s">
        <v>51</v>
      </c>
      <c r="B5353" s="3" t="s">
        <v>22169</v>
      </c>
      <c r="C5353" s="3" t="s">
        <v>22170</v>
      </c>
      <c r="D5353" s="3" t="s">
        <v>22170</v>
      </c>
      <c r="E5353" s="3" t="s">
        <v>22171</v>
      </c>
      <c r="F5353" s="3" t="s">
        <v>22172</v>
      </c>
      <c r="G5353" s="3" t="str">
        <f ca="1">IFERROR(__xludf.DUMMYFUNCTION("googletranslate(D5353,""en"",""ja"")"),"塩化ビニル")</f>
        <v>塩化ビニル</v>
      </c>
      <c r="H5353" s="3" t="str">
        <f ca="1">IFERROR(__xludf.DUMMYFUNCTION("googletranslate(E5353,""en"",""ja"")"),"試験片中の塩化ビニルの測定。")</f>
        <v>試験片中の塩化ビニルの測定。</v>
      </c>
      <c r="I5353" s="3" t="str">
        <f ca="1">IFERROR(__xludf.DUMMYFUNCTION("googletranslate(F5353,""en"",""ja"")"),"塩化ビニルの測定")</f>
        <v>塩化ビニルの測定</v>
      </c>
    </row>
    <row r="5354" spans="1:9" ht="30">
      <c r="A5354" s="3" t="s">
        <v>490</v>
      </c>
      <c r="B5354" s="3" t="s">
        <v>22173</v>
      </c>
      <c r="C5354" s="3" t="s">
        <v>22174</v>
      </c>
      <c r="D5354" s="3" t="s">
        <v>22174</v>
      </c>
      <c r="E5354" s="3" t="s">
        <v>22175</v>
      </c>
      <c r="F5354" s="3" t="s">
        <v>22174</v>
      </c>
      <c r="G5354" s="3" t="str">
        <f ca="1">IFERROR(__xludf.DUMMYFUNCTION("googletranslate(D5354,""en"",""ja"")"),"酸素消費量")</f>
        <v>酸素消費量</v>
      </c>
      <c r="H5354" s="3" t="str">
        <f ca="1">IFERROR(__xludf.DUMMYFUNCTION("googletranslate(E5354,""en"",""ja"")"),"体内の特定の組織によって酸素が吸収および利用される速度。")</f>
        <v>体内の特定の組織によって酸素が吸収および利用される速度。</v>
      </c>
      <c r="I5354" s="3" t="str">
        <f ca="1">IFERROR(__xludf.DUMMYFUNCTION("googletranslate(F5354,""en"",""ja"")"),"酸素消費量")</f>
        <v>酸素消費量</v>
      </c>
    </row>
    <row r="5355" spans="1:9" ht="45">
      <c r="A5355" s="3" t="s">
        <v>490</v>
      </c>
      <c r="B5355" s="3" t="s">
        <v>22176</v>
      </c>
      <c r="C5355" s="3" t="s">
        <v>22177</v>
      </c>
      <c r="D5355" s="3" t="s">
        <v>22177</v>
      </c>
      <c r="E5355" s="3" t="s">
        <v>22178</v>
      </c>
      <c r="F5355" s="3" t="s">
        <v>22179</v>
      </c>
      <c r="G5355" s="3" t="str">
        <f ca="1">IFERROR(__xludf.DUMMYFUNCTION("googletranslate(D5355,""en"",""ja"")"),"最大酸素消費量")</f>
        <v>最大酸素消費量</v>
      </c>
      <c r="H5355" s="3" t="str">
        <f ca="1">IFERROR(__xludf.DUMMYFUNCTION("googletranslate(E5355,""en"",""ja"")"),"酸素摂取量が増加しなくなり、それを超えるといかなる努力レベルでも増加させることができない酸素利用率の最大値。")</f>
        <v>酸素摂取量が増加しなくなり、それを超えるといかなる努力レベルでも増加させることができない酸素利用率の最大値。</v>
      </c>
      <c r="I5355" s="3" t="str">
        <f ca="1">IFERROR(__xludf.DUMMYFUNCTION("googletranslate(F5355,""en"",""ja"")"),"最大酸素摂取量")</f>
        <v>最大酸素摂取量</v>
      </c>
    </row>
    <row r="5356" spans="1:9" ht="60">
      <c r="A5356" s="3" t="s">
        <v>490</v>
      </c>
      <c r="B5356" s="3" t="s">
        <v>22180</v>
      </c>
      <c r="C5356" s="3" t="s">
        <v>22181</v>
      </c>
      <c r="D5356" s="3" t="s">
        <v>22182</v>
      </c>
      <c r="E5356" s="3" t="s">
        <v>22183</v>
      </c>
      <c r="F5356" s="3" t="s">
        <v>22181</v>
      </c>
      <c r="G5356" s="3" t="str">
        <f ca="1">IFERROR(__xludf.DUMMYFUNCTION("googletranslate(D5356,""en"",""ja"")"),"推定最大有酸素能力。推定最大酸素消費量")</f>
        <v>推定最大有酸素能力。推定最大酸素消費量</v>
      </c>
      <c r="H5356" s="3" t="str">
        <f ca="1">IFERROR(__xludf.DUMMYFUNCTION("googletranslate(E5356,""en"",""ja"")"),"最大値以下の運動パフォーマンスに対する生理学的反応から導出される予測最大酸素摂取率。心肺機能の指標として使用されます。")</f>
        <v>最大値以下の運動パフォーマンスに対する生理学的反応から導出される予測最大酸素摂取率。心肺機能の指標として使用されます。</v>
      </c>
      <c r="I5356" s="3" t="str">
        <f ca="1">IFERROR(__xludf.DUMMYFUNCTION("googletranslate(F5356,""en"",""ja"")"),"推定最大酸素消費量")</f>
        <v>推定最大酸素消費量</v>
      </c>
    </row>
    <row r="5357" spans="1:9" ht="45">
      <c r="A5357" s="3" t="s">
        <v>185</v>
      </c>
      <c r="B5357" s="3" t="s">
        <v>22184</v>
      </c>
      <c r="C5357" s="3" t="s">
        <v>22185</v>
      </c>
      <c r="D5357" s="3" t="s">
        <v>22185</v>
      </c>
      <c r="E5357" s="3" t="s">
        <v>22186</v>
      </c>
      <c r="F5357" s="3" t="s">
        <v>22187</v>
      </c>
      <c r="G5357" s="3" t="str">
        <f ca="1">IFERROR(__xludf.DUMMYFUNCTION("googletranslate(D5357,""en"",""ja"")"),"CABG 48 インド後の血管閉塞")</f>
        <v>CABG 48 インド後の血管閉塞</v>
      </c>
      <c r="H5357" s="3" t="str">
        <f ca="1">IFERROR(__xludf.DUMMYFUNCTION("googletranslate(E5357,""en"",""ja"")"),"冠状動脈バイパス移植手術後 48 時間以内に、天然移植片またはバイパス移植片における血管閉塞が発生したかどうかを示します。")</f>
        <v>冠状動脈バイパス移植手術後 48 時間以内に、天然移植片またはバイパス移植片における血管閉塞が発生したかどうかを示します。</v>
      </c>
      <c r="I5357" s="3" t="str">
        <f ca="1">IFERROR(__xludf.DUMMYFUNCTION("googletranslate(F5357,""en"",""ja"")"),"CABG インジケーターから 48 時間後の血管閉塞")</f>
        <v>CABG インジケーターから 48 時間後の血管閉塞</v>
      </c>
    </row>
    <row r="5358" spans="1:9" ht="30">
      <c r="A5358" s="3" t="s">
        <v>185</v>
      </c>
      <c r="B5358" s="3" t="s">
        <v>22188</v>
      </c>
      <c r="C5358" s="3" t="s">
        <v>22189</v>
      </c>
      <c r="D5358" s="3" t="s">
        <v>22189</v>
      </c>
      <c r="E5358" s="3" t="s">
        <v>22190</v>
      </c>
      <c r="F5358" s="3" t="s">
        <v>22191</v>
      </c>
      <c r="G5358" s="3" t="str">
        <f ca="1">IFERROR(__xludf.DUMMYFUNCTION("googletranslate(D5358,""en"",""ja"")"),"音量")</f>
        <v>音量</v>
      </c>
      <c r="H5358" s="3" t="str">
        <f ca="1">IFERROR(__xludf.DUMMYFUNCTION("googletranslate(E5358,""en"",""ja"")"),"物体が占める 3 次元空間の量、または空間やコンテナの容量の測定値。")</f>
        <v>物体が占める 3 次元空間の量、または空間やコンテナの容量の測定値。</v>
      </c>
      <c r="I5358" s="3" t="str">
        <f ca="1">IFERROR(__xludf.DUMMYFUNCTION("googletranslate(F5358,""en"",""ja"")"),"体積測定")</f>
        <v>体積測定</v>
      </c>
    </row>
    <row r="5359" spans="1:9" ht="30">
      <c r="A5359" s="3" t="s">
        <v>33</v>
      </c>
      <c r="B5359" s="3" t="s">
        <v>22192</v>
      </c>
      <c r="C5359" s="3" t="s">
        <v>22189</v>
      </c>
      <c r="D5359" s="3" t="s">
        <v>22189</v>
      </c>
      <c r="E5359" s="3" t="s">
        <v>22190</v>
      </c>
      <c r="F5359" s="3" t="s">
        <v>22191</v>
      </c>
      <c r="G5359" s="3" t="str">
        <f ca="1">IFERROR(__xludf.DUMMYFUNCTION("googletranslate(D5359,""en"",""ja"")"),"音量")</f>
        <v>音量</v>
      </c>
      <c r="H5359" s="3" t="str">
        <f ca="1">IFERROR(__xludf.DUMMYFUNCTION("googletranslate(E5359,""en"",""ja"")"),"物体が占める 3 次元空間の量、または空間やコンテナの容量の測定値。")</f>
        <v>物体が占める 3 次元空間の量、または空間やコンテナの容量の測定値。</v>
      </c>
      <c r="I5359" s="3" t="str">
        <f ca="1">IFERROR(__xludf.DUMMYFUNCTION("googletranslate(F5359,""en"",""ja"")"),"体積測定")</f>
        <v>体積測定</v>
      </c>
    </row>
    <row r="5360" spans="1:9" ht="30">
      <c r="A5360" s="3" t="s">
        <v>155</v>
      </c>
      <c r="B5360" s="3" t="s">
        <v>22192</v>
      </c>
      <c r="C5360" s="3" t="s">
        <v>22189</v>
      </c>
      <c r="D5360" s="3" t="s">
        <v>22189</v>
      </c>
      <c r="E5360" s="3" t="s">
        <v>22190</v>
      </c>
      <c r="F5360" s="3" t="s">
        <v>22191</v>
      </c>
      <c r="G5360" s="3" t="str">
        <f ca="1">IFERROR(__xludf.DUMMYFUNCTION("googletranslate(D5360,""en"",""ja"")"),"音量")</f>
        <v>音量</v>
      </c>
      <c r="H5360" s="3" t="str">
        <f ca="1">IFERROR(__xludf.DUMMYFUNCTION("googletranslate(E5360,""en"",""ja"")"),"物体が占める 3 次元空間の量、または空間やコンテナの容量の測定値。")</f>
        <v>物体が占める 3 次元空間の量、または空間やコンテナの容量の測定値。</v>
      </c>
      <c r="I5360" s="3" t="str">
        <f ca="1">IFERROR(__xludf.DUMMYFUNCTION("googletranslate(F5360,""en"",""ja"")"),"体積測定")</f>
        <v>体積測定</v>
      </c>
    </row>
    <row r="5361" spans="1:9" ht="30">
      <c r="A5361" s="3" t="s">
        <v>210</v>
      </c>
      <c r="B5361" s="3" t="s">
        <v>22192</v>
      </c>
      <c r="C5361" s="3" t="s">
        <v>22189</v>
      </c>
      <c r="D5361" s="3" t="s">
        <v>22189</v>
      </c>
      <c r="E5361" s="3" t="s">
        <v>22190</v>
      </c>
      <c r="F5361" s="3" t="s">
        <v>22191</v>
      </c>
      <c r="G5361" s="3" t="str">
        <f ca="1">IFERROR(__xludf.DUMMYFUNCTION("googletranslate(D5361,""en"",""ja"")"),"音量")</f>
        <v>音量</v>
      </c>
      <c r="H5361" s="3" t="str">
        <f ca="1">IFERROR(__xludf.DUMMYFUNCTION("googletranslate(E5361,""en"",""ja"")"),"物体が占める 3 次元空間の量、または空間やコンテナの容量の測定値。")</f>
        <v>物体が占める 3 次元空間の量、または空間やコンテナの容量の測定値。</v>
      </c>
      <c r="I5361" s="3" t="str">
        <f ca="1">IFERROR(__xludf.DUMMYFUNCTION("googletranslate(F5361,""en"",""ja"")"),"体積測定")</f>
        <v>体積測定</v>
      </c>
    </row>
    <row r="5362" spans="1:9" ht="30">
      <c r="A5362" s="3" t="s">
        <v>159</v>
      </c>
      <c r="B5362" s="3" t="s">
        <v>22192</v>
      </c>
      <c r="C5362" s="3" t="s">
        <v>22189</v>
      </c>
      <c r="D5362" s="3" t="s">
        <v>22189</v>
      </c>
      <c r="E5362" s="3" t="s">
        <v>22190</v>
      </c>
      <c r="F5362" s="3" t="s">
        <v>22191</v>
      </c>
      <c r="G5362" s="3" t="str">
        <f ca="1">IFERROR(__xludf.DUMMYFUNCTION("googletranslate(D5362,""en"",""ja"")"),"音量")</f>
        <v>音量</v>
      </c>
      <c r="H5362" s="3" t="str">
        <f ca="1">IFERROR(__xludf.DUMMYFUNCTION("googletranslate(E5362,""en"",""ja"")"),"物体が占める 3 次元空間の量、または空間やコンテナの容量の測定値。")</f>
        <v>物体が占める 3 次元空間の量、または空間やコンテナの容量の測定値。</v>
      </c>
      <c r="I5362" s="3" t="str">
        <f ca="1">IFERROR(__xludf.DUMMYFUNCTION("googletranslate(F5362,""en"",""ja"")"),"体積測定")</f>
        <v>体積測定</v>
      </c>
    </row>
    <row r="5363" spans="1:9" ht="30">
      <c r="A5363" s="3" t="s">
        <v>6</v>
      </c>
      <c r="B5363" s="3" t="s">
        <v>22192</v>
      </c>
      <c r="C5363" s="3" t="s">
        <v>22189</v>
      </c>
      <c r="D5363" s="3" t="s">
        <v>22189</v>
      </c>
      <c r="E5363" s="3" t="s">
        <v>22190</v>
      </c>
      <c r="F5363" s="3" t="s">
        <v>22191</v>
      </c>
      <c r="G5363" s="3" t="str">
        <f ca="1">IFERROR(__xludf.DUMMYFUNCTION("googletranslate(D5363,""en"",""ja"")"),"音量")</f>
        <v>音量</v>
      </c>
      <c r="H5363" s="3" t="str">
        <f ca="1">IFERROR(__xludf.DUMMYFUNCTION("googletranslate(E5363,""en"",""ja"")"),"物体が占める 3 次元空間の量、または空間やコンテナの容量の測定値。")</f>
        <v>物体が占める 3 次元空間の量、または空間やコンテナの容量の測定値。</v>
      </c>
      <c r="I5363" s="3" t="str">
        <f ca="1">IFERROR(__xludf.DUMMYFUNCTION("googletranslate(F5363,""en"",""ja"")"),"体積測定")</f>
        <v>体積測定</v>
      </c>
    </row>
    <row r="5364" spans="1:9">
      <c r="A5364" s="3" t="s">
        <v>1255</v>
      </c>
      <c r="B5364" s="3" t="s">
        <v>22193</v>
      </c>
      <c r="C5364" s="3" t="s">
        <v>22194</v>
      </c>
      <c r="D5364" s="3" t="s">
        <v>22194</v>
      </c>
      <c r="E5364" s="3" t="s">
        <v>22195</v>
      </c>
      <c r="F5364" s="3" t="s">
        <v>22194</v>
      </c>
      <c r="G5364" s="3" t="str">
        <f ca="1">IFERROR(__xludf.DUMMYFUNCTION("googletranslate(D5364,""en"",""ja"")"),"X 軸ボクセル寸法")</f>
        <v>X 軸ボクセル寸法</v>
      </c>
      <c r="H5364" s="3" t="str">
        <f ca="1">IFERROR(__xludf.DUMMYFUNCTION("googletranslate(E5364,""en"",""ja"")"),"X 軸に沿ったボクセルの線形測定。")</f>
        <v>X 軸に沿ったボクセルの線形測定。</v>
      </c>
      <c r="I5364" s="3" t="str">
        <f ca="1">IFERROR(__xludf.DUMMYFUNCTION("googletranslate(F5364,""en"",""ja"")"),"X 軸ボクセル寸法")</f>
        <v>X 軸ボクセル寸法</v>
      </c>
    </row>
    <row r="5365" spans="1:9">
      <c r="A5365" s="3" t="s">
        <v>1255</v>
      </c>
      <c r="B5365" s="3" t="s">
        <v>22196</v>
      </c>
      <c r="C5365" s="3" t="s">
        <v>22197</v>
      </c>
      <c r="D5365" s="3" t="s">
        <v>22197</v>
      </c>
      <c r="E5365" s="3" t="s">
        <v>22198</v>
      </c>
      <c r="F5365" s="3" t="s">
        <v>22197</v>
      </c>
      <c r="G5365" s="3" t="str">
        <f ca="1">IFERROR(__xludf.DUMMYFUNCTION("googletranslate(D5365,""en"",""ja"")"),"Y 軸ボクセル寸法")</f>
        <v>Y 軸ボクセル寸法</v>
      </c>
      <c r="H5365" s="3" t="str">
        <f ca="1">IFERROR(__xludf.DUMMYFUNCTION("googletranslate(E5365,""en"",""ja"")"),"Y 軸に沿ったボクセルの線形測定。")</f>
        <v>Y 軸に沿ったボクセルの線形測定。</v>
      </c>
      <c r="I5365" s="3" t="str">
        <f ca="1">IFERROR(__xludf.DUMMYFUNCTION("googletranslate(F5365,""en"",""ja"")"),"Y 軸ボクセル寸法")</f>
        <v>Y 軸ボクセル寸法</v>
      </c>
    </row>
    <row r="5366" spans="1:9">
      <c r="A5366" s="3" t="s">
        <v>1255</v>
      </c>
      <c r="B5366" s="3" t="s">
        <v>22199</v>
      </c>
      <c r="C5366" s="3" t="s">
        <v>22200</v>
      </c>
      <c r="D5366" s="3" t="s">
        <v>22200</v>
      </c>
      <c r="E5366" s="3" t="s">
        <v>22201</v>
      </c>
      <c r="F5366" s="3" t="s">
        <v>22200</v>
      </c>
      <c r="G5366" s="3" t="str">
        <f ca="1">IFERROR(__xludf.DUMMYFUNCTION("googletranslate(D5366,""en"",""ja"")"),"Z 軸ボクセル寸法")</f>
        <v>Z 軸ボクセル寸法</v>
      </c>
      <c r="H5366" s="3" t="str">
        <f ca="1">IFERROR(__xludf.DUMMYFUNCTION("googletranslate(E5366,""en"",""ja"")"),"Z 軸に沿ったボクセルの線形測定。")</f>
        <v>Z 軸に沿ったボクセルの線形測定。</v>
      </c>
      <c r="I5366" s="3" t="str">
        <f ca="1">IFERROR(__xludf.DUMMYFUNCTION("googletranslate(F5366,""en"",""ja"")"),"Z 軸ボクセル寸法")</f>
        <v>Z 軸ボクセル寸法</v>
      </c>
    </row>
    <row r="5367" spans="1:9" ht="30">
      <c r="A5367" s="3" t="s">
        <v>1255</v>
      </c>
      <c r="B5367" s="3" t="s">
        <v>22202</v>
      </c>
      <c r="C5367" s="3" t="s">
        <v>22203</v>
      </c>
      <c r="D5367" s="3" t="s">
        <v>22204</v>
      </c>
      <c r="E5367" s="3" t="s">
        <v>22205</v>
      </c>
      <c r="F5367" s="3" t="s">
        <v>22203</v>
      </c>
      <c r="G5367" s="3" t="str">
        <f ca="1">IFERROR(__xludf.DUMMYFUNCTION("googletranslate(D5367,""en"",""ja"")"),"ボクセル角度;ボクセルの方向")</f>
        <v>ボクセル角度;ボクセルの方向</v>
      </c>
      <c r="H5367" s="3" t="str">
        <f ca="1">IFERROR(__xludf.DUMMYFUNCTION("googletranslate(E5367,""en"",""ja"")"),"スキャナの座標系に対するボクセルの角度。")</f>
        <v>スキャナの座標系に対するボクセルの角度。</v>
      </c>
      <c r="I5367" s="3" t="str">
        <f ca="1">IFERROR(__xludf.DUMMYFUNCTION("googletranslate(F5367,""en"",""ja"")"),"ボクセルの方向")</f>
        <v>ボクセルの方向</v>
      </c>
    </row>
    <row r="5368" spans="1:9" ht="30">
      <c r="A5368" s="3" t="s">
        <v>67</v>
      </c>
      <c r="B5368" s="3" t="s">
        <v>22206</v>
      </c>
      <c r="C5368" s="3" t="s">
        <v>22207</v>
      </c>
      <c r="D5368" s="3" t="s">
        <v>22207</v>
      </c>
      <c r="E5368" s="3" t="s">
        <v>22208</v>
      </c>
      <c r="F5368" s="3" t="s">
        <v>22209</v>
      </c>
      <c r="G5368" s="3" t="str">
        <f ca="1">IFERROR(__xludf.DUMMYFUNCTION("googletranslate(D5368,""en"",""ja"")"),"腸炎ビブリオのDNA")</f>
        <v>腸炎ビブリオのDNA</v>
      </c>
      <c r="H5368" s="3" t="str">
        <f ca="1">IFERROR(__xludf.DUMMYFUNCTION("googletranslate(E5368,""en"",""ja"")"),"生物学的標本中の腸炎ビブリオ DNA の測定。")</f>
        <v>生物学的標本中の腸炎ビブリオ DNA の測定。</v>
      </c>
      <c r="I5368" s="3" t="str">
        <f ca="1">IFERROR(__xludf.DUMMYFUNCTION("googletranslate(F5368,""en"",""ja"")"),"腸炎ビブリオDNA測定")</f>
        <v>腸炎ビブリオDNA測定</v>
      </c>
    </row>
    <row r="5369" spans="1:9" ht="60">
      <c r="A5369" s="3" t="s">
        <v>67</v>
      </c>
      <c r="B5369" s="3" t="s">
        <v>22210</v>
      </c>
      <c r="C5369" s="3" t="s">
        <v>22211</v>
      </c>
      <c r="D5369" s="3" t="s">
        <v>22211</v>
      </c>
      <c r="E5369" s="3" t="s">
        <v>22212</v>
      </c>
      <c r="F5369" s="3" t="s">
        <v>22213</v>
      </c>
      <c r="G5369" s="3" t="str">
        <f ca="1">IFERROR(__xludf.DUMMYFUNCTION("googletranslate(D5369,""en"",""ja"")"),"腸球菌、バンコマイシン耐性")</f>
        <v>腸球菌、バンコマイシン耐性</v>
      </c>
      <c r="H5369" s="3" t="str">
        <f ca="1">IFERROR(__xludf.DUMMYFUNCTION("googletranslate(E5369,""en"",""ja"")"),"バンコマイシン耐性のある生物の測定値。生物標本では種レベルではなくエンテロコッカス属レベルに割り当てられます。")</f>
        <v>バンコマイシン耐性のある生物の測定値。生物標本では種レベルではなくエンテロコッカス属レベルに割り当てられます。</v>
      </c>
      <c r="I5369" s="3" t="str">
        <f ca="1">IFERROR(__xludf.DUMMYFUNCTION("googletranslate(F5369,""en"",""ja"")"),"バンコマイシン耐性腸球菌の測定")</f>
        <v>バンコマイシン耐性腸球菌の測定</v>
      </c>
    </row>
    <row r="5370" spans="1:9">
      <c r="A5370" s="3" t="s">
        <v>6</v>
      </c>
      <c r="B5370" s="3" t="s">
        <v>22214</v>
      </c>
      <c r="C5370" s="3" t="s">
        <v>22215</v>
      </c>
      <c r="D5370" s="3" t="s">
        <v>22215</v>
      </c>
      <c r="E5370" s="3" t="s">
        <v>22216</v>
      </c>
      <c r="F5370" s="3" t="s">
        <v>22217</v>
      </c>
      <c r="G5370" s="3" t="str">
        <f ca="1">IFERROR(__xludf.DUMMYFUNCTION("googletranslate(D5370,""en"",""ja"")"),"ボルチオキセチン")</f>
        <v>ボルチオキセチン</v>
      </c>
      <c r="H5370" s="3" t="str">
        <f ca="1">IFERROR(__xludf.DUMMYFUNCTION("googletranslate(E5370,""en"",""ja"")"),"生物学的標本中のボルチオキセチンの測定。")</f>
        <v>生物学的標本中のボルチオキセチンの測定。</v>
      </c>
      <c r="I5370" s="3" t="str">
        <f ca="1">IFERROR(__xludf.DUMMYFUNCTION("googletranslate(F5370,""en"",""ja"")"),"ボルチオキセチンの測定")</f>
        <v>ボルチオキセチンの測定</v>
      </c>
    </row>
    <row r="5371" spans="1:9">
      <c r="A5371" s="3" t="s">
        <v>210</v>
      </c>
      <c r="B5371" s="3" t="s">
        <v>22218</v>
      </c>
      <c r="C5371" s="3" t="s">
        <v>22219</v>
      </c>
      <c r="D5371" s="3" t="s">
        <v>22219</v>
      </c>
      <c r="E5371" s="3" t="s">
        <v>22220</v>
      </c>
      <c r="F5371" s="3" t="s">
        <v>22219</v>
      </c>
      <c r="G5371" s="3" t="str">
        <f ca="1">IFERROR(__xludf.DUMMYFUNCTION("googletranslate(D5371,""en"",""ja"")"),"船舶故障インジケーター")</f>
        <v>船舶故障インジケーター</v>
      </c>
      <c r="H5371" s="3" t="str">
        <f ca="1">IFERROR(__xludf.DUMMYFUNCTION("googletranslate(E5371,""en"",""ja"")"),"船舶の故障が発生したかどうかを示す指標。")</f>
        <v>船舶の故障が発生したかどうかを示す指標。</v>
      </c>
      <c r="I5371" s="3" t="str">
        <f ca="1">IFERROR(__xludf.DUMMYFUNCTION("googletranslate(F5371,""en"",""ja"")"),"船舶故障インジケーター")</f>
        <v>船舶故障インジケーター</v>
      </c>
    </row>
    <row r="5372" spans="1:9" ht="30">
      <c r="A5372" s="3" t="s">
        <v>5519</v>
      </c>
      <c r="B5372" s="3" t="s">
        <v>22221</v>
      </c>
      <c r="C5372" s="3" t="s">
        <v>22222</v>
      </c>
      <c r="D5372" s="3" t="s">
        <v>22222</v>
      </c>
      <c r="E5372" s="3" t="s">
        <v>22223</v>
      </c>
      <c r="F5372" s="3" t="s">
        <v>22222</v>
      </c>
      <c r="G5372" s="3" t="str">
        <f ca="1">IFERROR(__xludf.DUMMYFUNCTION("googletranslate(D5372,""en"",""ja"")"),"血管病変の特定")</f>
        <v>血管病変の特定</v>
      </c>
      <c r="H5372" s="3" t="str">
        <f ca="1">IFERROR(__xludf.DUMMYFUNCTION("googletranslate(E5372,""en"",""ja"")"),"病変のある血管が特定され、特徴付けられたことを示す指標。")</f>
        <v>病変のある血管が特定され、特徴付けられたことを示す指標。</v>
      </c>
      <c r="I5372" s="3" t="str">
        <f ca="1">IFERROR(__xludf.DUMMYFUNCTION("googletranslate(F5372,""en"",""ja"")"),"血管病変の特定")</f>
        <v>血管病変の特定</v>
      </c>
    </row>
    <row r="5373" spans="1:9" ht="30">
      <c r="A5373" s="3" t="s">
        <v>210</v>
      </c>
      <c r="B5373" s="3" t="s">
        <v>22224</v>
      </c>
      <c r="C5373" s="3" t="s">
        <v>22225</v>
      </c>
      <c r="D5373" s="3" t="s">
        <v>22225</v>
      </c>
      <c r="E5373" s="3" t="s">
        <v>22226</v>
      </c>
      <c r="F5373" s="3" t="s">
        <v>22225</v>
      </c>
      <c r="G5373" s="3" t="str">
        <f ca="1">IFERROR(__xludf.DUMMYFUNCTION("googletranslate(D5373,""en"",""ja"")"),"血管開通性インジケーター")</f>
        <v>血管開通性インジケーター</v>
      </c>
      <c r="H5373" s="3" t="str">
        <f ca="1">IFERROR(__xludf.DUMMYFUNCTION("googletranslate(E5373,""en"",""ja"")"),"介入後に動脈が開存している（TLRまたは再狭窄がない）かどうかの指標。")</f>
        <v>介入後に動脈が開存している（TLRまたは再狭窄がない）かどうかの指標。</v>
      </c>
      <c r="I5373" s="3" t="str">
        <f ca="1">IFERROR(__xludf.DUMMYFUNCTION("googletranslate(F5373,""en"",""ja"")"),"血管開通性インジケーター")</f>
        <v>血管開通性インジケーター</v>
      </c>
    </row>
    <row r="5374" spans="1:9" ht="30">
      <c r="A5374" s="3" t="s">
        <v>210</v>
      </c>
      <c r="B5374" s="3" t="s">
        <v>22227</v>
      </c>
      <c r="C5374" s="3" t="s">
        <v>22228</v>
      </c>
      <c r="D5374" s="3" t="s">
        <v>22228</v>
      </c>
      <c r="E5374" s="3" t="s">
        <v>22229</v>
      </c>
      <c r="F5374" s="3" t="s">
        <v>22228</v>
      </c>
      <c r="G5374" s="3" t="str">
        <f ca="1">IFERROR(__xludf.DUMMYFUNCTION("googletranslate(D5374,""en"",""ja"")"),"血管再生インジケーター")</f>
        <v>血管再生インジケーター</v>
      </c>
      <c r="H5374" s="3" t="str">
        <f ca="1">IFERROR(__xludf.DUMMYFUNCTION("googletranslate(E5374,""en"",""ja"")"),"病変を含む動脈の血行再建が繰り返されたかどうかに関する指標。")</f>
        <v>病変を含む動脈の血行再建が繰り返されたかどうかに関する指標。</v>
      </c>
      <c r="I5374" s="3" t="str">
        <f ca="1">IFERROR(__xludf.DUMMYFUNCTION("googletranslate(F5374,""en"",""ja"")"),"血管再生インジケーター")</f>
        <v>血管再生インジケーター</v>
      </c>
    </row>
    <row r="5375" spans="1:9" ht="45">
      <c r="A5375" s="3" t="s">
        <v>490</v>
      </c>
      <c r="B5375" s="3" t="s">
        <v>22230</v>
      </c>
      <c r="C5375" s="3" t="s">
        <v>22231</v>
      </c>
      <c r="D5375" s="3" t="s">
        <v>22232</v>
      </c>
      <c r="E5375" s="3" t="s">
        <v>22233</v>
      </c>
      <c r="F5375" s="3" t="s">
        <v>22234</v>
      </c>
      <c r="G5375" s="3" t="str">
        <f ca="1">IFERROR(__xludf.DUMMYFUNCTION("googletranslate(D5375,""en"",""ja"")"),"最初の換気閾値。換気閾値 1")</f>
        <v>最初の換気閾値。換気閾値 1</v>
      </c>
      <c r="H5375" s="3" t="str">
        <f ca="1">IFERROR(__xludf.DUMMYFUNCTION("googletranslate(E5375,""en"",""ja"")"),"活動または運動中に、換気量が酸素消費量よりも速い速度で増加し始める時点。この閾値は好気性代謝によって特徴付けられます。")</f>
        <v>活動または運動中に、換気量が酸素消費量よりも速い速度で増加し始める時点。この閾値は好気性代謝によって特徴付けられます。</v>
      </c>
      <c r="I5375" s="3" t="str">
        <f ca="1">IFERROR(__xludf.DUMMYFUNCTION("googletranslate(F5375,""en"",""ja"")"),"最初の換気閾値")</f>
        <v>最初の換気閾値</v>
      </c>
    </row>
    <row r="5376" spans="1:9" ht="75">
      <c r="A5376" s="3" t="s">
        <v>490</v>
      </c>
      <c r="B5376" s="3" t="s">
        <v>22235</v>
      </c>
      <c r="C5376" s="3" t="s">
        <v>22236</v>
      </c>
      <c r="D5376" s="3" t="s">
        <v>22237</v>
      </c>
      <c r="E5376" s="3" t="s">
        <v>22238</v>
      </c>
      <c r="F5376" s="3" t="s">
        <v>22239</v>
      </c>
      <c r="G5376" s="3" t="str">
        <f ca="1">IFERROR(__xludf.DUMMYFUNCTION("googletranslate(D5376,""en"",""ja"")"),"嫌気性閾値;乳酸閾値;呼吸代償閾値。第 2 換気閾値。換気閾値 2")</f>
        <v>嫌気性閾値;乳酸閾値;呼吸代償閾値。第 2 換気閾値。換気閾値 2</v>
      </c>
      <c r="H5376" s="3" t="str">
        <f ca="1">IFERROR(__xludf.DUMMYFUNCTION("googletranslate(E5376,""en"",""ja"")"),"活動または運動中に換気努力が増大し、運動者が圧迫感を感じて話すことができなくなる時点。この閾値は、嫌気性代謝と乳酸塩の蓄積によって特徴付けられます。")</f>
        <v>活動または運動中に換気努力が増大し、運動者が圧迫感を感じて話すことができなくなる時点。この閾値は、嫌気性代謝と乳酸塩の蓄積によって特徴付けられます。</v>
      </c>
      <c r="I5376" s="3" t="str">
        <f ca="1">IFERROR(__xludf.DUMMYFUNCTION("googletranslate(F5376,""en"",""ja"")"),"第 2 換気閾値")</f>
        <v>第 2 換気閾値</v>
      </c>
    </row>
    <row r="5377" spans="1:9" ht="30">
      <c r="A5377" s="3" t="s">
        <v>1664</v>
      </c>
      <c r="B5377" s="3" t="s">
        <v>22240</v>
      </c>
      <c r="C5377" s="3" t="s">
        <v>22241</v>
      </c>
      <c r="D5377" s="3" t="s">
        <v>22241</v>
      </c>
      <c r="E5377" s="3" t="s">
        <v>22242</v>
      </c>
      <c r="F5377" s="3" t="s">
        <v>22243</v>
      </c>
      <c r="G5377" s="3" t="str">
        <f ca="1">IFERROR(__xludf.DUMMYFUNCTION("googletranslate(D5377,""en"",""ja"")"),"心室性不整脈")</f>
        <v>心室性不整脈</v>
      </c>
      <c r="H5377" s="3" t="str">
        <f ca="1">IFERROR(__xludf.DUMMYFUNCTION("googletranslate(E5377,""en"",""ja"")"),"頻脈を除く心室不整脈の心電図検査。")</f>
        <v>頻脈を除く心室不整脈の心電図検査。</v>
      </c>
      <c r="I5377" s="3" t="str">
        <f ca="1">IFERROR(__xludf.DUMMYFUNCTION("googletranslate(F5377,""en"",""ja"")"),"心室性不整脈の心電図評価")</f>
        <v>心室性不整脈の心電図評価</v>
      </c>
    </row>
    <row r="5378" spans="1:9" ht="30">
      <c r="A5378" s="3" t="s">
        <v>985</v>
      </c>
      <c r="B5378" s="3" t="s">
        <v>22240</v>
      </c>
      <c r="C5378" s="3" t="s">
        <v>22241</v>
      </c>
      <c r="D5378" s="3" t="s">
        <v>22241</v>
      </c>
      <c r="E5378" s="3" t="s">
        <v>22242</v>
      </c>
      <c r="F5378" s="3" t="s">
        <v>22243</v>
      </c>
      <c r="G5378" s="3" t="str">
        <f ca="1">IFERROR(__xludf.DUMMYFUNCTION("googletranslate(D5378,""en"",""ja"")"),"心室性不整脈")</f>
        <v>心室性不整脈</v>
      </c>
      <c r="H5378" s="3" t="str">
        <f ca="1">IFERROR(__xludf.DUMMYFUNCTION("googletranslate(E5378,""en"",""ja"")"),"頻脈を除く心室不整脈の心電図検査。")</f>
        <v>頻脈を除く心室不整脈の心電図検査。</v>
      </c>
      <c r="I5378" s="3" t="str">
        <f ca="1">IFERROR(__xludf.DUMMYFUNCTION("googletranslate(F5378,""en"",""ja"")"),"心室性不整脈の心電図評価")</f>
        <v>心室性不整脈の心電図評価</v>
      </c>
    </row>
    <row r="5379" spans="1:9" ht="75">
      <c r="A5379" s="3" t="s">
        <v>6</v>
      </c>
      <c r="B5379" s="3" t="s">
        <v>22244</v>
      </c>
      <c r="C5379" s="3" t="s">
        <v>22245</v>
      </c>
      <c r="D5379" s="3" t="s">
        <v>22246</v>
      </c>
      <c r="E5379" s="3" t="s">
        <v>22247</v>
      </c>
      <c r="F5379" s="3" t="s">
        <v>22248</v>
      </c>
      <c r="G5379" s="3" t="str">
        <f ca="1">IFERROR(__xludf.DUMMYFUNCTION("googletranslate(D5379,""en"",""ja"")"),"1,25-ジヒドロキシカルシフェロール; 1,25-ジヒドロキシエルゴカルシフェロール; 1,25-ジヒドロキシビタミンD2;エルカルシトリオール")</f>
        <v>1,25-ジヒドロキシカルシフェロール; 1,25-ジヒドロキシエルゴカルシフェロール; 1,25-ジヒドロキシビタミンD2;エルカルシトリオール</v>
      </c>
      <c r="H5379" s="3" t="str">
        <f ca="1">IFERROR(__xludf.DUMMYFUNCTION("googletranslate(E5379,""en"",""ja"")"),"生物学的標本中の 1,25-ジヒドロキシビタミン D2 の測定。")</f>
        <v>生物学的標本中の 1,25-ジヒドロキシビタミン D2 の測定。</v>
      </c>
      <c r="I5379" s="3" t="str">
        <f ca="1">IFERROR(__xludf.DUMMYFUNCTION("googletranslate(F5379,""en"",""ja"")"),"1,25-ジヒドロキシビタミンD2の測定")</f>
        <v>1,25-ジヒドロキシビタミンD2の測定</v>
      </c>
    </row>
    <row r="5380" spans="1:9" ht="90">
      <c r="A5380" s="3" t="s">
        <v>6</v>
      </c>
      <c r="B5380" s="3" t="s">
        <v>22249</v>
      </c>
      <c r="C5380" s="3" t="s">
        <v>22250</v>
      </c>
      <c r="D5380" s="3" t="s">
        <v>22251</v>
      </c>
      <c r="E5380" s="3" t="s">
        <v>22252</v>
      </c>
      <c r="F5380" s="3" t="s">
        <v>22253</v>
      </c>
      <c r="G5380" s="3" t="str">
        <f ca="1">IFERROR(__xludf.DUMMYFUNCTION("googletranslate(D5380,""en"",""ja"")"),"1,25-ジ(OH)ビタミンD2 + 1,25-ジ(OH)ビタミンD3; 1,25-ジヒドロキシビタミンD2 + 1,25-ジヒドロキシビタミンD3; 1,25-ジヒドロキシビットD2+1,25-ジヒドロキシビットD3")</f>
        <v>1,25-ジ(OH)ビタミンD2 + 1,25-ジ(OH)ビタミンD3; 1,25-ジヒドロキシビタミンD2 + 1,25-ジヒドロキシビタミンD3; 1,25-ジヒドロキシビットD2+1,25-ジヒドロキシビットD3</v>
      </c>
      <c r="H5380" s="3" t="str">
        <f ca="1">IFERROR(__xludf.DUMMYFUNCTION("googletranslate(E5380,""en"",""ja"")"),"生物学的標本中の 1,25-ジヒドロキシビタミン D2 および 1,25-ジヒドロキシビタミン D3 の測定。")</f>
        <v>生物学的標本中の 1,25-ジヒドロキシビタミン D2 および 1,25-ジヒドロキシビタミン D3 の測定。</v>
      </c>
      <c r="I5380" s="3" t="str">
        <f ca="1">IFERROR(__xludf.DUMMYFUNCTION("googletranslate(F5380,""en"",""ja"")"),"1,25-ジヒドロキシビタミンD2および1,25-ジヒドロキシビタミンD3の測定")</f>
        <v>1,25-ジヒドロキシビタミンD2および1,25-ジヒドロキシビタミンD3の測定</v>
      </c>
    </row>
    <row r="5381" spans="1:9" ht="45">
      <c r="A5381" s="3" t="s">
        <v>6</v>
      </c>
      <c r="B5381" s="3" t="s">
        <v>22254</v>
      </c>
      <c r="C5381" s="3" t="s">
        <v>22255</v>
      </c>
      <c r="D5381" s="3" t="s">
        <v>22255</v>
      </c>
      <c r="E5381" s="3" t="s">
        <v>22256</v>
      </c>
      <c r="F5381" s="3" t="s">
        <v>22257</v>
      </c>
      <c r="G5381" s="3" t="str">
        <f ca="1">IFERROR(__xludf.DUMMYFUNCTION("googletranslate(D5381,""en"",""ja"")"),"25-ヒドロキシビット D2 + 25-ヒドロキシビット D3")</f>
        <v>25-ヒドロキシビット D2 + 25-ヒドロキシビット D3</v>
      </c>
      <c r="H5381" s="3" t="str">
        <f ca="1">IFERROR(__xludf.DUMMYFUNCTION("googletranslate(E5381,""en"",""ja"")"),"生体試料中の総不活性ビタミン D2 とビタミン D3 の測定値。")</f>
        <v>生体試料中の総不活性ビタミン D2 とビタミン D3 の測定値。</v>
      </c>
      <c r="I5381" s="3" t="str">
        <f ca="1">IFERROR(__xludf.DUMMYFUNCTION("googletranslate(F5381,""en"",""ja"")"),"25-ヒドロキシビタミンD2および25-ヒドロキシビタミンD3の測定")</f>
        <v>25-ヒドロキシビタミンD2および25-ヒドロキシビタミンD3の測定</v>
      </c>
    </row>
    <row r="5382" spans="1:9" ht="60">
      <c r="A5382" s="3" t="s">
        <v>6</v>
      </c>
      <c r="B5382" s="3" t="s">
        <v>22258</v>
      </c>
      <c r="C5382" s="3" t="s">
        <v>22259</v>
      </c>
      <c r="D5382" s="3" t="s">
        <v>22260</v>
      </c>
      <c r="E5382" s="3" t="s">
        <v>22261</v>
      </c>
      <c r="F5382" s="3" t="s">
        <v>22262</v>
      </c>
      <c r="G5382" s="3" t="str">
        <f ca="1">IFERROR(__xludf.DUMMYFUNCTION("googletranslate(D5382,""en"",""ja"")"),"1,25-ジヒドロキシコレカルシフェロール; 1,25-ジヒドロキシビタミンD; 1,25-ジヒドロキシビタミンD3;カルシトリオール")</f>
        <v>1,25-ジヒドロキシコレカルシフェロール; 1,25-ジヒドロキシビタミンD; 1,25-ジヒドロキシビタミンD3;カルシトリオール</v>
      </c>
      <c r="H5382" s="3" t="str">
        <f ca="1">IFERROR(__xludf.DUMMYFUNCTION("googletranslate(E5382,""en"",""ja"")"),"生物学的標本中の 1,25-ジヒドロキシビタミン D3 の測定。")</f>
        <v>生物学的標本中の 1,25-ジヒドロキシビタミン D3 の測定。</v>
      </c>
      <c r="I5382" s="3" t="str">
        <f ca="1">IFERROR(__xludf.DUMMYFUNCTION("googletranslate(F5382,""en"",""ja"")"),"1,25-ジヒドロキシビタミンD3の測定")</f>
        <v>1,25-ジヒドロキシビタミンD3の測定</v>
      </c>
    </row>
    <row r="5383" spans="1:9" ht="60">
      <c r="A5383" s="3" t="s">
        <v>6</v>
      </c>
      <c r="B5383" s="3" t="s">
        <v>22263</v>
      </c>
      <c r="C5383" s="3" t="s">
        <v>22264</v>
      </c>
      <c r="D5383" s="3" t="s">
        <v>22265</v>
      </c>
      <c r="E5383" s="3" t="s">
        <v>22266</v>
      </c>
      <c r="F5383" s="3" t="s">
        <v>22267</v>
      </c>
      <c r="G5383" s="3" t="str">
        <f ca="1">IFERROR(__xludf.DUMMYFUNCTION("googletranslate(D5383,""en"",""ja"")"),"24,25-ジヒドロキシコレカルシフェロール; 24,25-ジヒドロキシビタミンD; 24,25-ジヒドロキシビタミンD3")</f>
        <v>24,25-ジヒドロキシコレカルシフェロール; 24,25-ジヒドロキシビタミンD; 24,25-ジヒドロキシビタミンD3</v>
      </c>
      <c r="H5383" s="3" t="str">
        <f ca="1">IFERROR(__xludf.DUMMYFUNCTION("googletranslate(E5383,""en"",""ja"")"),"生物学的標本中の 24,25-ジヒドロキシビタミン D3 の測定。")</f>
        <v>生物学的標本中の 24,25-ジヒドロキシビタミン D3 の測定。</v>
      </c>
      <c r="I5383" s="3" t="str">
        <f ca="1">IFERROR(__xludf.DUMMYFUNCTION("googletranslate(F5383,""en"",""ja"")"),"24,25-ジヒドロキシビタミンD3の測定")</f>
        <v>24,25-ジヒドロキシビタミンD3の測定</v>
      </c>
    </row>
    <row r="5384" spans="1:9" ht="30">
      <c r="A5384" s="3" t="s">
        <v>6</v>
      </c>
      <c r="B5384" s="3" t="s">
        <v>22268</v>
      </c>
      <c r="C5384" s="3" t="s">
        <v>22269</v>
      </c>
      <c r="D5384" s="3" t="s">
        <v>22270</v>
      </c>
      <c r="E5384" s="3" t="s">
        <v>22271</v>
      </c>
      <c r="F5384" s="3" t="s">
        <v>22272</v>
      </c>
      <c r="G5384" s="3" t="str">
        <f ca="1">IFERROR(__xludf.DUMMYFUNCTION("googletranslate(D5384,""en"",""ja"")"),"V75;ビトロネクチン;ベトナム; VNT; VTN")</f>
        <v>V75;ビトロネクチン;ベトナム; VNT; VTN</v>
      </c>
      <c r="H5384" s="3" t="str">
        <f ca="1">IFERROR(__xludf.DUMMYFUNCTION("googletranslate(E5384,""en"",""ja"")"),"生物学的標本中のビトロネクチンの測定。")</f>
        <v>生物学的標本中のビトロネクチンの測定。</v>
      </c>
      <c r="I5384" s="3" t="str">
        <f ca="1">IFERROR(__xludf.DUMMYFUNCTION("googletranslate(F5384,""en"",""ja"")"),"ビトロネクチンの測定")</f>
        <v>ビトロネクチンの測定</v>
      </c>
    </row>
    <row r="5385" spans="1:9" ht="30">
      <c r="A5385" s="3" t="s">
        <v>985</v>
      </c>
      <c r="B5385" s="3" t="s">
        <v>22273</v>
      </c>
      <c r="C5385" s="3" t="s">
        <v>22274</v>
      </c>
      <c r="D5385" s="3" t="s">
        <v>22274</v>
      </c>
      <c r="E5385" s="3" t="s">
        <v>22275</v>
      </c>
      <c r="F5385" s="3" t="s">
        <v>22276</v>
      </c>
      <c r="G5385" s="3" t="str">
        <f ca="1">IFERROR(__xludf.DUMMYFUNCTION("googletranslate(D5385,""en"",""ja"")"),"心室性頻脈性不整脈")</f>
        <v>心室性頻脈性不整脈</v>
      </c>
      <c r="H5385" s="3" t="str">
        <f ca="1">IFERROR(__xludf.DUMMYFUNCTION("googletranslate(E5385,""en"",""ja"")"),"心室頻脈性不整脈の心電図評価。")</f>
        <v>心室頻脈性不整脈の心電図評価。</v>
      </c>
      <c r="I5385" s="3" t="str">
        <f ca="1">IFERROR(__xludf.DUMMYFUNCTION("googletranslate(F5385,""en"",""ja"")"),"心室性頻脈性不整脈の ECG 評価")</f>
        <v>心室性頻脈性不整脈の ECG 評価</v>
      </c>
    </row>
    <row r="5386" spans="1:9" ht="30">
      <c r="A5386" s="3" t="s">
        <v>1664</v>
      </c>
      <c r="B5386" s="3" t="s">
        <v>22273</v>
      </c>
      <c r="C5386" s="3" t="s">
        <v>22274</v>
      </c>
      <c r="D5386" s="3" t="s">
        <v>22274</v>
      </c>
      <c r="E5386" s="3" t="s">
        <v>22275</v>
      </c>
      <c r="F5386" s="3" t="s">
        <v>22276</v>
      </c>
      <c r="G5386" s="3" t="str">
        <f ca="1">IFERROR(__xludf.DUMMYFUNCTION("googletranslate(D5386,""en"",""ja"")"),"心室性頻脈性不整脈")</f>
        <v>心室性頻脈性不整脈</v>
      </c>
      <c r="H5386" s="3" t="str">
        <f ca="1">IFERROR(__xludf.DUMMYFUNCTION("googletranslate(E5386,""en"",""ja"")"),"心室頻脈性不整脈の心電図評価。")</f>
        <v>心室頻脈性不整脈の心電図評価。</v>
      </c>
      <c r="I5386" s="3" t="str">
        <f ca="1">IFERROR(__xludf.DUMMYFUNCTION("googletranslate(F5386,""en"",""ja"")"),"心室性頻脈性不整脈の ECG 評価")</f>
        <v>心室性頻脈性不整脈の ECG 評価</v>
      </c>
    </row>
    <row r="5387" spans="1:9" ht="90">
      <c r="A5387" s="3" t="s">
        <v>6</v>
      </c>
      <c r="B5387" s="3" t="s">
        <v>22277</v>
      </c>
      <c r="C5387" s="3" t="s">
        <v>22278</v>
      </c>
      <c r="D5387" s="3" t="s">
        <v>22279</v>
      </c>
      <c r="E5387" s="3" t="s">
        <v>22280</v>
      </c>
      <c r="F5387" s="3" t="s">
        <v>22281</v>
      </c>
      <c r="G5387" s="3" t="str">
        <f ca="1">IFERROR(__xludf.DUMMYFUNCTION("googletranslate(D5387,""en"",""ja"")"),"von Will Factor Act 実際/コントロール;フォン・ヴィレブランド因子活動の実際/正常。フォン・ヴィレブランド因子活動実際/フォン・ヴィレブランド因子活動制御")</f>
        <v>von Will Factor Act 実際/コントロール;フォン・ヴィレブランド因子活動の実際/正常。フォン・ヴィレブランド因子活動実際/フォン・ヴィレブランド因子活動制御</v>
      </c>
      <c r="H5387" s="3" t="str">
        <f ca="1">IFERROR(__xludf.DUMMYFUNCTION("googletranslate(E5387,""en"",""ja"")"),"対照標本における同じ活性と比較した場合の、被験者の標本におけるフォン・ヴィレブランド因子依存性凝固の生物学的活性の相対測定値（比率またはパーセンテージ）。")</f>
        <v>対照標本における同じ活性と比較した場合の、被験者の標本におけるフォン・ヴィレブランド因子依存性凝固の生物学的活性の相対測定値（比率またはパーセンテージ）。</v>
      </c>
      <c r="I5387" s="3" t="str">
        <f ca="1">IFERROR(__xludf.DUMMYFUNCTION("googletranslate(F5387,""en"",""ja"")"),"フォン・ヴィレブランド係数アクティビティの実際対対照比率の測定")</f>
        <v>フォン・ヴィレブランド係数アクティビティの実際対対照比率の測定</v>
      </c>
    </row>
    <row r="5388" spans="1:9" ht="105">
      <c r="A5388" s="3" t="s">
        <v>6</v>
      </c>
      <c r="B5388" s="3" t="s">
        <v>22282</v>
      </c>
      <c r="C5388" s="3" t="s">
        <v>22283</v>
      </c>
      <c r="D5388" s="3" t="s">
        <v>22284</v>
      </c>
      <c r="E5388" s="3" t="s">
        <v>22285</v>
      </c>
      <c r="F5388" s="3" t="s">
        <v>22286</v>
      </c>
      <c r="G5388" s="3" t="str">
        <f ca="1">IFERROR(__xludf.DUMMYFUNCTION("googletranslate(D5388,""en"",""ja"")"),"von は実際/コントロールをファクタリングします。フォン・ヴィレブランド係数実際/対照。フォン ヴィレブランド係数 実際/通常。フォン・ヴィレブランド係数実際/フォン・ヴィレブランド係数制御")</f>
        <v>von は実際/コントロールをファクタリングします。フォン・ヴィレブランド係数実際/対照。フォン ヴィレブランド係数 実際/通常。フォン・ヴィレブランド係数実際/フォン・ヴィレブランド係数制御</v>
      </c>
      <c r="H5388" s="3" t="str">
        <f ca="1">IFERROR(__xludf.DUMMYFUNCTION("googletranslate(E5388,""en"",""ja"")"),"対照標本と比較した場合の、被験者の標本のフォン・ヴィレブランド因子の相対測定値（比率またはパーセンテージ）。")</f>
        <v>対照標本と比較した場合の、被験者の標本のフォン・ヴィレブランド因子の相対測定値（比率またはパーセンテージ）。</v>
      </c>
      <c r="I5388" s="3" t="str">
        <f ca="1">IFERROR(__xludf.DUMMYFUNCTION("googletranslate(F5388,""en"",""ja"")"),"フォン・ヴィレブランド係数の実対制御比の測定")</f>
        <v>フォン・ヴィレブランド係数の実対制御比の測定</v>
      </c>
    </row>
    <row r="5389" spans="1:9" ht="30">
      <c r="A5389" s="3" t="s">
        <v>67</v>
      </c>
      <c r="B5389" s="3" t="s">
        <v>22287</v>
      </c>
      <c r="C5389" s="3" t="s">
        <v>22288</v>
      </c>
      <c r="D5389" s="3" t="s">
        <v>22288</v>
      </c>
      <c r="E5389" s="3" t="s">
        <v>22289</v>
      </c>
      <c r="F5389" s="3" t="s">
        <v>22290</v>
      </c>
      <c r="G5389" s="3" t="str">
        <f ca="1">IFERROR(__xludf.DUMMYFUNCTION("googletranslate(D5389,""en"",""ja"")"),"水痘帯状疱疹ウイルス")</f>
        <v>水痘帯状疱疹ウイルス</v>
      </c>
      <c r="H5389" s="3" t="str">
        <f ca="1">IFERROR(__xludf.DUMMYFUNCTION("googletranslate(E5389,""en"",""ja"")"),"生物学的標本中の水痘帯状疱疹ウイルスの測定。")</f>
        <v>生物学的標本中の水痘帯状疱疹ウイルスの測定。</v>
      </c>
      <c r="I5389" s="3" t="str">
        <f ca="1">IFERROR(__xludf.DUMMYFUNCTION("googletranslate(F5389,""en"",""ja"")"),"水痘帯状疱疹ウイルス測定")</f>
        <v>水痘帯状疱疹ウイルス測定</v>
      </c>
    </row>
    <row r="5390" spans="1:9" ht="30">
      <c r="A5390" s="3" t="s">
        <v>67</v>
      </c>
      <c r="B5390" s="3" t="s">
        <v>22291</v>
      </c>
      <c r="C5390" s="3" t="s">
        <v>22292</v>
      </c>
      <c r="D5390" s="3" t="s">
        <v>22292</v>
      </c>
      <c r="E5390" s="3" t="s">
        <v>22293</v>
      </c>
      <c r="F5390" s="3" t="s">
        <v>22294</v>
      </c>
      <c r="G5390" s="3" t="str">
        <f ca="1">IFERROR(__xludf.DUMMYFUNCTION("googletranslate(D5390,""en"",""ja"")"),"水痘帯状疱疹ウイルスの DNA")</f>
        <v>水痘帯状疱疹ウイルスの DNA</v>
      </c>
      <c r="H5390" s="3" t="str">
        <f ca="1">IFERROR(__xludf.DUMMYFUNCTION("googletranslate(E5390,""en"",""ja"")"),"生物学的標本中の水痘帯状疱疹ウイルス DNA の測定。")</f>
        <v>生物学的標本中の水痘帯状疱疹ウイルス DNA の測定。</v>
      </c>
      <c r="I5390" s="3" t="str">
        <f ca="1">IFERROR(__xludf.DUMMYFUNCTION("googletranslate(F5390,""en"",""ja"")"),"水痘帯状疱疹ウイルスDNA測定")</f>
        <v>水痘帯状疱疹ウイルスDNA測定</v>
      </c>
    </row>
    <row r="5391" spans="1:9" ht="30">
      <c r="A5391" s="3" t="s">
        <v>118</v>
      </c>
      <c r="B5391" s="3" t="s">
        <v>22295</v>
      </c>
      <c r="C5391" s="3" t="s">
        <v>22296</v>
      </c>
      <c r="D5391" s="3" t="s">
        <v>22296</v>
      </c>
      <c r="E5391" s="3" t="s">
        <v>22297</v>
      </c>
      <c r="F5391" s="3" t="s">
        <v>22298</v>
      </c>
      <c r="G5391" s="3" t="str">
        <f ca="1">IFERROR(__xludf.DUMMYFUNCTION("googletranslate(D5391,""en"",""ja"")"),"ウエストとヒップの比率")</f>
        <v>ウエストとヒップの比率</v>
      </c>
      <c r="H5391" s="3" t="str">
        <f ca="1">IFERROR(__xludf.DUMMYFUNCTION("googletranslate(E5391,""en"",""ja"")"),"ヒップ周囲に対するウエスト周囲の相対的な測定値（比）。")</f>
        <v>ヒップ周囲に対するウエスト周囲の相対的な測定値（比）。</v>
      </c>
      <c r="I5391" s="3" t="str">
        <f ca="1">IFERROR(__xludf.DUMMYFUNCTION("googletranslate(F5391,""en"",""ja"")"),"ウエストヒップ比")</f>
        <v>ウエストヒップ比</v>
      </c>
    </row>
    <row r="5392" spans="1:9" ht="45">
      <c r="A5392" s="3" t="s">
        <v>159</v>
      </c>
      <c r="B5392" s="3" t="s">
        <v>22299</v>
      </c>
      <c r="C5392" s="3" t="s">
        <v>22300</v>
      </c>
      <c r="D5392" s="3" t="s">
        <v>22301</v>
      </c>
      <c r="E5392" s="3" t="s">
        <v>22302</v>
      </c>
      <c r="F5392" s="3" t="s">
        <v>22300</v>
      </c>
      <c r="G5392" s="3" t="str">
        <f ca="1">IFERROR(__xludf.DUMMYFUNCTION("googletranslate(D5392,""en"",""ja"")"),"入眠後の覚醒。入眠後に目覚める。入眠後の起床時間")</f>
        <v>入眠後の覚醒。入眠後に目覚める。入眠後の起床時間</v>
      </c>
      <c r="H5392" s="3" t="str">
        <f ca="1">IFERROR(__xludf.DUMMYFUNCTION("googletranslate(E5392,""en"",""ja"")"),"入眠前の覚醒を含まない、一晩中の覚醒エピソードの継続時間の合計の測定値。")</f>
        <v>入眠前の覚醒を含まない、一晩中の覚醒エピソードの継続時間の合計の測定値。</v>
      </c>
      <c r="I5392" s="3" t="str">
        <f ca="1">IFERROR(__xludf.DUMMYFUNCTION("googletranslate(F5392,""en"",""ja"")"),"入眠後の覚醒")</f>
        <v>入眠後の覚醒</v>
      </c>
    </row>
    <row r="5393" spans="1:9" ht="30">
      <c r="A5393" s="3" t="s">
        <v>118</v>
      </c>
      <c r="B5393" s="3" t="s">
        <v>22303</v>
      </c>
      <c r="C5393" s="3" t="s">
        <v>22304</v>
      </c>
      <c r="D5393" s="3" t="s">
        <v>22304</v>
      </c>
      <c r="E5393" s="3" t="s">
        <v>22305</v>
      </c>
      <c r="F5393" s="3" t="s">
        <v>22304</v>
      </c>
      <c r="G5393" s="3" t="str">
        <f ca="1">IFERROR(__xludf.DUMMYFUNCTION("googletranslate(D5393,""en"",""ja"")"),"ウエストからかかとまでの長さ")</f>
        <v>ウエストからかかとまでの長さ</v>
      </c>
      <c r="H5393" s="3" t="str">
        <f ca="1">IFERROR(__xludf.DUMMYFUNCTION("googletranslate(E5393,""en"",""ja"")"),"ウエストの上部からかかとの底までの寸法です。")</f>
        <v>ウエストの上部からかかとの底までの寸法です。</v>
      </c>
      <c r="I5393" s="3" t="str">
        <f ca="1">IFERROR(__xludf.DUMMYFUNCTION("googletranslate(F5393,""en"",""ja"")"),"ウエストからかかとまでの長さ")</f>
        <v>ウエストからかかとまでの長さ</v>
      </c>
    </row>
    <row r="5394" spans="1:9" ht="45">
      <c r="A5394" s="3" t="s">
        <v>2904</v>
      </c>
      <c r="B5394" s="3" t="s">
        <v>22306</v>
      </c>
      <c r="C5394" s="3" t="s">
        <v>22307</v>
      </c>
      <c r="D5394" s="3" t="s">
        <v>22307</v>
      </c>
      <c r="E5394" s="3" t="s">
        <v>22308</v>
      </c>
      <c r="F5394" s="3" t="s">
        <v>22307</v>
      </c>
      <c r="G5394" s="3" t="str">
        <f ca="1">IFERROR(__xludf.DUMMYFUNCTION("googletranslate(D5394,""en"",""ja"")"),"波長")</f>
        <v>波長</v>
      </c>
      <c r="H5394" s="3" t="str">
        <f ca="1">IFERROR(__xludf.DUMMYFUNCTION("googletranslate(E5394,""en"",""ja"")"),"波の連続サイクルにおける同じ位相にある 2 点間の距離 (伝播方向に測定)。 (NCI)")</f>
        <v>波の連続サイクルにおける同じ位相にある 2 点間の距離 (伝播方向に測定)。 (NCI)</v>
      </c>
      <c r="I5394" s="3" t="str">
        <f ca="1">IFERROR(__xludf.DUMMYFUNCTION("googletranslate(F5394,""en"",""ja"")"),"波長")</f>
        <v>波長</v>
      </c>
    </row>
    <row r="5395" spans="1:9">
      <c r="A5395" s="3" t="s">
        <v>33</v>
      </c>
      <c r="B5395" s="3" t="s">
        <v>22309</v>
      </c>
      <c r="C5395" s="3" t="s">
        <v>22310</v>
      </c>
      <c r="D5395" s="3" t="s">
        <v>22311</v>
      </c>
      <c r="E5395" s="3" t="s">
        <v>22312</v>
      </c>
      <c r="F5395" s="3" t="s">
        <v>22313</v>
      </c>
      <c r="G5395" s="3" t="str">
        <f ca="1">IFERROR(__xludf.DUMMYFUNCTION("googletranslate(D5395,""en"",""ja"")"),"白血球;白血球")</f>
        <v>白血球;白血球</v>
      </c>
      <c r="H5395" s="3" t="str">
        <f ca="1">IFERROR(__xludf.DUMMYFUNCTION("googletranslate(E5395,""en"",""ja"")"),"生物学的標本中の白血球の測定。")</f>
        <v>生物学的標本中の白血球の測定。</v>
      </c>
      <c r="I5395" s="3" t="str">
        <f ca="1">IFERROR(__xludf.DUMMYFUNCTION("googletranslate(F5395,""en"",""ja"")"),"白血球数")</f>
        <v>白血球数</v>
      </c>
    </row>
    <row r="5396" spans="1:9">
      <c r="A5396" s="3" t="s">
        <v>6</v>
      </c>
      <c r="B5396" s="3" t="s">
        <v>22309</v>
      </c>
      <c r="C5396" s="3" t="s">
        <v>22310</v>
      </c>
      <c r="D5396" s="3" t="s">
        <v>22311</v>
      </c>
      <c r="E5396" s="3" t="s">
        <v>22312</v>
      </c>
      <c r="F5396" s="3" t="s">
        <v>22313</v>
      </c>
      <c r="G5396" s="3" t="str">
        <f ca="1">IFERROR(__xludf.DUMMYFUNCTION("googletranslate(D5396,""en"",""ja"")"),"白血球;白血球")</f>
        <v>白血球;白血球</v>
      </c>
      <c r="H5396" s="3" t="str">
        <f ca="1">IFERROR(__xludf.DUMMYFUNCTION("googletranslate(E5396,""en"",""ja"")"),"生物学的標本中の白血球の測定。")</f>
        <v>生物学的標本中の白血球の測定。</v>
      </c>
      <c r="I5396" s="3" t="str">
        <f ca="1">IFERROR(__xludf.DUMMYFUNCTION("googletranslate(F5396,""en"",""ja"")"),"白血球数")</f>
        <v>白血球数</v>
      </c>
    </row>
    <row r="5397" spans="1:9">
      <c r="A5397" s="3" t="s">
        <v>103</v>
      </c>
      <c r="B5397" s="3" t="s">
        <v>22309</v>
      </c>
      <c r="C5397" s="3" t="s">
        <v>22310</v>
      </c>
      <c r="D5397" s="3" t="s">
        <v>22311</v>
      </c>
      <c r="E5397" s="3" t="s">
        <v>22312</v>
      </c>
      <c r="F5397" s="3" t="s">
        <v>22313</v>
      </c>
      <c r="G5397" s="3" t="str">
        <f ca="1">IFERROR(__xludf.DUMMYFUNCTION("googletranslate(D5397,""en"",""ja"")"),"白血球;白血球")</f>
        <v>白血球;白血球</v>
      </c>
      <c r="H5397" s="3" t="str">
        <f ca="1">IFERROR(__xludf.DUMMYFUNCTION("googletranslate(E5397,""en"",""ja"")"),"生物学的標本中の白血球の測定。")</f>
        <v>生物学的標本中の白血球の測定。</v>
      </c>
      <c r="I5397" s="3" t="str">
        <f ca="1">IFERROR(__xludf.DUMMYFUNCTION("googletranslate(F5397,""en"",""ja"")"),"白血球数")</f>
        <v>白血球数</v>
      </c>
    </row>
    <row r="5398" spans="1:9" ht="30">
      <c r="A5398" s="3" t="s">
        <v>103</v>
      </c>
      <c r="B5398" s="3" t="s">
        <v>22314</v>
      </c>
      <c r="C5398" s="3" t="s">
        <v>22315</v>
      </c>
      <c r="D5398" s="3" t="s">
        <v>22316</v>
      </c>
      <c r="E5398" s="3" t="s">
        <v>22317</v>
      </c>
      <c r="F5398" s="3" t="s">
        <v>22318</v>
      </c>
      <c r="G5398" s="3" t="str">
        <f ca="1">IFERROR(__xludf.DUMMYFUNCTION("googletranslate(D5398,""en"",""ja"")"),"白血球/全細胞; WBC/総細胞数")</f>
        <v>白血球/全細胞; WBC/総細胞数</v>
      </c>
      <c r="H5398" s="3" t="str">
        <f ca="1">IFERROR(__xludf.DUMMYFUNCTION("googletranslate(E5398,""en"",""ja"")"),"生物学的標本の全細胞に対する白血球の相対測定値 (比率またはパーセンテージ)。")</f>
        <v>生物学的標本の全細胞に対する白血球の相対測定値 (比率またはパーセンテージ)。</v>
      </c>
      <c r="I5398" s="3" t="str">
        <f ca="1">IFERROR(__xludf.DUMMYFUNCTION("googletranslate(F5398,""en"",""ja"")"),"全細胞に対する白血球の比率の測定")</f>
        <v>全細胞に対する白血球の比率の測定</v>
      </c>
    </row>
    <row r="5399" spans="1:9" ht="30">
      <c r="A5399" s="3" t="s">
        <v>6</v>
      </c>
      <c r="B5399" s="3" t="s">
        <v>22314</v>
      </c>
      <c r="C5399" s="3" t="s">
        <v>22315</v>
      </c>
      <c r="D5399" s="3" t="s">
        <v>22316</v>
      </c>
      <c r="E5399" s="3" t="s">
        <v>22317</v>
      </c>
      <c r="F5399" s="3" t="s">
        <v>22318</v>
      </c>
      <c r="G5399" s="3" t="str">
        <f ca="1">IFERROR(__xludf.DUMMYFUNCTION("googletranslate(D5399,""en"",""ja"")"),"白血球/全細胞; WBC/総細胞数")</f>
        <v>白血球/全細胞; WBC/総細胞数</v>
      </c>
      <c r="H5399" s="3" t="str">
        <f ca="1">IFERROR(__xludf.DUMMYFUNCTION("googletranslate(E5399,""en"",""ja"")"),"生物学的標本の全細胞に対する白血球の相対測定値 (比率またはパーセンテージ)。")</f>
        <v>生物学的標本の全細胞に対する白血球の相対測定値 (比率またはパーセンテージ)。</v>
      </c>
      <c r="I5399" s="3" t="str">
        <f ca="1">IFERROR(__xludf.DUMMYFUNCTION("googletranslate(F5399,""en"",""ja"")"),"全細胞に対する白血球の比率の測定")</f>
        <v>全細胞に対する白血球の比率の測定</v>
      </c>
    </row>
    <row r="5400" spans="1:9" ht="30">
      <c r="A5400" s="3" t="s">
        <v>6</v>
      </c>
      <c r="B5400" s="3" t="s">
        <v>22319</v>
      </c>
      <c r="C5400" s="3" t="s">
        <v>22320</v>
      </c>
      <c r="D5400" s="3" t="s">
        <v>22321</v>
      </c>
      <c r="E5400" s="3" t="s">
        <v>22322</v>
      </c>
      <c r="F5400" s="3" t="s">
        <v>22323</v>
      </c>
      <c r="G5400" s="3" t="str">
        <f ca="1">IFERROR(__xludf.DUMMYFUNCTION("googletranslate(D5400,""en"",""ja"")"),"白血球細胞の塊。白血球の塊;白血球の塊")</f>
        <v>白血球細胞の塊。白血球の塊;白血球の塊</v>
      </c>
      <c r="H5400" s="3" t="str">
        <f ca="1">IFERROR(__xludf.DUMMYFUNCTION("googletranslate(E5400,""en"",""ja"")"),"生物学的標本中の白血球凝集塊の測定。")</f>
        <v>生物学的標本中の白血球凝集塊の測定。</v>
      </c>
      <c r="I5400" s="3" t="str">
        <f ca="1">IFERROR(__xludf.DUMMYFUNCTION("googletranslate(F5400,""en"",""ja"")"),"白血球細胞塊の測定")</f>
        <v>白血球細胞塊の測定</v>
      </c>
    </row>
    <row r="5401" spans="1:9" ht="45">
      <c r="A5401" s="3" t="s">
        <v>6</v>
      </c>
      <c r="B5401" s="3" t="s">
        <v>22324</v>
      </c>
      <c r="C5401" s="3" t="s">
        <v>22325</v>
      </c>
      <c r="D5401" s="3" t="s">
        <v>22326</v>
      </c>
      <c r="E5401" s="3" t="s">
        <v>22327</v>
      </c>
      <c r="F5401" s="3" t="s">
        <v>22328</v>
      </c>
      <c r="G5401" s="3" t="str">
        <f ca="1">IFERROR(__xludf.DUMMYFUNCTION("googletranslate(D5401,""en"",""ja"")"),"白血球細胞の分化;白血球細胞画分;白血球の差")</f>
        <v>白血球細胞の分化;白血球細胞画分;白血球の差</v>
      </c>
      <c r="H5401" s="3" t="str">
        <f ca="1">IFERROR(__xludf.DUMMYFUNCTION("googletranslate(E5401,""en"",""ja"")"),"生物学的標本における白血球サブタイプの分布の全体的な評価。")</f>
        <v>生物学的標本における白血球サブタイプの分布の全体的な評価。</v>
      </c>
      <c r="I5401" s="3" t="str">
        <f ca="1">IFERROR(__xludf.DUMMYFUNCTION("googletranslate(F5401,""en"",""ja"")"),"白血球数の差")</f>
        <v>白血球数の差</v>
      </c>
    </row>
    <row r="5402" spans="1:9" ht="45">
      <c r="A5402" s="3" t="s">
        <v>6</v>
      </c>
      <c r="B5402" s="3" t="s">
        <v>22329</v>
      </c>
      <c r="C5402" s="3" t="s">
        <v>22330</v>
      </c>
      <c r="D5402" s="3" t="s">
        <v>22331</v>
      </c>
      <c r="E5402" s="3" t="s">
        <v>22332</v>
      </c>
      <c r="F5402" s="3" t="s">
        <v>22330</v>
      </c>
      <c r="G5402" s="3" t="str">
        <f ca="1">IFERROR(__xludf.DUMMYFUNCTION("googletranslate(D5402,""en"",""ja"")"),"白血球細胞の形態; WBCの形態。白血球の形態")</f>
        <v>白血球細胞の形態; WBCの形態。白血球の形態</v>
      </c>
      <c r="H5402" s="3" t="str">
        <f ca="1">IFERROR(__xludf.DUMMYFUNCTION("googletranslate(E5402,""en"",""ja"")"),"白血球の形態と構造の検査または評価。")</f>
        <v>白血球の形態と構造の検査または評価。</v>
      </c>
      <c r="I5402" s="3" t="str">
        <f ca="1">IFERROR(__xludf.DUMMYFUNCTION("googletranslate(F5402,""en"",""ja"")"),"白血球細胞の形態")</f>
        <v>白血球細胞の形態</v>
      </c>
    </row>
    <row r="5403" spans="1:9" ht="45">
      <c r="A5403" s="3" t="s">
        <v>6</v>
      </c>
      <c r="B5403" s="3" t="s">
        <v>22333</v>
      </c>
      <c r="C5403" s="3" t="s">
        <v>22334</v>
      </c>
      <c r="D5403" s="3" t="s">
        <v>22335</v>
      </c>
      <c r="E5403" s="3" t="s">
        <v>22336</v>
      </c>
      <c r="F5403" s="3" t="s">
        <v>22337</v>
      </c>
      <c r="G5403" s="3" t="str">
        <f ca="1">IFERROR(__xludf.DUMMYFUNCTION("googletranslate(D5403,""en"",""ja"")"),"CDW2;マクロファージ炎症性タンパク質-2; MIP2; WD リピート含有プロテイン 26")</f>
        <v>CDW2;マクロファージ炎症性タンパク質-2; MIP2; WD リピート含有プロテイン 26</v>
      </c>
      <c r="H5403" s="3" t="str">
        <f ca="1">IFERROR(__xludf.DUMMYFUNCTION("googletranslate(E5403,""en"",""ja"")"),"生物学的標本中の WD リピート含有タンパク質 26 の測定。")</f>
        <v>生物学的標本中の WD リピート含有タンパク質 26 の測定。</v>
      </c>
      <c r="I5403" s="3" t="str">
        <f ca="1">IFERROR(__xludf.DUMMYFUNCTION("googletranslate(F5403,""en"",""ja"")"),"WD リピート含有タンパク質 26 の測定")</f>
        <v>WD リピート含有タンパク質 26 の測定</v>
      </c>
    </row>
    <row r="5404" spans="1:9" ht="30">
      <c r="A5404" s="3" t="s">
        <v>118</v>
      </c>
      <c r="B5404" s="3" t="s">
        <v>22338</v>
      </c>
      <c r="C5404" s="3" t="s">
        <v>22339</v>
      </c>
      <c r="D5404" s="3" t="s">
        <v>22339</v>
      </c>
      <c r="E5404" s="3" t="s">
        <v>22340</v>
      </c>
      <c r="F5404" s="3" t="s">
        <v>22339</v>
      </c>
      <c r="G5404" s="3" t="str">
        <f ca="1">IFERROR(__xludf.DUMMYFUNCTION("googletranslate(D5404,""en"",""ja"")"),"重さ")</f>
        <v>重さ</v>
      </c>
      <c r="H5404" s="3" t="str">
        <f ca="1">IFERROR(__xludf.DUMMYFUNCTION("googletranslate(E5404,""en"",""ja"")"),"重力の結果として質量によって及ぼされる垂直方向の力。 (NCI)")</f>
        <v>重力の結果として質量によって及ぼされる垂直方向の力。 (NCI)</v>
      </c>
      <c r="I5404" s="3" t="str">
        <f ca="1">IFERROR(__xludf.DUMMYFUNCTION("googletranslate(F5404,""en"",""ja"")"),"重さ")</f>
        <v>重さ</v>
      </c>
    </row>
    <row r="5405" spans="1:9" ht="30">
      <c r="A5405" s="3" t="s">
        <v>81</v>
      </c>
      <c r="B5405" s="3" t="s">
        <v>22338</v>
      </c>
      <c r="C5405" s="3" t="s">
        <v>22339</v>
      </c>
      <c r="D5405" s="3" t="s">
        <v>22339</v>
      </c>
      <c r="E5405" s="3" t="s">
        <v>22340</v>
      </c>
      <c r="F5405" s="3" t="s">
        <v>22339</v>
      </c>
      <c r="G5405" s="3" t="str">
        <f ca="1">IFERROR(__xludf.DUMMYFUNCTION("googletranslate(D5405,""en"",""ja"")"),"重さ")</f>
        <v>重さ</v>
      </c>
      <c r="H5405" s="3" t="str">
        <f ca="1">IFERROR(__xludf.DUMMYFUNCTION("googletranslate(E5405,""en"",""ja"")"),"重力の結果として質量によって及ぼされる垂直方向の力。 (NCI)")</f>
        <v>重力の結果として質量によって及ぼされる垂直方向の力。 (NCI)</v>
      </c>
      <c r="I5405" s="3" t="str">
        <f ca="1">IFERROR(__xludf.DUMMYFUNCTION("googletranslate(F5405,""en"",""ja"")"),"重さ")</f>
        <v>重さ</v>
      </c>
    </row>
    <row r="5406" spans="1:9" ht="45">
      <c r="A5406" s="3" t="s">
        <v>185</v>
      </c>
      <c r="B5406" s="3" t="s">
        <v>22341</v>
      </c>
      <c r="C5406" s="3" t="s">
        <v>22342</v>
      </c>
      <c r="D5406" s="3" t="s">
        <v>22342</v>
      </c>
      <c r="E5406" s="3" t="s">
        <v>22343</v>
      </c>
      <c r="F5406" s="3" t="s">
        <v>22342</v>
      </c>
      <c r="G5406" s="3" t="str">
        <f ca="1">IFERROR(__xludf.DUMMYFUNCTION("googletranslate(D5406,""en"",""ja"")"),"膨疹の大きさ")</f>
        <v>膨疹の大きさ</v>
      </c>
      <c r="H5406" s="3" t="str">
        <f ca="1">IFERROR(__xludf.DUMMYFUNCTION("googletranslate(E5406,""en"",""ja"")"),"皮膚に対する抗原攻撃部位の周囲に形成される、平坦で円形のわずかに隆起した領域の半定量的なサイズ評価。")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406" s="3" t="str">
        <f ca="1">IFERROR(__xludf.DUMMYFUNCTION("googletranslate(F5406,""en"",""ja"")"),"膨疹の大きさ")</f>
        <v>膨疹の大きさ</v>
      </c>
    </row>
    <row r="5407" spans="1:9" ht="45">
      <c r="A5407" s="3" t="s">
        <v>1535</v>
      </c>
      <c r="B5407" s="3" t="s">
        <v>22341</v>
      </c>
      <c r="C5407" s="3" t="s">
        <v>22342</v>
      </c>
      <c r="D5407" s="3" t="s">
        <v>22342</v>
      </c>
      <c r="E5407" s="3" t="s">
        <v>22343</v>
      </c>
      <c r="F5407" s="3" t="s">
        <v>22342</v>
      </c>
      <c r="G5407" s="3" t="str">
        <f ca="1">IFERROR(__xludf.DUMMYFUNCTION("googletranslate(D5407,""en"",""ja"")"),"膨疹の大きさ")</f>
        <v>膨疹の大きさ</v>
      </c>
      <c r="H5407" s="3" t="str">
        <f ca="1">IFERROR(__xludf.DUMMYFUNCTION("googletranslate(E5407,""en"",""ja"")"),"皮膚に対する抗原攻撃部位の周囲に形成される、平坦で円形のわずかに隆起した領域の半定量的なサイズ評価。")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407" s="3" t="str">
        <f ca="1">IFERROR(__xludf.DUMMYFUNCTION("googletranslate(F5407,""en"",""ja"")"),"膨疹の大きさ")</f>
        <v>膨疹の大きさ</v>
      </c>
    </row>
    <row r="5408" spans="1:9" ht="30">
      <c r="A5408" s="3" t="s">
        <v>1535</v>
      </c>
      <c r="B5408" s="3" t="s">
        <v>22344</v>
      </c>
      <c r="C5408" s="3" t="s">
        <v>22345</v>
      </c>
      <c r="D5408" s="3" t="s">
        <v>22345</v>
      </c>
      <c r="E5408" s="3" t="s">
        <v>22346</v>
      </c>
      <c r="F5408" s="3" t="s">
        <v>22345</v>
      </c>
      <c r="G5408" s="3" t="str">
        <f ca="1">IFERROR(__xludf.DUMMYFUNCTION("googletranslate(D5408,""en"",""ja"")"),"膨疹直径の解釈")</f>
        <v>膨疹直径の解釈</v>
      </c>
      <c r="H5408" s="3" t="str">
        <f ca="1">IFERROR(__xludf.DUMMYFUNCTION("googletranslate(E5408,""en"",""ja"")"),"閾値サイズに基づいて、アレルゲンに応じた膨疹の直径を評価するプロセス。")</f>
        <v>閾値サイズに基づいて、アレルゲンに応じた膨疹の直径を評価するプロセス。</v>
      </c>
      <c r="I5408" s="3" t="str">
        <f ca="1">IFERROR(__xludf.DUMMYFUNCTION("googletranslate(F5408,""en"",""ja"")"),"膨疹直径の解釈")</f>
        <v>膨疹直径の解釈</v>
      </c>
    </row>
    <row r="5409" spans="1:9" ht="30">
      <c r="A5409" s="3" t="s">
        <v>185</v>
      </c>
      <c r="B5409" s="3" t="s">
        <v>22344</v>
      </c>
      <c r="C5409" s="3" t="s">
        <v>22345</v>
      </c>
      <c r="D5409" s="3" t="s">
        <v>22345</v>
      </c>
      <c r="E5409" s="3" t="s">
        <v>22346</v>
      </c>
      <c r="F5409" s="3" t="s">
        <v>22345</v>
      </c>
      <c r="G5409" s="3" t="str">
        <f ca="1">IFERROR(__xludf.DUMMYFUNCTION("googletranslate(D5409,""en"",""ja"")"),"膨疹直径の解釈")</f>
        <v>膨疹直径の解釈</v>
      </c>
      <c r="H5409" s="3" t="str">
        <f ca="1">IFERROR(__xludf.DUMMYFUNCTION("googletranslate(E5409,""en"",""ja"")"),"閾値サイズに基づいて、アレルゲンに応じた膨疹の直径を評価するプロセス。")</f>
        <v>閾値サイズに基づいて、アレルゲンに応じた膨疹の直径を評価するプロセス。</v>
      </c>
      <c r="I5409" s="3" t="str">
        <f ca="1">IFERROR(__xludf.DUMMYFUNCTION("googletranslate(F5409,""en"",""ja"")"),"膨疹直径の解釈")</f>
        <v>膨疹直径の解釈</v>
      </c>
    </row>
    <row r="5410" spans="1:9" ht="45">
      <c r="A5410" s="3" t="s">
        <v>1535</v>
      </c>
      <c r="B5410" s="3" t="s">
        <v>22347</v>
      </c>
      <c r="C5410" s="3" t="s">
        <v>22348</v>
      </c>
      <c r="D5410" s="3" t="s">
        <v>22348</v>
      </c>
      <c r="E5410" s="3" t="s">
        <v>22349</v>
      </c>
      <c r="F5410" s="3" t="s">
        <v>22348</v>
      </c>
      <c r="G5410" s="3" t="str">
        <f ca="1">IFERROR(__xludf.DUMMYFUNCTION("googletranslate(D5410,""en"",""ja"")"),"膨疹の最長直径")</f>
        <v>膨疹の最長直径</v>
      </c>
      <c r="H5410" s="3" t="str">
        <f ca="1">IFERROR(__xludf.DUMMYFUNCTION("googletranslate(E5410,""en"",""ja"")"),"皮膚に対する抗原攻撃部位の周囲に形成される、平坦で円形のわずかに盛り上がった領域の最長直径。")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410" s="3" t="str">
        <f ca="1">IFERROR(__xludf.DUMMYFUNCTION("googletranslate(F5410,""en"",""ja"")"),"膨疹の最長直径")</f>
        <v>膨疹の最長直径</v>
      </c>
    </row>
    <row r="5411" spans="1:9" ht="45">
      <c r="A5411" s="3" t="s">
        <v>185</v>
      </c>
      <c r="B5411" s="3" t="s">
        <v>22347</v>
      </c>
      <c r="C5411" s="3" t="s">
        <v>22348</v>
      </c>
      <c r="D5411" s="3" t="s">
        <v>22348</v>
      </c>
      <c r="E5411" s="3" t="s">
        <v>22349</v>
      </c>
      <c r="F5411" s="3" t="s">
        <v>22348</v>
      </c>
      <c r="G5411" s="3" t="str">
        <f ca="1">IFERROR(__xludf.DUMMYFUNCTION("googletranslate(D5411,""en"",""ja"")"),"膨疹の最長直径")</f>
        <v>膨疹の最長直径</v>
      </c>
      <c r="H5411" s="3" t="str">
        <f ca="1">IFERROR(__xludf.DUMMYFUNCTION("googletranslate(E5411,""en"",""ja"")"),"皮膚に対する抗原攻撃部位の周囲に形成される、平坦で円形のわずかに盛り上がった領域の最長直径。")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411" s="3" t="str">
        <f ca="1">IFERROR(__xludf.DUMMYFUNCTION("googletranslate(F5411,""en"",""ja"")"),"膨疹の最長直径")</f>
        <v>膨疹の最長直径</v>
      </c>
    </row>
    <row r="5412" spans="1:9" ht="45">
      <c r="A5412" s="3" t="s">
        <v>1535</v>
      </c>
      <c r="B5412" s="3" t="s">
        <v>22350</v>
      </c>
      <c r="C5412" s="3" t="s">
        <v>22351</v>
      </c>
      <c r="D5412" s="3" t="s">
        <v>22351</v>
      </c>
      <c r="E5412" s="3" t="s">
        <v>22352</v>
      </c>
      <c r="F5412" s="3" t="s">
        <v>22351</v>
      </c>
      <c r="G5412" s="3" t="str">
        <f ca="1">IFERROR(__xludf.DUMMYFUNCTION("googletranslate(D5412,""en"",""ja"")"),"膨疹の平均直径")</f>
        <v>膨疹の平均直径</v>
      </c>
      <c r="H5412" s="3" t="str">
        <f ca="1">IFERROR(__xludf.DUMMYFUNCTION("googletranslate(E5412,""en"",""ja"")"),"皮膚に対する抗原攻撃部位の周囲に形成される、平坦で円形のわずかに盛り上がった領域の平均直径。")</f>
        <v>皮膚に対する抗原攻撃部位の周囲に形成される、平坦で円形のわずかに盛り上がった領域の平均直径。</v>
      </c>
      <c r="I5412" s="3" t="str">
        <f ca="1">IFERROR(__xludf.DUMMYFUNCTION("googletranslate(F5412,""en"",""ja"")"),"膨疹の平均直径")</f>
        <v>膨疹の平均直径</v>
      </c>
    </row>
    <row r="5413" spans="1:9" ht="45">
      <c r="A5413" s="3" t="s">
        <v>185</v>
      </c>
      <c r="B5413" s="3" t="s">
        <v>22350</v>
      </c>
      <c r="C5413" s="3" t="s">
        <v>22351</v>
      </c>
      <c r="D5413" s="3" t="s">
        <v>22351</v>
      </c>
      <c r="E5413" s="3" t="s">
        <v>22352</v>
      </c>
      <c r="F5413" s="3" t="s">
        <v>22351</v>
      </c>
      <c r="G5413" s="3" t="str">
        <f ca="1">IFERROR(__xludf.DUMMYFUNCTION("googletranslate(D5413,""en"",""ja"")"),"膨疹の平均直径")</f>
        <v>膨疹の平均直径</v>
      </c>
      <c r="H5413" s="3" t="str">
        <f ca="1">IFERROR(__xludf.DUMMYFUNCTION("googletranslate(E5413,""en"",""ja"")"),"皮膚に対する抗原攻撃部位の周囲に形成される、平坦で円形のわずかに盛り上がった領域の平均直径。")</f>
        <v>皮膚に対する抗原攻撃部位の周囲に形成される、平坦で円形のわずかに盛り上がった領域の平均直径。</v>
      </c>
      <c r="I5413" s="3" t="str">
        <f ca="1">IFERROR(__xludf.DUMMYFUNCTION("googletranslate(F5413,""en"",""ja"")"),"膨疹の平均直径")</f>
        <v>膨疹の平均直径</v>
      </c>
    </row>
    <row r="5414" spans="1:9" ht="30">
      <c r="A5414" s="3" t="s">
        <v>81</v>
      </c>
      <c r="B5414" s="3" t="s">
        <v>22353</v>
      </c>
      <c r="C5414" s="3" t="s">
        <v>22354</v>
      </c>
      <c r="D5414" s="3" t="s">
        <v>22354</v>
      </c>
      <c r="E5414" s="3" t="s">
        <v>22355</v>
      </c>
      <c r="F5414" s="3" t="s">
        <v>22354</v>
      </c>
      <c r="G5414" s="3" t="str">
        <f ca="1">IFERROR(__xludf.DUMMYFUNCTION("googletranslate(D5414,""en"",""ja"")"),"幅")</f>
        <v>幅</v>
      </c>
      <c r="H5414" s="3" t="str">
        <f ca="1">IFERROR(__xludf.DUMMYFUNCTION("googletranslate(E5414,""en"",""ja"")"),"何かの左右の範囲または測定。 (NCI)")</f>
        <v>何かの左右の範囲または測定。 (NCI)</v>
      </c>
      <c r="I5414" s="3" t="str">
        <f ca="1">IFERROR(__xludf.DUMMYFUNCTION("googletranslate(F5414,""en"",""ja"")"),"幅")</f>
        <v>幅</v>
      </c>
    </row>
    <row r="5415" spans="1:9" ht="30">
      <c r="A5415" s="3" t="s">
        <v>33</v>
      </c>
      <c r="B5415" s="3" t="s">
        <v>22353</v>
      </c>
      <c r="C5415" s="3" t="s">
        <v>22354</v>
      </c>
      <c r="D5415" s="3" t="s">
        <v>22354</v>
      </c>
      <c r="E5415" s="3" t="s">
        <v>22355</v>
      </c>
      <c r="F5415" s="3" t="s">
        <v>22354</v>
      </c>
      <c r="G5415" s="3" t="str">
        <f ca="1">IFERROR(__xludf.DUMMYFUNCTION("googletranslate(D5415,""en"",""ja"")"),"幅")</f>
        <v>幅</v>
      </c>
      <c r="H5415" s="3" t="str">
        <f ca="1">IFERROR(__xludf.DUMMYFUNCTION("googletranslate(E5415,""en"",""ja"")"),"何かの左右の範囲または測定。 (NCI)")</f>
        <v>何かの左右の範囲または測定。 (NCI)</v>
      </c>
      <c r="I5415" s="3" t="str">
        <f ca="1">IFERROR(__xludf.DUMMYFUNCTION("googletranslate(F5415,""en"",""ja"")"),"幅")</f>
        <v>幅</v>
      </c>
    </row>
    <row r="5416" spans="1:9" ht="30">
      <c r="A5416" s="3" t="s">
        <v>503</v>
      </c>
      <c r="B5416" s="3" t="s">
        <v>22356</v>
      </c>
      <c r="C5416" s="3" t="s">
        <v>22357</v>
      </c>
      <c r="D5416" s="3" t="s">
        <v>22357</v>
      </c>
      <c r="E5416" s="3" t="s">
        <v>22358</v>
      </c>
      <c r="F5416" s="3" t="s">
        <v>22359</v>
      </c>
      <c r="G5416" s="3" t="str">
        <f ca="1">IFERROR(__xludf.DUMMYFUNCTION("googletranslate(D5416,""en"",""ja"")"),"週あたりの労働日数")</f>
        <v>週あたりの労働日数</v>
      </c>
      <c r="H5416" s="3" t="str">
        <f ca="1">IFERROR(__xludf.DUMMYFUNCTION("googletranslate(E5416,""en"",""ja"")"),"対象者が週に働く日数。")</f>
        <v>対象者が週に働く日数。</v>
      </c>
      <c r="I5416" s="3" t="str">
        <f ca="1">IFERROR(__xludf.DUMMYFUNCTION("googletranslate(F5416,""en"",""ja"")"),"週あたりの労働日数に関する質問")</f>
        <v>週あたりの労働日数に関する質問</v>
      </c>
    </row>
    <row r="5417" spans="1:9">
      <c r="A5417" s="3" t="s">
        <v>118</v>
      </c>
      <c r="B5417" s="3" t="s">
        <v>22360</v>
      </c>
      <c r="C5417" s="3" t="s">
        <v>22361</v>
      </c>
      <c r="D5417" s="3" t="s">
        <v>22361</v>
      </c>
      <c r="E5417" s="3" t="s">
        <v>22362</v>
      </c>
      <c r="F5417" s="3" t="s">
        <v>22361</v>
      </c>
      <c r="G5417" s="3" t="str">
        <f ca="1">IFERROR(__xludf.DUMMYFUNCTION("googletranslate(D5417,""en"",""ja"")"),"ウエスト周囲径")</f>
        <v>ウエスト周囲径</v>
      </c>
      <c r="H5417" s="3" t="str">
        <f ca="1">IFERROR(__xludf.DUMMYFUNCTION("googletranslate(E5417,""en"",""ja"")"),"個人の中央部またはウエストの周囲の距離。")</f>
        <v>個人の中央部またはウエストの周囲の距離。</v>
      </c>
      <c r="I5417" s="3" t="str">
        <f ca="1">IFERROR(__xludf.DUMMYFUNCTION("googletranslate(F5417,""en"",""ja"")"),"ウエスト周囲径")</f>
        <v>ウエスト周囲径</v>
      </c>
    </row>
    <row r="5418" spans="1:9" ht="45">
      <c r="A5418" s="3" t="s">
        <v>118</v>
      </c>
      <c r="B5418" s="3" t="s">
        <v>22363</v>
      </c>
      <c r="C5418" s="3" t="s">
        <v>22364</v>
      </c>
      <c r="D5418" s="3" t="s">
        <v>22364</v>
      </c>
      <c r="E5418" s="3" t="s">
        <v>22365</v>
      </c>
      <c r="F5418" s="3" t="s">
        <v>22364</v>
      </c>
      <c r="G5418" s="3" t="str">
        <f ca="1">IFERROR(__xludf.DUMMYFUNCTION("googletranslate(D5418,""en"",""ja"")"),"年齢相応の体重のパーセンタイル")</f>
        <v>年齢相応の体重のパーセンタイル</v>
      </c>
      <c r="H5418" s="3" t="str">
        <f ca="1">IFERROR(__xludf.DUMMYFUNCTION("googletranslate(E5418,""en"",""ja"")"),"個人の体重および年齢と参照集団の体重および年齢との関係を評価したもので、パーセンタイルで表されます。")</f>
        <v>個人の体重および年齢と参照集団の体重および年齢との関係を評価したもので、パーセンタイルで表されます。</v>
      </c>
      <c r="I5418" s="3" t="str">
        <f ca="1">IFERROR(__xludf.DUMMYFUNCTION("googletranslate(F5418,""en"",""ja"")"),"年齢相応の体重のパーセンタイル")</f>
        <v>年齢相応の体重のパーセンタイル</v>
      </c>
    </row>
    <row r="5419" spans="1:9" ht="45">
      <c r="A5419" s="3" t="s">
        <v>118</v>
      </c>
      <c r="B5419" s="3" t="s">
        <v>22366</v>
      </c>
      <c r="C5419" s="3" t="s">
        <v>22367</v>
      </c>
      <c r="D5419" s="3" t="s">
        <v>22367</v>
      </c>
      <c r="E5419" s="3" t="s">
        <v>22368</v>
      </c>
      <c r="F5419" s="3" t="s">
        <v>22367</v>
      </c>
      <c r="G5419" s="3" t="str">
        <f ca="1">IFERROR(__xludf.DUMMYFUNCTION("googletranslate(D5419,""en"",""ja"")"),"身長に対する体重のパーセンタイル")</f>
        <v>身長に対する体重のパーセンタイル</v>
      </c>
      <c r="H5419" s="3" t="str">
        <f ca="1">IFERROR(__xludf.DUMMYFUNCTION("googletranslate(E5419,""en"",""ja"")"),"個人の体重および身長と参照集団の体重および身長との関係を評価したもので、パーセンタイルで表されます。")</f>
        <v>個人の体重および身長と参照集団の体重および身長との関係を評価したもので、パーセンタイルで表されます。</v>
      </c>
      <c r="I5419" s="3" t="str">
        <f ca="1">IFERROR(__xludf.DUMMYFUNCTION("googletranslate(F5419,""en"",""ja"")"),"身長に対する体重のパーセンタイル")</f>
        <v>身長に対する体重のパーセンタイル</v>
      </c>
    </row>
    <row r="5420" spans="1:9" ht="30">
      <c r="A5420" s="3" t="s">
        <v>6</v>
      </c>
      <c r="B5420" s="3" t="s">
        <v>22369</v>
      </c>
      <c r="C5420" s="3" t="s">
        <v>22370</v>
      </c>
      <c r="D5420" s="3" t="s">
        <v>22370</v>
      </c>
      <c r="E5420" s="3" t="s">
        <v>22371</v>
      </c>
      <c r="F5420" s="3" t="s">
        <v>22372</v>
      </c>
      <c r="G5420" s="3" t="str">
        <f ca="1">IFERROR(__xludf.DUMMYFUNCTION("googletranslate(D5420,""en"",""ja"")"),"キシロース/キシロース用量")</f>
        <v>キシロース/キシロース用量</v>
      </c>
      <c r="H5420" s="3" t="str">
        <f ca="1">IFERROR(__xludf.DUMMYFUNCTION("googletranslate(E5420,""en"",""ja"")"),"キシロースの投与量に対する生物学的検体中のキシロースの相対測定値（パーセンテージ）。")</f>
        <v>キシロースの投与量に対する生物学的検体中のキシロースの相対測定値（パーセンテージ）。</v>
      </c>
      <c r="I5420" s="3" t="str">
        <f ca="1">IFERROR(__xludf.DUMMYFUNCTION("googletranslate(F5420,""en"",""ja"")"),"キシロース対キシロースの用量比の測定")</f>
        <v>キシロース対キシロースの用量比の測定</v>
      </c>
    </row>
    <row r="5421" spans="1:9" ht="60">
      <c r="A5421" s="3" t="s">
        <v>6</v>
      </c>
      <c r="B5421" s="3" t="s">
        <v>22373</v>
      </c>
      <c r="C5421" s="3" t="s">
        <v>22374</v>
      </c>
      <c r="D5421" s="3" t="s">
        <v>22374</v>
      </c>
      <c r="E5421" s="3" t="s">
        <v>22375</v>
      </c>
      <c r="F5421" s="3" t="s">
        <v>22376</v>
      </c>
      <c r="G5421" s="3" t="str">
        <f ca="1">IFERROR(__xludf.DUMMYFUNCTION("googletranslate(D5421,""en"",""ja"")"),"黄色腫")</f>
        <v>黄色腫</v>
      </c>
      <c r="H5421" s="3" t="str">
        <f ca="1">IFERROR(__xludf.DUMMYFUNCTION("googletranslate(E5421,""en"",""ja"")"),"生物学的標本に侵入した赤血球からのヘムの分解によって生成されるビリルビンの存在による、生物学的標本の黄色がかった外観の測定。")</f>
        <v>生物学的標本に侵入した赤血球からのヘムの分解によって生成されるビリルビンの存在による、生物学的標本の黄色がかった外観の測定。</v>
      </c>
      <c r="I5421" s="3" t="str">
        <f ca="1">IFERROR(__xludf.DUMMYFUNCTION("googletranslate(F5421,""en"",""ja"")"),"黄色み測定")</f>
        <v>黄色み測定</v>
      </c>
    </row>
    <row r="5422" spans="1:9">
      <c r="A5422" s="3" t="s">
        <v>6</v>
      </c>
      <c r="B5422" s="3" t="s">
        <v>22377</v>
      </c>
      <c r="C5422" s="3" t="s">
        <v>22378</v>
      </c>
      <c r="D5422" s="3" t="s">
        <v>22378</v>
      </c>
      <c r="E5422" s="3" t="s">
        <v>22379</v>
      </c>
      <c r="F5422" s="3" t="s">
        <v>22380</v>
      </c>
      <c r="G5422" s="3" t="str">
        <f ca="1">IFERROR(__xludf.DUMMYFUNCTION("googletranslate(D5422,""en"",""ja"")"),"キシロース")</f>
        <v>キシロース</v>
      </c>
      <c r="H5422" s="3" t="str">
        <f ca="1">IFERROR(__xludf.DUMMYFUNCTION("googletranslate(E5422,""en"",""ja"")"),"生物学的標本中のキシロースの測定。")</f>
        <v>生物学的標本中のキシロースの測定。</v>
      </c>
      <c r="I5422" s="3" t="str">
        <f ca="1">IFERROR(__xludf.DUMMYFUNCTION("googletranslate(F5422,""en"",""ja"")"),"キシロース測定")</f>
        <v>キシロース測定</v>
      </c>
    </row>
    <row r="5423" spans="1:9" ht="30">
      <c r="A5423" s="3" t="s">
        <v>67</v>
      </c>
      <c r="B5423" s="3" t="s">
        <v>22381</v>
      </c>
      <c r="C5423" s="3" t="s">
        <v>22382</v>
      </c>
      <c r="D5423" s="3" t="s">
        <v>22382</v>
      </c>
      <c r="E5423" s="3" t="s">
        <v>22383</v>
      </c>
      <c r="F5423" s="3" t="s">
        <v>22384</v>
      </c>
      <c r="G5423" s="3" t="str">
        <f ca="1">IFERROR(__xludf.DUMMYFUNCTION("googletranslate(D5423,""en"",""ja"")"),"酵母細胞")</f>
        <v>酵母細胞</v>
      </c>
      <c r="H5423" s="3" t="str">
        <f ca="1">IFERROR(__xludf.DUMMYFUNCTION("googletranslate(E5423,""en"",""ja"")"),"生物学的標本中に存在する酵母細胞の測定。")</f>
        <v>生物学的標本中に存在する酵母細胞の測定。</v>
      </c>
      <c r="I5423" s="3" t="str">
        <f ca="1">IFERROR(__xludf.DUMMYFUNCTION("googletranslate(F5423,""en"",""ja"")"),"酵母細胞の測定")</f>
        <v>酵母細胞の測定</v>
      </c>
    </row>
    <row r="5424" spans="1:9" ht="30">
      <c r="A5424" s="3" t="s">
        <v>6</v>
      </c>
      <c r="B5424" s="3" t="s">
        <v>22381</v>
      </c>
      <c r="C5424" s="3" t="s">
        <v>22382</v>
      </c>
      <c r="D5424" s="3" t="s">
        <v>22382</v>
      </c>
      <c r="E5424" s="3" t="s">
        <v>22383</v>
      </c>
      <c r="F5424" s="3" t="s">
        <v>22384</v>
      </c>
      <c r="G5424" s="3" t="str">
        <f ca="1">IFERROR(__xludf.DUMMYFUNCTION("googletranslate(D5424,""en"",""ja"")"),"酵母細胞")</f>
        <v>酵母細胞</v>
      </c>
      <c r="H5424" s="3" t="str">
        <f ca="1">IFERROR(__xludf.DUMMYFUNCTION("googletranslate(E5424,""en"",""ja"")"),"生物学的標本中に存在する酵母細胞の測定。")</f>
        <v>生物学的標本中に存在する酵母細胞の測定。</v>
      </c>
      <c r="I5424" s="3" t="str">
        <f ca="1">IFERROR(__xludf.DUMMYFUNCTION("googletranslate(F5424,""en"",""ja"")"),"酵母細胞の測定")</f>
        <v>酵母細胞の測定</v>
      </c>
    </row>
    <row r="5425" spans="1:10" ht="30">
      <c r="A5425" s="3" t="s">
        <v>6</v>
      </c>
      <c r="B5425" s="3" t="s">
        <v>22385</v>
      </c>
      <c r="C5425" s="3" t="s">
        <v>22386</v>
      </c>
      <c r="D5425" s="3" t="s">
        <v>22387</v>
      </c>
      <c r="E5425" s="3" t="s">
        <v>22388</v>
      </c>
      <c r="F5425" s="3" t="s">
        <v>22389</v>
      </c>
      <c r="G5425" s="3" t="str">
        <f ca="1">IFERROR(__xludf.DUMMYFUNCTION("googletranslate(D5425,""en"",""ja"")"),"出芽酵母。酵母の出芽")</f>
        <v>出芽酵母。酵母の出芽</v>
      </c>
      <c r="H5425" s="3" t="str">
        <f ca="1">IFERROR(__xludf.DUMMYFUNCTION("googletranslate(E5425,""en"",""ja"")"),"生物学的標本中に存在する出芽酵母の測定。")</f>
        <v>生物学的標本中に存在する出芽酵母の測定。</v>
      </c>
      <c r="I5425" s="3" t="str">
        <f ca="1">IFERROR(__xludf.DUMMYFUNCTION("googletranslate(F5425,""en"",""ja"")"),"出芽酵母の測定")</f>
        <v>出芽酵母の測定</v>
      </c>
    </row>
    <row r="5426" spans="1:10" ht="30">
      <c r="A5426" s="3" t="s">
        <v>67</v>
      </c>
      <c r="B5426" s="3" t="s">
        <v>22385</v>
      </c>
      <c r="C5426" s="3" t="s">
        <v>22386</v>
      </c>
      <c r="D5426" s="3" t="s">
        <v>22387</v>
      </c>
      <c r="E5426" s="3" t="s">
        <v>22388</v>
      </c>
      <c r="F5426" s="3" t="s">
        <v>22389</v>
      </c>
      <c r="G5426" s="3" t="str">
        <f ca="1">IFERROR(__xludf.DUMMYFUNCTION("googletranslate(D5426,""en"",""ja"")"),"出芽酵母。酵母の出芽")</f>
        <v>出芽酵母。酵母の出芽</v>
      </c>
      <c r="H5426" s="3" t="str">
        <f ca="1">IFERROR(__xludf.DUMMYFUNCTION("googletranslate(E5426,""en"",""ja"")"),"生物学的標本中に存在する出芽酵母の測定。")</f>
        <v>生物学的標本中に存在する出芽酵母の測定。</v>
      </c>
      <c r="I5426" s="3" t="str">
        <f ca="1">IFERROR(__xludf.DUMMYFUNCTION("googletranslate(F5426,""en"",""ja"")"),"出芽酵母の測定")</f>
        <v>出芽酵母の測定</v>
      </c>
    </row>
    <row r="5427" spans="1:10" ht="30">
      <c r="A5427" s="3" t="s">
        <v>67</v>
      </c>
      <c r="B5427" s="3" t="s">
        <v>22390</v>
      </c>
      <c r="C5427" s="3" t="s">
        <v>22391</v>
      </c>
      <c r="D5427" s="3" t="s">
        <v>22391</v>
      </c>
      <c r="E5427" s="3" t="s">
        <v>22392</v>
      </c>
      <c r="F5427" s="3" t="s">
        <v>22393</v>
      </c>
      <c r="G5427" s="3" t="str">
        <f ca="1">IFERROR(__xludf.DUMMYFUNCTION("googletranslate(D5427,""en"",""ja"")"),"酵母菌糸")</f>
        <v>酵母菌糸</v>
      </c>
      <c r="H5427" s="3" t="str">
        <f ca="1">IFERROR(__xludf.DUMMYFUNCTION("googletranslate(E5427,""en"",""ja"")"),"生物学的標本中に存在する酵母菌糸の測定。")</f>
        <v>生物学的標本中に存在する酵母菌糸の測定。</v>
      </c>
      <c r="I5427" s="3" t="str">
        <f ca="1">IFERROR(__xludf.DUMMYFUNCTION("googletranslate(F5427,""en"",""ja"")"),"酵母菌糸スクリーニング")</f>
        <v>酵母菌糸スクリーニング</v>
      </c>
    </row>
    <row r="5428" spans="1:10" ht="30">
      <c r="A5428" s="3" t="s">
        <v>6</v>
      </c>
      <c r="B5428" s="3" t="s">
        <v>22390</v>
      </c>
      <c r="C5428" s="3" t="s">
        <v>22391</v>
      </c>
      <c r="D5428" s="3" t="s">
        <v>22391</v>
      </c>
      <c r="E5428" s="3" t="s">
        <v>22392</v>
      </c>
      <c r="F5428" s="3" t="s">
        <v>22393</v>
      </c>
      <c r="G5428" s="3" t="str">
        <f ca="1">IFERROR(__xludf.DUMMYFUNCTION("googletranslate(D5428,""en"",""ja"")"),"酵母菌糸")</f>
        <v>酵母菌糸</v>
      </c>
      <c r="H5428" s="3" t="str">
        <f ca="1">IFERROR(__xludf.DUMMYFUNCTION("googletranslate(E5428,""en"",""ja"")"),"生物学的標本中に存在する酵母菌糸の測定。")</f>
        <v>生物学的標本中に存在する酵母菌糸の測定。</v>
      </c>
      <c r="I5428" s="3" t="str">
        <f ca="1">IFERROR(__xludf.DUMMYFUNCTION("googletranslate(F5428,""en"",""ja"")"),"酵母菌糸スクリーニング")</f>
        <v>酵母菌糸スクリーニング</v>
      </c>
    </row>
    <row r="5429" spans="1:10" ht="30">
      <c r="A5429" s="3" t="s">
        <v>67</v>
      </c>
      <c r="B5429" s="3" t="s">
        <v>22394</v>
      </c>
      <c r="C5429" s="3" t="s">
        <v>22395</v>
      </c>
      <c r="D5429" s="3" t="s">
        <v>22395</v>
      </c>
      <c r="E5429" s="3" t="s">
        <v>22396</v>
      </c>
      <c r="F5429" s="3" t="s">
        <v>22397</v>
      </c>
      <c r="G5429" s="3" t="str">
        <f ca="1">IFERROR(__xludf.DUMMYFUNCTION("googletranslate(D5429,""en"",""ja"")"),"エルシニア・エンテロコリチカのDNA")</f>
        <v>エルシニア・エンテロコリチカのDNA</v>
      </c>
      <c r="H5429" s="3" t="str">
        <f ca="1">IFERROR(__xludf.DUMMYFUNCTION("googletranslate(E5429,""en"",""ja"")"),"生物学的標本中の Yersinia enterocolitica DNA の測定。")</f>
        <v>生物学的標本中の Yersinia enterocolitica DNA の測定。</v>
      </c>
      <c r="I5429" s="3" t="str">
        <f ca="1">IFERROR(__xludf.DUMMYFUNCTION("googletranslate(F5429,""en"",""ja"")"),"Yersinia enterocolitica DNA測定")</f>
        <v>Yersinia enterocolitica DNA測定</v>
      </c>
    </row>
    <row r="5430" spans="1:10" ht="45">
      <c r="A5430" s="3" t="s">
        <v>67</v>
      </c>
      <c r="B5430" s="3" t="s">
        <v>22398</v>
      </c>
      <c r="C5430" s="3" t="s">
        <v>22399</v>
      </c>
      <c r="D5430" s="3" t="s">
        <v>22399</v>
      </c>
      <c r="E5430" s="3" t="s">
        <v>22400</v>
      </c>
      <c r="F5430" s="3" t="s">
        <v>22401</v>
      </c>
      <c r="G5430" s="3" t="str">
        <f ca="1">IFERROR(__xludf.DUMMYFUNCTION("googletranslate(D5430,""en"",""ja"")"),"エルシニア")</f>
        <v>エルシニア</v>
      </c>
      <c r="H5430" s="3" t="str">
        <f ca="1">IFERROR(__xludf.DUMMYFUNCTION("googletranslate(E5430,""en"",""ja"")"),"生物学的標本において種レベルには割り当てられていないが、エルシニア属レベルに割り当てられている生物の測定値。")</f>
        <v>生物学的標本において種レベルには割り当てられていないが、エルシニア属レベルに割り当てられている生物の測定値。</v>
      </c>
      <c r="I5430" s="3" t="str">
        <f ca="1">IFERROR(__xludf.DUMMYFUNCTION("googletranslate(F5430,""en"",""ja"")"),"エルシニア測定")</f>
        <v>エルシニア測定</v>
      </c>
    </row>
    <row r="5431" spans="1:10" ht="30">
      <c r="A5431" s="3" t="s">
        <v>6</v>
      </c>
      <c r="B5431" s="3" t="s">
        <v>22402</v>
      </c>
      <c r="C5431" s="3" t="s">
        <v>22403</v>
      </c>
      <c r="D5431" s="3" t="s">
        <v>22404</v>
      </c>
      <c r="E5431" s="3" t="s">
        <v>22405</v>
      </c>
      <c r="F5431" s="3" t="s">
        <v>22406</v>
      </c>
      <c r="G5431" s="3" t="str">
        <f ca="1">IFERROR(__xludf.DUMMYFUNCTION("googletranslate(D5431,""en"",""ja"")"),"キチナーゼ 3 様タンパク質 1; YKL-40プロテイン")</f>
        <v>キチナーゼ 3 様タンパク質 1; YKL-40プロテイン</v>
      </c>
      <c r="H5431" s="3" t="str">
        <f ca="1">IFERROR(__xludf.DUMMYFUNCTION("googletranslate(E5431,""en"",""ja"")"),"生物学的標本中の YKL-40 タンパク質の測定。")</f>
        <v>生物学的標本中の YKL-40 タンパク質の測定。</v>
      </c>
      <c r="I5431" s="3" t="str">
        <f ca="1">IFERROR(__xludf.DUMMYFUNCTION("googletranslate(F5431,""en"",""ja"")"),"YKL-40 タンパク質測定")</f>
        <v>YKL-40 タンパク質測定</v>
      </c>
    </row>
    <row r="5432" spans="1:10" ht="30">
      <c r="A5432" s="3" t="s">
        <v>51</v>
      </c>
      <c r="B5432" s="3" t="s">
        <v>22407</v>
      </c>
      <c r="C5432" s="3" t="s">
        <v>22408</v>
      </c>
      <c r="D5432" s="3" t="s">
        <v>22408</v>
      </c>
      <c r="E5432" s="3" t="s">
        <v>22409</v>
      </c>
      <c r="F5432" s="3" t="s">
        <v>22408</v>
      </c>
      <c r="G5432" s="3" t="str">
        <f ca="1">IFERROR(__xludf.DUMMYFUNCTION("googletranslate(D5432,""en"",""ja"")"),"酵母および/またはカビのコロニー数")</f>
        <v>酵母および/またはカビのコロニー数</v>
      </c>
      <c r="H5432" s="3" t="str">
        <f ca="1">IFERROR(__xludf.DUMMYFUNCTION("googletranslate(E5432,""en"",""ja"")"),"サンプル中の酵母および/またはカビのコロニーの総数の測定値。")</f>
        <v>サンプル中の酵母および/またはカビのコロニーの総数の測定値。</v>
      </c>
      <c r="I5432" s="3" t="str">
        <f ca="1">IFERROR(__xludf.DUMMYFUNCTION("googletranslate(F5432,""en"",""ja"")"),"酵母および/またはカビのコロニー数")</f>
        <v>酵母および/またはカビのコロニー数</v>
      </c>
    </row>
    <row r="5433" spans="1:10">
      <c r="A5433" s="3" t="s">
        <v>6</v>
      </c>
      <c r="B5433" s="3" t="s">
        <v>22410</v>
      </c>
      <c r="C5433" s="3" t="s">
        <v>22411</v>
      </c>
      <c r="D5433" s="3" t="s">
        <v>22411</v>
      </c>
      <c r="E5433" s="3" t="s">
        <v>22412</v>
      </c>
      <c r="F5433" s="3" t="s">
        <v>22413</v>
      </c>
      <c r="G5433" s="3" t="str">
        <f ca="1">IFERROR(__xludf.DUMMYFUNCTION("googletranslate(D5433,""en"",""ja"")"),"ザレプロン")</f>
        <v>ザレプロン</v>
      </c>
      <c r="H5433" s="3" t="str">
        <f ca="1">IFERROR(__xludf.DUMMYFUNCTION("googletranslate(E5433,""en"",""ja"")"),"生物学的標本中のザレプロンの測定。")</f>
        <v>生物学的標本中のザレプロンの測定。</v>
      </c>
      <c r="I5433" s="3" t="str">
        <f ca="1">IFERROR(__xludf.DUMMYFUNCTION("googletranslate(F5433,""en"",""ja"")"),"ザレプロンの測定")</f>
        <v>ザレプロンの測定</v>
      </c>
    </row>
    <row r="5434" spans="1:10" ht="30">
      <c r="A5434" s="3" t="s">
        <v>67</v>
      </c>
      <c r="B5434" s="3" t="s">
        <v>22414</v>
      </c>
      <c r="C5434" s="3" t="s">
        <v>22415</v>
      </c>
      <c r="D5434" s="3" t="s">
        <v>22415</v>
      </c>
      <c r="E5434" s="3" t="s">
        <v>22416</v>
      </c>
      <c r="F5434" s="3" t="s">
        <v>22417</v>
      </c>
      <c r="G5434" s="3" t="str">
        <f ca="1">IFERROR(__xludf.DUMMYFUNCTION("googletranslate(D5434,""en"",""ja"")"),"ザイールエボラウイルス")</f>
        <v>ザイールエボラウイルス</v>
      </c>
      <c r="H5434" s="3" t="str">
        <f ca="1">IFERROR(__xludf.DUMMYFUNCTION("googletranslate(E5434,""en"",""ja"")"),"生物学的標本中に存在するザイールエボラウイルスの測定。")</f>
        <v>生物学的標本中に存在するザイールエボラウイルスの測定。</v>
      </c>
      <c r="I5434" s="3" t="str">
        <f ca="1">IFERROR(__xludf.DUMMYFUNCTION("googletranslate(F5434,""en"",""ja"")"),"ザイールエボラウイルス測定")</f>
        <v>ザイールエボラウイルス測定</v>
      </c>
    </row>
    <row r="5435" spans="1:10">
      <c r="A5435" s="3" t="s">
        <v>6</v>
      </c>
      <c r="B5435" s="3" t="s">
        <v>22418</v>
      </c>
      <c r="C5435" s="3" t="s">
        <v>22419</v>
      </c>
      <c r="D5435" s="3" t="s">
        <v>22419</v>
      </c>
      <c r="E5435" s="3" t="s">
        <v>22420</v>
      </c>
      <c r="F5435" s="3" t="s">
        <v>22421</v>
      </c>
      <c r="G5435" s="3" t="str">
        <f ca="1">IFERROR(__xludf.DUMMYFUNCTION("googletranslate(D5435,""en"",""ja"")"),"亜鉛")</f>
        <v>亜鉛</v>
      </c>
      <c r="H5435" s="3" t="str">
        <f ca="1">IFERROR(__xludf.DUMMYFUNCTION("googletranslate(E5435,""en"",""ja"")"),"生物標本中の亜鉛の測定。")</f>
        <v>生物標本中の亜鉛の測定。</v>
      </c>
      <c r="I5435" s="3" t="str">
        <f ca="1">IFERROR(__xludf.DUMMYFUNCTION("googletranslate(F5435,""en"",""ja"")"),"亜鉛測定")</f>
        <v>亜鉛測定</v>
      </c>
    </row>
    <row r="5436" spans="1:10">
      <c r="A5436" s="3" t="s">
        <v>6</v>
      </c>
      <c r="B5436" s="3" t="s">
        <v>22422</v>
      </c>
      <c r="C5436" s="3" t="s">
        <v>22423</v>
      </c>
      <c r="D5436" s="3" t="s">
        <v>22423</v>
      </c>
      <c r="E5436" s="3" t="s">
        <v>22424</v>
      </c>
      <c r="F5436" s="3" t="s">
        <v>22425</v>
      </c>
      <c r="G5436" s="3" t="str">
        <f ca="1">IFERROR(__xludf.DUMMYFUNCTION("googletranslate(D5436,""en"",""ja"")"),"ジプラシドン")</f>
        <v>ジプラシドン</v>
      </c>
      <c r="H5436" s="3" t="str">
        <f ca="1">IFERROR(__xludf.DUMMYFUNCTION("googletranslate(E5436,""en"",""ja"")"),"生物学的標本中のジプラシドンの測定。")</f>
        <v>生物学的標本中のジプラシドンの測定。</v>
      </c>
      <c r="I5436" s="3" t="str">
        <f ca="1">IFERROR(__xludf.DUMMYFUNCTION("googletranslate(F5436,""en"",""ja"")"),"ジプラシドンの測定")</f>
        <v>ジプラシドンの測定</v>
      </c>
    </row>
    <row r="5437" spans="1:10">
      <c r="A5437" s="3" t="s">
        <v>67</v>
      </c>
      <c r="B5437" s="3" t="s">
        <v>22426</v>
      </c>
      <c r="C5437" s="3" t="s">
        <v>22427</v>
      </c>
      <c r="D5437" s="3" t="s">
        <v>22427</v>
      </c>
      <c r="E5437" s="3" t="s">
        <v>22428</v>
      </c>
      <c r="F5437" s="3" t="s">
        <v>22429</v>
      </c>
      <c r="G5437" s="3" t="str">
        <f ca="1">IFERROR(__xludf.DUMMYFUNCTION("googletranslate(D5437,""en"",""ja"")"),"ジカウイルスRNA")</f>
        <v>ジカウイルスRNA</v>
      </c>
      <c r="H5437" s="3" t="str">
        <f ca="1">IFERROR(__xludf.DUMMYFUNCTION("googletranslate(E5437,""en"",""ja"")"),"生物学的検体中のジカウイルス RNA の測定。")</f>
        <v>生物学的検体中のジカウイルス RNA の測定。</v>
      </c>
      <c r="I5437" s="3" t="str">
        <f ca="1">IFERROR(__xludf.DUMMYFUNCTION("googletranslate(F5437,""en"",""ja"")"),"ジカウイルスRNA測定")</f>
        <v>ジカウイルスRNA測定</v>
      </c>
    </row>
    <row r="5438" spans="1:10">
      <c r="A5438" s="3" t="s">
        <v>6</v>
      </c>
      <c r="B5438" s="3" t="s">
        <v>22430</v>
      </c>
      <c r="C5438" s="3" t="s">
        <v>22431</v>
      </c>
      <c r="D5438" s="3" t="s">
        <v>22431</v>
      </c>
      <c r="E5438" s="3" t="s">
        <v>22432</v>
      </c>
      <c r="F5438" s="3" t="s">
        <v>22433</v>
      </c>
      <c r="G5438" s="3" t="str">
        <f ca="1">IFERROR(__xludf.DUMMYFUNCTION("googletranslate(D5438,""en"",""ja"")"),"ゾルピデム")</f>
        <v>ゾルピデム</v>
      </c>
      <c r="H5438" s="3" t="str">
        <f ca="1">IFERROR(__xludf.DUMMYFUNCTION("googletranslate(E5438,""en"",""ja"")"),"生物学的標本中のゾルピデムの測定。")</f>
        <v>生物学的標本中のゾルピデムの測定。</v>
      </c>
      <c r="I5438" s="3" t="str">
        <f ca="1">IFERROR(__xludf.DUMMYFUNCTION("googletranslate(F5438,""en"",""ja"")"),"ゾルピデムの測定")</f>
        <v>ゾルピデムの測定</v>
      </c>
    </row>
    <row r="5439" spans="1:10">
      <c r="A5439" s="3" t="s">
        <v>6</v>
      </c>
      <c r="B5439" s="3" t="s">
        <v>22434</v>
      </c>
      <c r="C5439" s="3" t="s">
        <v>22435</v>
      </c>
      <c r="D5439" s="3" t="s">
        <v>22435</v>
      </c>
      <c r="E5439" s="3" t="s">
        <v>22436</v>
      </c>
      <c r="F5439" s="3" t="s">
        <v>22437</v>
      </c>
      <c r="G5439" s="3" t="str">
        <f ca="1">IFERROR(__xludf.DUMMYFUNCTION("googletranslate(D5439,""en"",""ja"")"),"ゾピクロン")</f>
        <v>ゾピクロン</v>
      </c>
      <c r="H5439" s="3" t="str">
        <f ca="1">IFERROR(__xludf.DUMMYFUNCTION("googletranslate(E5439,""en"",""ja"")"),"生物学的標本中のゾピクロンの測定。")</f>
        <v>生物学的標本中のゾピクロンの測定。</v>
      </c>
      <c r="I5439" s="3" t="str">
        <f ca="1">IFERROR(__xludf.DUMMYFUNCTION("googletranslate(F5439,""en"",""ja"")"),"ゾピクロンの測定")</f>
        <v>ゾピクロンの測定</v>
      </c>
    </row>
    <row r="5440" spans="1:10" ht="30">
      <c r="A5440" s="5" t="s">
        <v>6</v>
      </c>
      <c r="B5440" s="5" t="s">
        <v>22438</v>
      </c>
      <c r="C5440" s="5" t="s">
        <v>22439</v>
      </c>
      <c r="D5440" s="5" t="s">
        <v>22439</v>
      </c>
      <c r="E5440" s="5" t="s">
        <v>22440</v>
      </c>
      <c r="F5440" s="5" t="s">
        <v>22441</v>
      </c>
      <c r="G5440" s="3" t="str">
        <f ca="1">IFERROR(__xludf.DUMMYFUNCTION("googletranslate(D5440,""en"",""ja"")"),"亜鉛プロトポルフィリン")</f>
        <v>亜鉛プロトポルフィリン</v>
      </c>
      <c r="H5440" s="3" t="str">
        <f ca="1">IFERROR(__xludf.DUMMYFUNCTION("googletranslate(E5440,""en"",""ja"")"),"生物学的標本中の亜鉛プロトポルフィリン (亜鉛結合プロトポルフィリン) の測定。")</f>
        <v>生物学的標本中の亜鉛プロトポルフィリン (亜鉛結合プロトポルフィリン) の測定。</v>
      </c>
      <c r="I5440" s="3" t="str">
        <f ca="1">IFERROR(__xludf.DUMMYFUNCTION("googletranslate(F5440,""en"",""ja"")"),"亜鉛プロトポルフィリンの測定")</f>
        <v>亜鉛プロトポルフィリンの測定</v>
      </c>
      <c r="J5440" s="6"/>
    </row>
  </sheetData>
  <autoFilter ref="A1:I5440" xr:uid="{00000000-0001-0000-0000-000000000000}"/>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_20_MergeAll</vt:lpstr>
      <vt:lpstr>_20_MergeAll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ねこちゃん</dc:creator>
  <cp:lastModifiedBy>Shizuko Takahara</cp:lastModifiedBy>
  <dcterms:created xsi:type="dcterms:W3CDTF">2025-03-31T05:38:42Z</dcterms:created>
  <dcterms:modified xsi:type="dcterms:W3CDTF">2025-03-31T23:14:05Z</dcterms:modified>
</cp:coreProperties>
</file>